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kopbudzets" sheetId="1" r:id="rId1"/>
    <sheet name="1.tab" sheetId="2" r:id="rId2"/>
    <sheet name="2.tab" sheetId="3" r:id="rId3"/>
    <sheet name="3.tab" sheetId="4" r:id="rId4"/>
    <sheet name="4.tab" sheetId="5" r:id="rId5"/>
    <sheet name="5.tab" sheetId="6" r:id="rId6"/>
    <sheet name="6.tab" sheetId="7" r:id="rId7"/>
    <sheet name="7.tab" sheetId="8" r:id="rId8"/>
    <sheet name="8.tab" sheetId="9" r:id="rId9"/>
    <sheet name="9.tab" sheetId="10" r:id="rId10"/>
    <sheet name="10.tabula" sheetId="11" r:id="rId11"/>
    <sheet name="11.tabula" sheetId="12" r:id="rId12"/>
    <sheet name="12.tabula" sheetId="13" r:id="rId13"/>
    <sheet name="13.tabula" sheetId="14" r:id="rId14"/>
    <sheet name="14.tabula" sheetId="15" r:id="rId15"/>
    <sheet name="15.tabula" sheetId="16" r:id="rId16"/>
    <sheet name="16.tabula" sheetId="17" r:id="rId17"/>
    <sheet name="17.tabula" sheetId="18" r:id="rId18"/>
    <sheet name="18.tabula" sheetId="19" r:id="rId19"/>
    <sheet name="19.tabula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1">'11.tabula'!$A$1:$E$58</definedName>
    <definedName name="_xlnm.Print_Area" localSheetId="12">'12.tabula'!$A$1:$F$47</definedName>
    <definedName name="_xlnm.Print_Area" localSheetId="13">'13.tabula'!$A$1:$E$48</definedName>
    <definedName name="_xlnm.Print_Area" localSheetId="14">'14.tabula'!$A$1:$E$33</definedName>
    <definedName name="_xlnm.Print_Area" localSheetId="15">'15.tabula'!$A$1:$E$49</definedName>
    <definedName name="_xlnm.Print_Titles" localSheetId="16">'16.tabula'!$8:$11</definedName>
    <definedName name="_xlnm.Print_Titles" localSheetId="17">'17.tabula'!$8:$11</definedName>
    <definedName name="_xlnm.Print_Titles" localSheetId="19">'19.tabula'!$8:$10</definedName>
  </definedNames>
  <calcPr fullCalcOnLoad="1"/>
</workbook>
</file>

<file path=xl/sharedStrings.xml><?xml version="1.0" encoding="utf-8"?>
<sst xmlns="http://schemas.openxmlformats.org/spreadsheetml/2006/main" count="2328" uniqueCount="730">
  <si>
    <t>1.tabula</t>
  </si>
  <si>
    <t xml:space="preserve"> Valsts kases oficiālais mēneša pārskats</t>
  </si>
  <si>
    <t>Valsts konsolidētā budžeta izpilde (1999.gada janvāris -  aprīlis)</t>
  </si>
  <si>
    <t>Valsts konsolidētā budžeta izpilde (1999.gada janvāris - aprīlis)</t>
  </si>
  <si>
    <t>(tūkst. latu)</t>
  </si>
  <si>
    <t>Rādītāji</t>
  </si>
  <si>
    <t>Likumā apstiprinātais gada plāns</t>
  </si>
  <si>
    <t>Izpilde no gada sākuma</t>
  </si>
  <si>
    <t>Izpilde  % pret gada plānu         (3/2)</t>
  </si>
  <si>
    <t xml:space="preserve">Aprīļa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</si>
  <si>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</si>
  <si>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</si>
  <si>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</si>
  <si>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</si>
  <si>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</si>
  <si>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</si>
  <si>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</si>
  <si>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</si>
  <si>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</si>
  <si>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</si>
  <si>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</si>
  <si>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</si>
  <si>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                                   mīnus transferts no valsts speciālā budžeta</t>
  </si>
  <si>
    <t xml:space="preserve">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</si>
  <si>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</si>
  <si>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</si>
  <si>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</si>
  <si>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</si>
  <si>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</si>
  <si>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</si>
  <si>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Pārējie</t>
  </si>
  <si>
    <t xml:space="preserve">                                         mīnus transferts no valsts pamatbudžeta</t>
  </si>
  <si>
    <t xml:space="preserve">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</si>
  <si>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</si>
  <si>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</si>
  <si>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uzturēšanas izdevumi (B.2.1.+C.2.1.)</t>
  </si>
  <si>
    <t>A.2.1. Kopējie valsts budžeta uzturēšanas izdevumi (B.2.1.+C.2.1.)</t>
  </si>
  <si>
    <t>A.2.2. Kopējie valsts kapitālie izdevumi (B.2.2.+C.2.2.)</t>
  </si>
  <si>
    <t>A.2.2. Kopējie valsts budžeta kapitālie izdevumi (B.2.2.+C.2.2.)</t>
  </si>
  <si>
    <t>A.2.3. Kopējie valsts izdevumi investīcijām (B.2.3.+C.2.3.)</t>
  </si>
  <si>
    <t>A.2.3. Kopējie valsts budžeta izdevumi investīcijām (B.2.3.+C.2.3.)</t>
  </si>
  <si>
    <t>A.3. Valsts budžeta finansiālais deficīts (-), pārpalikums (+), (A.1.-A.2.)</t>
  </si>
  <si>
    <t>A.4. Kopējie valsts tīrie aizdevumi (B.4.+C.4.)</t>
  </si>
  <si>
    <t>Kopējie valsts izdevumi, ieskaitot tīros aizdevumus (A.2.+A.4.)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</si>
  <si>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</si>
  <si>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</si>
  <si>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</si>
  <si>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</si>
  <si>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 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</si>
  <si>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</si>
  <si>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</si>
  <si>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</si>
  <si>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 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</si>
  <si>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</si>
  <si>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</si>
  <si>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</si>
  <si>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>Pārskata mēneša izpilde</t>
  </si>
  <si>
    <t xml:space="preserve">Marta izpilde 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</si>
  <si>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</si>
  <si>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</si>
  <si>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</si>
  <si>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</si>
  <si>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izdevumi </t>
  </si>
  <si>
    <t xml:space="preserve">     Valsts pamatbudžeta aizdevumi (bruto)</t>
  </si>
  <si>
    <t xml:space="preserve">     Valsts pamatbudžeta aizdevumi (neto)</t>
  </si>
  <si>
    <t xml:space="preserve">     Valsts pamatbudžeta aizdevumu atmaksas (bruto)</t>
  </si>
  <si>
    <t xml:space="preserve">                          mīnus transferts no valsts speciālā  budžeta</t>
  </si>
  <si>
    <t xml:space="preserve">                                mīnus transferts no valsts speciālā  budžeta</t>
  </si>
  <si>
    <t xml:space="preserve">     Valsts pamatbudžeta aizdevumu atmaksas (neto)</t>
  </si>
  <si>
    <t>B.5. Valsts pamatbudžeta fiskālais deficīts (-), pārpalikums (+), (B.3.- B.4.)</t>
  </si>
  <si>
    <t xml:space="preserve">  Valsts speciālā budžeta izdevumi (bruto)</t>
  </si>
  <si>
    <t xml:space="preserve">                           mīnus transferts valsts pamatbudžetam</t>
  </si>
  <si>
    <t xml:space="preserve">   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</si>
  <si>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</si>
  <si>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</si>
  <si>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</si>
  <si>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</si>
  <si>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</si>
  <si>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</si>
  <si>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</si>
  <si>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</si>
  <si>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</si>
  <si>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izdevumi </t>
  </si>
  <si>
    <t xml:space="preserve">     Valsts speciālā budžeta aizdevumi (bruto)</t>
  </si>
  <si>
    <t xml:space="preserve">     Valsts speciālā budžeta aizdevumi (neto)</t>
  </si>
  <si>
    <t xml:space="preserve">     Valsts speciālā budžeta aizdevumu atmaksas (bruto)</t>
  </si>
  <si>
    <t xml:space="preserve">     Valsts speciālā budžeta aizdevumu atmaksas (neto)</t>
  </si>
  <si>
    <t>C.5. Valsts speciālā budžeta fiskālais deficīts (-), pārpalikums (+), (C.3.- C.4.)</t>
  </si>
  <si>
    <t xml:space="preserve">Valsts kases pārvaldnieks ______________________________  (A.Veiss)                                                                    </t>
  </si>
  <si>
    <t>Valsts kase / Pārskatu departaments</t>
  </si>
  <si>
    <t>1999.gada 15.aprīlis</t>
  </si>
  <si>
    <t>1999.gada 17.maijs</t>
  </si>
  <si>
    <t xml:space="preserve"> </t>
  </si>
  <si>
    <t>2.tabula</t>
  </si>
  <si>
    <t>Valsts kases oficiālais mēneša pārskats</t>
  </si>
  <si>
    <t>Valsts pamatbudžeta ieņēmumi (1999.gada janvāris- aprīlis)</t>
  </si>
  <si>
    <t>Valsts pamatbudžeta ieņēmumi (1999.gada janvāris-aprīlis)</t>
  </si>
  <si>
    <t>(tūkst.latu)</t>
  </si>
  <si>
    <t>Gada sagaidāmā izpilde %</t>
  </si>
  <si>
    <t>Izpilde % pret gada plānu            (4/2)</t>
  </si>
  <si>
    <t>Aprīļa izpilde</t>
  </si>
  <si>
    <t>1.Ieņēmumi - kopā  (1.1.+1.2.+1.3.)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</si>
  <si>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</si>
  <si>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</si>
  <si>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</si>
  <si>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</si>
  <si>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</si>
  <si>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</si>
  <si>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</si>
  <si>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</si>
  <si>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</si>
  <si>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</si>
  <si>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</si>
  <si>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</si>
  <si>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</si>
  <si>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Ieņēmumi no valsts īpašuma iznomāšanas</t>
  </si>
  <si>
    <t xml:space="preserve">   Sodi un sankcijas</t>
  </si>
  <si>
    <t xml:space="preserve">   Pārējie nenodokļu ieņēmumi **</t>
  </si>
  <si>
    <t>t.sk. pārskaitījums valsts pamatbudžetā no Valsts autoceļu fonda</t>
  </si>
  <si>
    <t xml:space="preserve">  pārskaitījums valsts pamatbudžetā sociālās apdrošināšanas iemaksu administrēšanai</t>
  </si>
  <si>
    <t xml:space="preserve">   pārējie nenodokļu ieņēmumi</t>
  </si>
  <si>
    <t xml:space="preserve">   Valsts privatizācijas fonda iemaksas</t>
  </si>
  <si>
    <t xml:space="preserve">t.sk. iemaksas no Ekonomikas ministrijas speciālā budžeta           </t>
  </si>
  <si>
    <t xml:space="preserve">   Citas iemaksas par nekustamo īpašumu</t>
  </si>
  <si>
    <t>t.sk. Ieņēmumi no Skrundas lokatora nomas maksas 50% apmērā</t>
  </si>
  <si>
    <t xml:space="preserve">      Valsts nekustamā īpašuma aģentūras iemaksas no valsts nekustamā īpašuma pārdošanas</t>
  </si>
  <si>
    <t>1.3.Pašu ieņēmumi</t>
  </si>
  <si>
    <t xml:space="preserve">   Budžeta iestāžu ieņēmumi no maksas pakalpojumiem</t>
  </si>
  <si>
    <t>* - ieskaitot nesadalītās sociālās apdrošināšanas iemaksas -  1929445    latu</t>
  </si>
  <si>
    <t>* - ieskaitot nesadalītās sociālās apdrošināšanas iemaksas -  1929   tūkst.latu</t>
  </si>
  <si>
    <t>** - ieskaitot procentus par valsts depozītu -     1318596   latu</t>
  </si>
  <si>
    <t>** - ieskaitot procentus par valsts depozītu -   1319    tūkst.latu</t>
  </si>
  <si>
    <t>Valsts kases pārvaldnieks________________________________________(A.Veiss)</t>
  </si>
  <si>
    <t>1999.gada 15.maijs</t>
  </si>
  <si>
    <t xml:space="preserve">Valsts kases oficiālais mēneša pārskats </t>
  </si>
  <si>
    <t>3.tabula</t>
  </si>
  <si>
    <t>Valsts pamatbudżeta izdevumi pa ministrijām un pasākumiem</t>
  </si>
  <si>
    <t>(1999.gada janvāris - aprīlis)</t>
  </si>
  <si>
    <t xml:space="preserve">Finansēšanas plāns pārskata periodam </t>
  </si>
  <si>
    <t>Izpilde % pret gada plānu (4/2)</t>
  </si>
  <si>
    <t>Izpilde % pret finansēša-nas plānu pārskata periodam 
  (4/3)</t>
  </si>
  <si>
    <t>Izpilde % pret finansēšanas plānu pārskata periodam 
  (4/3)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</si>
  <si>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</si>
  <si>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</si>
  <si>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</si>
  <si>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</si>
  <si>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</si>
  <si>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</si>
  <si>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</si>
  <si>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</si>
  <si>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</si>
  <si>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</si>
  <si>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</si>
  <si>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</si>
  <si>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</si>
  <si>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</si>
  <si>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</si>
  <si>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</si>
  <si>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Vides aizsardzības un reģionālās attīstības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</si>
  <si>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</si>
  <si>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</si>
  <si>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</si>
  <si>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</si>
  <si>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</si>
  <si>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</si>
  <si>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</si>
  <si>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</si>
  <si>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</si>
  <si>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</si>
  <si>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</si>
  <si>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sadarbībai  ar starptautiskajām finansu institūcijām sekretariāts</t>
  </si>
  <si>
    <t>Mērķdotācijas pašvaldībām</t>
  </si>
  <si>
    <t>Dotācija pašvaldībām</t>
  </si>
  <si>
    <t>Valsts kases pārvaldnieks ________________________________________ (A.Veiss)</t>
  </si>
  <si>
    <t>1999.gada 15.marts</t>
  </si>
  <si>
    <t xml:space="preserve">        (paraksts)</t>
  </si>
  <si>
    <t>Sastādīšanas datums</t>
  </si>
  <si>
    <t>4.tabula</t>
  </si>
  <si>
    <t xml:space="preserve">           Valsts kases oficiālais mēneša pārskats</t>
  </si>
  <si>
    <t xml:space="preserve">Valsts pamatbudžeta ieņēmumu un izdevumu atšifrējums </t>
  </si>
  <si>
    <t>pēc ekonomiskās klasifikācijas</t>
  </si>
  <si>
    <t>(1999.gada janvāris- aprīlis)</t>
  </si>
  <si>
    <t>(1999.gada janvāris -  aprīlis)</t>
  </si>
  <si>
    <t>Finansēšanas plāns pārskata periodam</t>
  </si>
  <si>
    <t>Izpilde % pret gada plānu      (4/2)</t>
  </si>
  <si>
    <t>Izpilde % pret finansēšanas plānu pārskata periodam       (4/3)</t>
  </si>
  <si>
    <t>1. Ieņēmumi - kopā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</si>
  <si>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</si>
  <si>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</si>
  <si>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</si>
  <si>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</si>
  <si>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</si>
  <si>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</si>
  <si>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</si>
  <si>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</si>
  <si>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>x</t>
  </si>
  <si>
    <t xml:space="preserve">    pārējie kārtējie izdevumi</t>
  </si>
  <si>
    <t xml:space="preserve">     t.sk.          preču un pakalpojumu izdevumi</t>
  </si>
  <si>
    <t xml:space="preserve">     t.sk.         preču un pakalpojumu izdevumi</t>
  </si>
  <si>
    <t xml:space="preserve"> pārējie izdevumi</t>
  </si>
  <si>
    <t xml:space="preserve">                        pārējie izdevumi</t>
  </si>
  <si>
    <t xml:space="preserve">    aizņēmumu atmaksa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</si>
  <si>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</si>
  <si>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</si>
  <si>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</si>
  <si>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</si>
  <si>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</si>
  <si>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</si>
  <si>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</si>
  <si>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</si>
  <si>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</si>
  <si>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t.sk.        speciālajam budžetam</t>
  </si>
  <si>
    <t xml:space="preserve">                 t.sk.           speciālajam budžetam</t>
  </si>
  <si>
    <t xml:space="preserve"> pārējiem</t>
  </si>
  <si>
    <t xml:space="preserve">      pārējiem</t>
  </si>
  <si>
    <t xml:space="preserve">     dotācijas iedzīvotājiem</t>
  </si>
  <si>
    <t xml:space="preserve">              t.sk.          pensijas </t>
  </si>
  <si>
    <t xml:space="preserve">                 t.sk.    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</si>
  <si>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</si>
  <si>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</si>
  <si>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</si>
  <si>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</si>
  <si>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</si>
  <si>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  pārējie</t>
  </si>
  <si>
    <t xml:space="preserve">   iemaksas starptautiskajās organizācijās</t>
  </si>
  <si>
    <t>2.2.Izdevumi kapitālieguldījumiem</t>
  </si>
  <si>
    <t>Kapitālie izdevumi</t>
  </si>
  <si>
    <t>Investīcijas</t>
  </si>
  <si>
    <t>3. Valsts budžeta tīrie aizdevumi (3.1.-3.2.)</t>
  </si>
  <si>
    <t>3.1.Valsts budžeta aizdevumi</t>
  </si>
  <si>
    <t>3.2.Valsts budžeta aizdevumu atmaksas</t>
  </si>
  <si>
    <t>Fiskālā bilance (1.-2.-3.)</t>
  </si>
  <si>
    <t>Valsts kases pārvaldnieks _______________________________________ (AVeiss)</t>
  </si>
  <si>
    <t>Valsts kases pārvaldnieks _______________________________________ (A.Veiss)</t>
  </si>
  <si>
    <t>5.tabula</t>
  </si>
  <si>
    <t xml:space="preserve">Valsts speciālā budżeta ieņēmumi un izdevumi pa ministrijām </t>
  </si>
  <si>
    <t>(1999.gada  janvāris - aprīlis)</t>
  </si>
  <si>
    <t xml:space="preserve"> (tūkst.latu)</t>
  </si>
  <si>
    <t>Izpilde % pret gada plānu 
   (4/2)</t>
  </si>
  <si>
    <t>Finansēšanas plāns</t>
  </si>
  <si>
    <t xml:space="preserve">Ieņēmumi - kopā </t>
  </si>
  <si>
    <t>Izdevumi - kopā</t>
  </si>
  <si>
    <t xml:space="preserve">        Uzturēšanas izdevumi</t>
  </si>
  <si>
    <t xml:space="preserve">        Izdevumi kapitālieguldījumiem</t>
  </si>
  <si>
    <t>Valsts budžeta aizdevumi</t>
  </si>
  <si>
    <t>Valsts budžeta aizdevumu atmaksas</t>
  </si>
  <si>
    <t>Fiskālā bilance</t>
  </si>
  <si>
    <t>Aizņēmums no pamatbudžeta</t>
  </si>
  <si>
    <t>Valsts īpašuma privatizācijas fonds</t>
  </si>
  <si>
    <t>Ieņēmumi</t>
  </si>
  <si>
    <t xml:space="preserve">     t.sk. iemaksas valsts pamatbudžetā</t>
  </si>
  <si>
    <t>Izdevumi</t>
  </si>
  <si>
    <t>Centrālā dzīvojamo māju privatizācijas komisija</t>
  </si>
  <si>
    <t>Transportlīdzekļu īpašnieku apdrošināšanas garantijas fonds</t>
  </si>
  <si>
    <t xml:space="preserve">    Atskaitījumi no obligātās apdrošināšanas prēmijām</t>
  </si>
  <si>
    <t xml:space="preserve">    Pārējie maksājumi</t>
  </si>
  <si>
    <t>Transportlīdzekļu īpašnieku apdrošināšanas apdrošinājuma ņēmēju interešu aizsardzības  fonds</t>
  </si>
  <si>
    <t xml:space="preserve">   Atskaitījumi no obligātās apdrošināšanas prēmijām</t>
  </si>
  <si>
    <t>Ceļu satiksmes negadījumu novēršana un profilakse</t>
  </si>
  <si>
    <t>Noguldījumu garantiju fonda veidošana, pārvaldīšana un izlietošana</t>
  </si>
  <si>
    <t xml:space="preserve">   Vienreizēja iemaksa saskaņā ar 1999.gada valsts budžetu</t>
  </si>
  <si>
    <t xml:space="preserve">   Atskaitījumi no komercbankām</t>
  </si>
  <si>
    <t xml:space="preserve"> Speciālais budżets sporta vajadzībām</t>
  </si>
  <si>
    <t xml:space="preserve">    Ienākumi no izložu un azartspēļu nodevas un nodokļa maksājumiem</t>
  </si>
  <si>
    <t xml:space="preserve"> Studējošo un studiju kreditēšana</t>
  </si>
  <si>
    <t xml:space="preserve">    Valsts pamatbudžeta dotācija</t>
  </si>
  <si>
    <t xml:space="preserve"> Zivju fonds</t>
  </si>
  <si>
    <t xml:space="preserve">   Maksa par rūpnieciskās zvejas tiesību nomu un izmantošanu</t>
  </si>
  <si>
    <t>Meżsaimniecības attīstības fonds</t>
  </si>
  <si>
    <t xml:space="preserve">   Ieņēmumi no meža resursu realizācijas</t>
  </si>
  <si>
    <t xml:space="preserve">   Pārējie maksājumi</t>
  </si>
  <si>
    <t>Valsts autoceļu fonds</t>
  </si>
  <si>
    <t xml:space="preserve">    Transportlīdzekļu ikgadējā nodeva</t>
  </si>
  <si>
    <t xml:space="preserve">    60%  akcīzes nodoklis par naftas produktiem</t>
  </si>
  <si>
    <t xml:space="preserve">     Pārējie maksājumi</t>
  </si>
  <si>
    <t xml:space="preserve">        Izdevumi kapitālieguldļjumiem</t>
  </si>
  <si>
    <t xml:space="preserve"> Dzelzceļa infrastruktūras fonds</t>
  </si>
  <si>
    <t xml:space="preserve">   Dotācija no Valsts autoceļu fonda</t>
  </si>
  <si>
    <t>Ostu attīstības fonds</t>
  </si>
  <si>
    <t xml:space="preserve">    Ostas un kuģošanas nodeva</t>
  </si>
  <si>
    <t>Lidostu nodeva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</si>
  <si>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</si>
  <si>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</si>
  <si>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</si>
  <si>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</si>
  <si>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</si>
  <si>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</si>
  <si>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</si>
  <si>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      Izdevumi kapitālieguldījumiem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</si>
  <si>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</si>
  <si>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</si>
  <si>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</si>
  <si>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>Valsts speciālais veselības aprūpes budžets</t>
  </si>
  <si>
    <t xml:space="preserve">   Iedzīvotāju ienākuma nodoklis</t>
  </si>
  <si>
    <t xml:space="preserve">   Valsts pamatbudžeta dotācija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</si>
  <si>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</si>
  <si>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</si>
  <si>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</si>
  <si>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</si>
  <si>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Kultūrkapitāla fonds</t>
  </si>
  <si>
    <t xml:space="preserve">   Ienākumi no izložu un azartspēļu nodevas un nodokļa maksājumiem</t>
  </si>
  <si>
    <t xml:space="preserve">   Ieņēmumi no izsniegtajām licencēm</t>
  </si>
  <si>
    <t xml:space="preserve">   Ieņēmumi no kancelejas nodevām</t>
  </si>
  <si>
    <t>Īpašu uzdevumu ministra sadarbībai ar starptautiskajām finansu institūcijām sekretariāts</t>
  </si>
  <si>
    <t xml:space="preserve">   Ieņēmumi no finansu institūcijām sniegtajiem pakalpojumiem</t>
  </si>
  <si>
    <t>Valsts kases pārvaldnieks _______________________________________  (A.Veiss)</t>
  </si>
  <si>
    <t xml:space="preserve">          Valsts kases oficiālais mēneša pārskats</t>
  </si>
  <si>
    <t>6.tabula</t>
  </si>
  <si>
    <t xml:space="preserve">Valsts speciālā budżeta ieņēmumu un izdevumu atšifrējums </t>
  </si>
  <si>
    <t>Izpilde % pret finansē-šanas plānu pārskata periodam           (4/3)</t>
  </si>
  <si>
    <t>Aprīļa  izpilde</t>
  </si>
  <si>
    <t>1.Ieņēmumi - kopā</t>
  </si>
  <si>
    <t>Īpašiem mērķiem iezīmēti ieņēmumi</t>
  </si>
  <si>
    <t>Maksas pakalpojumi un citi pašu ieņēmumi</t>
  </si>
  <si>
    <t>2.1.Uzturēšanas izdevumi</t>
  </si>
  <si>
    <t xml:space="preserve">     t.sk. preču un pakalpojumu izdevumi</t>
  </si>
  <si>
    <t>iemaksas valsts pamatbudžetā</t>
  </si>
  <si>
    <t>izdevumi saskaņā ar likumu "Par valsts un pašvaldību īpašuma privatizācijas fondiem</t>
  </si>
  <si>
    <t xml:space="preserve">     aizņēmumu atmaksa</t>
  </si>
  <si>
    <t xml:space="preserve">    procentu nomaksa par iekšējiem aizņēmumiem</t>
  </si>
  <si>
    <t xml:space="preserve">    procentu nomaksa par ārvalstu aizņēmumiem</t>
  </si>
  <si>
    <t xml:space="preserve">    t.sk. pamatbudžetam sociālās apdrošināšanas iemaksu administrēšanai</t>
  </si>
  <si>
    <t>pārējiem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</si>
  <si>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</si>
  <si>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</si>
  <si>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</si>
  <si>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</si>
  <si>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</si>
  <si>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>Marta izpilde</t>
  </si>
  <si>
    <t>3.Valsts budžeta tīrie aizdevumi (3.1.-3.2.)</t>
  </si>
  <si>
    <t>Finansēšana</t>
  </si>
  <si>
    <t>Valsts speciālā budžeta naudas līdzekļu atlikumu izmaiņas palielinājums (-) vai samazinājums (+)</t>
  </si>
  <si>
    <t>1999.gada 17. maijs</t>
  </si>
  <si>
    <t>7.tabula</t>
  </si>
  <si>
    <t>Valsts speciālā budżeta (dāvinājumi un ziedojumi) ieņēmumi un izdevumi</t>
  </si>
  <si>
    <t>Valsts budžeta iestāžu dāvinājumu un ziedojumu ieņēmumi un izdevumi</t>
  </si>
  <si>
    <t xml:space="preserve">                                                       (1999.gada janvāris - aprīlis)</t>
  </si>
  <si>
    <t>Izpilde % pret finansēšanas plānu  (3/2)</t>
  </si>
  <si>
    <t>Aprīļa   izpilde</t>
  </si>
  <si>
    <t>Finansēšanas plāns pārskata periodam *</t>
  </si>
  <si>
    <t>1.Saņemtie dāvinājumi un ziedojumi - kopā</t>
  </si>
  <si>
    <t xml:space="preserve">   no iekšzemes juridiskajām un fiziskajām personām</t>
  </si>
  <si>
    <t xml:space="preserve">   no ārvalstu juridiskajām un fiziskajām personām</t>
  </si>
  <si>
    <t>2.Izdevumi - kopā (2.1.+2.2.)</t>
  </si>
  <si>
    <t xml:space="preserve">    valsts sociālās apdrošināšanas obligātās iemaksas</t>
  </si>
  <si>
    <t xml:space="preserve">            pārējie izdevumi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</si>
  <si>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</si>
  <si>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</si>
  <si>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</si>
  <si>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</si>
  <si>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>Fiskālā bilance (1.-2.)</t>
  </si>
  <si>
    <t>Naudas līdzekļu atlikumu izmaiņas palielinājums (-) vai samazinājums (+)</t>
  </si>
  <si>
    <t>* - nav informācijas</t>
  </si>
  <si>
    <t xml:space="preserve">                                                                Valsts kases oficiālais mēneša pārskats</t>
  </si>
  <si>
    <t>8.tabula</t>
  </si>
  <si>
    <t xml:space="preserve">                                                     Valsts kases oficiālais mēneša pārskats</t>
  </si>
  <si>
    <t xml:space="preserve">                                        Valsts pamatbudžeta izdevumi pēc valdības funkcijām</t>
  </si>
  <si>
    <t xml:space="preserve">                                 Valsts pamatbudžeta izdevumi pēc valdības funkcijām</t>
  </si>
  <si>
    <t xml:space="preserve">                                                             ( 1999.gada janvāris- aprīlis)</t>
  </si>
  <si>
    <t>Valdības funkcijas kods</t>
  </si>
  <si>
    <t>Izpilde % pret gada plānu          (3/2)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</si>
  <si>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</si>
  <si>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</si>
  <si>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</si>
  <si>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</si>
  <si>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</si>
  <si>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</si>
  <si>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</si>
  <si>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</si>
  <si>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</si>
  <si>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</si>
  <si>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</si>
  <si>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</si>
  <si>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</si>
  <si>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</si>
  <si>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Pārējie izdevumi, kas nav atspoguļoti pamatgrupās  *</t>
  </si>
  <si>
    <t>* ieskaitot aizdevumus un atmaksas</t>
  </si>
  <si>
    <t>Valsts kases pārvaldnieks__________________________________</t>
  </si>
  <si>
    <t>A.Veiss</t>
  </si>
  <si>
    <t>Valsts kases pārvaldnieks________________________________</t>
  </si>
  <si>
    <t>(A.Veiss)</t>
  </si>
  <si>
    <t>Valsts kase /Pārskatu departaments</t>
  </si>
  <si>
    <t>1999.gada 15.februāris</t>
  </si>
  <si>
    <t xml:space="preserve">                                                                 Valsts kases oficiālais mēneša pārskats</t>
  </si>
  <si>
    <t>9.tabula</t>
  </si>
  <si>
    <t xml:space="preserve">                                    Valsts speciālā budžeta izdevumi pēc valdības funkcijām</t>
  </si>
  <si>
    <t xml:space="preserve">                                                                  (1999.gada janvāris -  aprīlis )</t>
  </si>
  <si>
    <t xml:space="preserve">                                                                  (1999.gada janvāris - aprīlis )</t>
  </si>
  <si>
    <t>Izdevumi no ziedojumiem un dāvinājumiem</t>
  </si>
  <si>
    <t>Valsts kases pārvaldnieks_________________________________</t>
  </si>
  <si>
    <t>Valsts kases oficiālais mēneša pārskats par valsts kopbudžeta izpildi                             ( 1999.gada janvāris - aprīlis )</t>
  </si>
  <si>
    <t xml:space="preserve">                (tūkst.latu)</t>
  </si>
  <si>
    <t>Konsolidētais
valsts budžets*</t>
  </si>
  <si>
    <t>Konsolidētais
pašvaldību budžets</t>
  </si>
  <si>
    <t>Konsolidētais kopbudžets</t>
  </si>
  <si>
    <t>Marta   izpilde</t>
  </si>
  <si>
    <t>1. Ieņēmumi (bruto)</t>
  </si>
  <si>
    <t>mīnus transferts no valsts pamatbudžeta pašvaldību budžetos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</si>
  <si>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</si>
  <si>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</si>
  <si>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</si>
  <si>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</si>
  <si>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</si>
  <si>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</si>
  <si>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</si>
  <si>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</si>
  <si>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</si>
  <si>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</si>
  <si>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</si>
  <si>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</si>
  <si>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>mīnus pašvaldību aizdevumu atmaksas valsts pamatbudžetam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</si>
  <si>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</si>
  <si>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</si>
  <si>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</si>
  <si>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</si>
  <si>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</si>
  <si>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</si>
  <si>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</si>
  <si>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</si>
  <si>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</si>
  <si>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</si>
  <si>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>Tīrais aizņēmumu apjoms</t>
  </si>
  <si>
    <t xml:space="preserve">         Depozītu apjoma izmaiņas</t>
  </si>
  <si>
    <t xml:space="preserve">         Skaidras naudas līdzekļu
         apjoma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</si>
  <si>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</si>
  <si>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</si>
  <si>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</si>
  <si>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</si>
  <si>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</si>
  <si>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 un dāvinājumus</t>
  </si>
  <si>
    <t>Valsts kases pārvaldnieks __________________________________ A.Veiss</t>
  </si>
  <si>
    <t>Valsts kase/Pārskatu departaments</t>
  </si>
  <si>
    <t>10. tabula</t>
  </si>
  <si>
    <t xml:space="preserve">Pašvaldību konsolidētā budžeta izpilde </t>
  </si>
  <si>
    <t xml:space="preserve">   ( 1999. gada janvāris - aprīlis )</t>
  </si>
  <si>
    <t>Gada plāns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</si>
  <si>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</si>
  <si>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</si>
  <si>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</si>
  <si>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</si>
  <si>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</si>
  <si>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</si>
  <si>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</si>
  <si>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</si>
  <si>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</si>
  <si>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</si>
  <si>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</si>
  <si>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</si>
  <si>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</si>
  <si>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</si>
  <si>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</si>
  <si>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</si>
  <si>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</si>
  <si>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</si>
  <si>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</si>
  <si>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</si>
  <si>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</si>
  <si>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</si>
  <si>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</si>
  <si>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</si>
  <si>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</si>
  <si>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</si>
  <si>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</si>
  <si>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</si>
  <si>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</si>
  <si>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</t>
  </si>
  <si>
    <t xml:space="preserve">     Pašvaldību pamatbudžeta aizdevumi </t>
  </si>
  <si>
    <t xml:space="preserve">     Pašvaldību pamatbudžeta aizdevumu atmaksas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</si>
  <si>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</si>
  <si>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</si>
  <si>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</si>
  <si>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</si>
  <si>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</si>
  <si>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</si>
  <si>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</si>
  <si>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</si>
  <si>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</si>
  <si>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</si>
  <si>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pārvaldnieks                                    __________________________ </t>
  </si>
  <si>
    <t>A. Veiss</t>
  </si>
  <si>
    <t xml:space="preserve">Valsts kase / Pārskatu departaments </t>
  </si>
  <si>
    <t>17.05.99.</t>
  </si>
  <si>
    <t xml:space="preserve">                                       Valsts kases oficiālais mēneša pārskats</t>
  </si>
  <si>
    <t>11. tabula</t>
  </si>
  <si>
    <t xml:space="preserve">      9.tabula</t>
  </si>
  <si>
    <t>Pašvaldību pamatbudžeta ieņēmumi</t>
  </si>
  <si>
    <t>( 1999. gada janvāris - aprīlis )</t>
  </si>
  <si>
    <t>Izpilde % pret gada plānu (3/2)</t>
  </si>
  <si>
    <t>1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</si>
  <si>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</si>
  <si>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</si>
  <si>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</si>
  <si>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 *</t>
  </si>
  <si>
    <t xml:space="preserve">  Nekustamā īpašuma nodoklis</t>
  </si>
  <si>
    <t xml:space="preserve">  Īpašuma nodoklis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</si>
  <si>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</si>
  <si>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</si>
  <si>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</si>
  <si>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</si>
  <si>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</si>
  <si>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</si>
  <si>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</si>
  <si>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</si>
  <si>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</si>
  <si>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</si>
  <si>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</si>
  <si>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</si>
  <si>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</si>
  <si>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</si>
  <si>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</si>
  <si>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</si>
  <si>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</si>
  <si>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</si>
  <si>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</si>
  <si>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</si>
  <si>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</si>
  <si>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</si>
  <si>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</si>
  <si>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nesadalītais atlikums   1 463  tūkst.latu</t>
  </si>
  <si>
    <t>* iedzīvotāju ienākuma nodokļa prognozes neizpildes kompensācija   3 272  tūkst.latu</t>
  </si>
  <si>
    <t xml:space="preserve">                                           Valsts kases oficiālais mēneša pārskats</t>
  </si>
  <si>
    <t>12. tabula</t>
  </si>
  <si>
    <t xml:space="preserve">Pašvaldību pamatbudžeta izdevumi </t>
  </si>
  <si>
    <t xml:space="preserve">                               (tūkst.latu)</t>
  </si>
  <si>
    <t>2</t>
  </si>
  <si>
    <t>3</t>
  </si>
  <si>
    <t>4</t>
  </si>
  <si>
    <t>5</t>
  </si>
  <si>
    <t>1. Izdevumi kopā (1.1. + 1.2.)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</si>
  <si>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</si>
  <si>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</si>
  <si>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</si>
  <si>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</si>
  <si>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</si>
  <si>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</si>
  <si>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</si>
  <si>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</si>
  <si>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</si>
  <si>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</si>
  <si>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</si>
  <si>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</si>
  <si>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</si>
  <si>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</si>
  <si>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</si>
  <si>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Valsts kases pārvaldnieks</t>
  </si>
  <si>
    <t xml:space="preserve">                     Valsts kases oficiālais mēneša pārskats</t>
  </si>
  <si>
    <t>13. tabula</t>
  </si>
  <si>
    <t>Pašvaldību pamatbudžeta izdevumu atšifrējums</t>
  </si>
  <si>
    <t xml:space="preserve">                                                             (tūkst.latu)</t>
  </si>
  <si>
    <t>2.Izdevumi  kopā (2.1. +2.2.)</t>
  </si>
  <si>
    <t>0010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</si>
  <si>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</si>
  <si>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</si>
  <si>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</si>
  <si>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</si>
  <si>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</si>
  <si>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</si>
  <si>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</si>
  <si>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</si>
  <si>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</si>
  <si>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</si>
  <si>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</si>
  <si>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>*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</si>
  <si>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</si>
  <si>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</si>
  <si>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</si>
  <si>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</si>
  <si>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</si>
  <si>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</si>
  <si>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</si>
  <si>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</si>
  <si>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</si>
  <si>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* nav informācijas</t>
  </si>
  <si>
    <t>14.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</si>
  <si>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</si>
  <si>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</si>
  <si>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</si>
  <si>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</si>
  <si>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</si>
  <si>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</si>
  <si>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</si>
  <si>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</si>
  <si>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</si>
  <si>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</t>
  </si>
  <si>
    <t>2.1.Izdevumi no īpašiem mērķiem iezīmētu līdzekļu avotiem</t>
  </si>
  <si>
    <t>2.2.Izdevumi no saņemto ziedojumu un dāvinājumu līdzekļiem</t>
  </si>
  <si>
    <t xml:space="preserve">                            Valsts kases oficiālais mēneša pārskats </t>
  </si>
  <si>
    <t>15. tabula</t>
  </si>
  <si>
    <t>Pašvaldību speciālā budžeta izdevumu atšifrējums</t>
  </si>
  <si>
    <t xml:space="preserve">                                    (tūkst.latu)</t>
  </si>
  <si>
    <t xml:space="preserve">                                  pārējie izdevumi</t>
  </si>
  <si>
    <t xml:space="preserve">      Valsts kases oficiālais mēneša pārskats</t>
  </si>
  <si>
    <t>16. tabula</t>
  </si>
  <si>
    <t xml:space="preserve">Pašvaldību pamatbudžeta izpildes rādītāji </t>
  </si>
  <si>
    <t xml:space="preserve">                                                     (tūkst. latu)</t>
  </si>
  <si>
    <t xml:space="preserve">   Iekšējā finansēšana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</si>
  <si>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</si>
  <si>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</si>
  <si>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</si>
  <si>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</si>
  <si>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</si>
  <si>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</si>
  <si>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</si>
  <si>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</si>
  <si>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Ieņēmumu   pārpalikums vai deficits     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</si>
  <si>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</si>
  <si>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</si>
  <si>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</si>
  <si>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</si>
  <si>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</si>
  <si>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</si>
  <si>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</si>
  <si>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</si>
  <si>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</si>
  <si>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</si>
  <si>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</si>
  <si>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</si>
  <si>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</si>
  <si>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</si>
  <si>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</si>
  <si>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</si>
  <si>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</si>
  <si>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</si>
  <si>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</si>
  <si>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</si>
  <si>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</si>
  <si>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</si>
  <si>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</si>
  <si>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</si>
  <si>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</si>
  <si>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</si>
  <si>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</si>
  <si>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</si>
  <si>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</si>
  <si>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</si>
  <si>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</si>
  <si>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</si>
  <si>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</si>
  <si>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</si>
  <si>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</si>
  <si>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</si>
  <si>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</si>
  <si>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</si>
  <si>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</si>
  <si>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</si>
  <si>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</si>
  <si>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</si>
  <si>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</si>
  <si>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</si>
  <si>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- neieskaitot iedzīvotāju ienākuma nodokļa atlikumu sadales kontā</t>
  </si>
  <si>
    <t>_______________________________</t>
  </si>
  <si>
    <t xml:space="preserve">                Valsts kases oficiālais pārskats</t>
  </si>
  <si>
    <t>17.tabula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</si>
  <si>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</si>
  <si>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</si>
  <si>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</si>
  <si>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</si>
  <si>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</si>
  <si>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   kopā</t>
  </si>
  <si>
    <t>Ieņēmumu pārpalikums vai deficīts (2-3)</t>
  </si>
  <si>
    <t>Finansēšana       -(2-3)</t>
  </si>
  <si>
    <t>Budžeta līdzekļu izmaiņas         (8-9)</t>
  </si>
  <si>
    <t>Ārējā finansēšana</t>
  </si>
  <si>
    <t xml:space="preserve">                                      Valsts kases oficiālais mēneša pārskats</t>
  </si>
  <si>
    <t xml:space="preserve">                18. tabula</t>
  </si>
  <si>
    <t xml:space="preserve">                   Pašvaldību finansu izlīdzināšanas  fonda līdzekļi</t>
  </si>
  <si>
    <t xml:space="preserve">                   ( 1999. gada janvāris - aprīlis )</t>
  </si>
  <si>
    <t>(latos)</t>
  </si>
  <si>
    <t>Izpilde</t>
  </si>
  <si>
    <t xml:space="preserve">1. Ieņēmumi - kopā   </t>
  </si>
  <si>
    <t xml:space="preserve">Atlikums uz 1999.gada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</si>
  <si>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</si>
  <si>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</si>
  <si>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</si>
  <si>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</si>
  <si>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</si>
  <si>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</si>
  <si>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</si>
  <si>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</si>
  <si>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1999.gada 1.maiju (1.-2.)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</si>
  <si>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</si>
  <si>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</si>
  <si>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19.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</si>
  <si>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</si>
  <si>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</si>
  <si>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</si>
  <si>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</si>
  <si>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</si>
  <si>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</si>
  <si>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</si>
  <si>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Mērķdotācijas kristīgās mācības un ētikas programmai (15.pielikums) </t>
  </si>
  <si>
    <t xml:space="preserve">Pārējās mērķdotā-cijas </t>
  </si>
  <si>
    <t>Mērķdotācijas teritoriālplānošanai</t>
  </si>
  <si>
    <t>Mērķdotācijas
 kopā              (2+3+4+5+6+7+8+9)</t>
  </si>
  <si>
    <t>1998.g.</t>
  </si>
  <si>
    <t>1999.g.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</si>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</sst>
</file>

<file path=xl/styles.xml><?xml version="1.0" encoding="utf-8"?>
<styleSheet xmlns="http://schemas.openxmlformats.org/spreadsheetml/2006/main">
  <numFmts count="62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##,###,###"/>
    <numFmt numFmtId="173" formatCode="0.0%"/>
    <numFmt numFmtId="174" formatCode="#,###%"/>
    <numFmt numFmtId="175" formatCode="#\ ##0"/>
    <numFmt numFmtId="176" formatCode="00.0%"/>
    <numFmt numFmtId="177" formatCode="###.0%"/>
    <numFmt numFmtId="178" formatCode="#,###.0%"/>
    <numFmt numFmtId="179" formatCode="###,###"/>
    <numFmt numFmtId="180" formatCode="00.000"/>
    <numFmt numFmtId="181" formatCode="###0"/>
    <numFmt numFmtId="182" formatCode="#,##0\ &quot;LVR&quot;;\-#,##0\ &quot;LVR&quot;"/>
    <numFmt numFmtId="183" formatCode="#,##0\ &quot;LVR&quot;;[Red]\-#,##0\ &quot;LVR&quot;"/>
    <numFmt numFmtId="184" formatCode="#,##0.00\ &quot;LVR&quot;;\-#,##0.00\ &quot;LVR&quot;"/>
    <numFmt numFmtId="185" formatCode="#,##0.00\ &quot;LVR&quot;;[Red]\-#,##0.00\ &quot;LVR&quot;"/>
    <numFmt numFmtId="186" formatCode="_-* #,##0\ &quot;LVR&quot;_-;\-* #,##0\ &quot;LVR&quot;_-;_-* &quot;-&quot;\ &quot;LVR&quot;_-;_-@_-"/>
    <numFmt numFmtId="187" formatCode="_-* #,##0\ _L_V_R_-;\-* #,##0\ _L_V_R_-;_-* &quot;-&quot;\ _L_V_R_-;_-@_-"/>
    <numFmt numFmtId="188" formatCode="_-* #,##0.00\ &quot;LVR&quot;_-;\-* #,##0.00\ &quot;LVR&quot;_-;_-* &quot;-&quot;??\ &quot;LVR&quot;_-;_-@_-"/>
    <numFmt numFmtId="189" formatCode="_-* #,##0.00\ _L_V_R_-;\-* #,##0.00\ _L_V_R_-;_-* &quot;-&quot;??\ _L_V_R_-;_-@_-"/>
    <numFmt numFmtId="190" formatCode="&quot;Ls&quot;#,##0_);\(&quot;Ls&quot;#,##0\)"/>
    <numFmt numFmtId="191" formatCode="&quot;Ls&quot;#,##0_);[Red]\(&quot;Ls&quot;#,##0\)"/>
    <numFmt numFmtId="192" formatCode="&quot;Ls&quot;#,##0.00_);\(&quot;Ls&quot;#,##0.00\)"/>
    <numFmt numFmtId="193" formatCode="&quot;Ls&quot;#,##0.00_);[Red]\(&quot;Ls&quot;#,##0.00\)"/>
    <numFmt numFmtId="194" formatCode="_(&quot;Ls&quot;* #,##0_);_(&quot;Ls&quot;* \(#,##0\);_(&quot;Ls&quot;* &quot;-&quot;_);_(@_)"/>
    <numFmt numFmtId="195" formatCode="_(&quot;Ls&quot;* #,##0.00_);_(&quot;Ls&quot;* \(#,##0.00\);_(&quot;Ls&quot;* &quot;-&quot;??_);_(@_)"/>
    <numFmt numFmtId="196" formatCode="#,###,##0"/>
    <numFmt numFmtId="197" formatCode="#,000"/>
    <numFmt numFmtId="198" formatCode="#,###,000"/>
    <numFmt numFmtId="199" formatCode="#,"/>
    <numFmt numFmtId="200" formatCode="0,"/>
    <numFmt numFmtId="201" formatCode="##0"/>
    <numFmt numFmtId="202" formatCode="#0,"/>
    <numFmt numFmtId="203" formatCode="#,#00"/>
    <numFmt numFmtId="204" formatCode="#."/>
    <numFmt numFmtId="205" formatCode="##0,"/>
    <numFmt numFmtId="206" formatCode="##0,###"/>
    <numFmt numFmtId="207" formatCode="#,###"/>
    <numFmt numFmtId="208" formatCode="\ #,"/>
    <numFmt numFmtId="209" formatCode="\ #"/>
    <numFmt numFmtId="210" formatCode="#,###,000.0"/>
    <numFmt numFmtId="211" formatCode="_(* #,##0.000_);_(* \(#,##0.000\);_(* &quot;-&quot;??_);_(@_)"/>
    <numFmt numFmtId="212" formatCode="_(* #,##0.0_);_(* \(#,##0.0\);_(* &quot;-&quot;??_);_(@_)"/>
    <numFmt numFmtId="213" formatCode="_(* #,##0_);_(* \(#,##0\);_(* &quot;-&quot;??_);_(@_)"/>
    <numFmt numFmtId="214" formatCode="#\ ###\ ##0"/>
    <numFmt numFmtId="215" formatCode="#\ ###\ \ ##0"/>
    <numFmt numFmtId="216" formatCode="###,##0,"/>
    <numFmt numFmtId="217" formatCode="#,###,"/>
  </numFmts>
  <fonts count="2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RimTimes"/>
      <family val="0"/>
    </font>
    <font>
      <b/>
      <sz val="10"/>
      <name val="RimTimes"/>
      <family val="0"/>
    </font>
    <font>
      <i/>
      <sz val="8"/>
      <name val="Times New Roman"/>
      <family val="0"/>
    </font>
    <font>
      <i/>
      <sz val="11"/>
      <name val="Arial"/>
      <family val="2"/>
    </font>
    <font>
      <sz val="8"/>
      <name val="Times New Roman"/>
      <family val="0"/>
    </font>
    <font>
      <b/>
      <sz val="16"/>
      <name val="Arial"/>
      <family val="2"/>
    </font>
    <font>
      <sz val="12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172" fontId="5" fillId="0" borderId="1" xfId="0" applyNumberFormat="1" applyFont="1" applyBorder="1" applyAlignment="1">
      <alignment/>
    </xf>
    <xf numFmtId="173" fontId="5" fillId="0" borderId="1" xfId="22" applyNumberFormat="1" applyFont="1" applyBorder="1" applyAlignment="1">
      <alignment/>
    </xf>
    <xf numFmtId="0" fontId="5" fillId="0" borderId="1" xfId="0" applyFont="1" applyBorder="1" applyAlignment="1">
      <alignment wrapText="1"/>
    </xf>
    <xf numFmtId="172" fontId="6" fillId="0" borderId="1" xfId="0" applyNumberFormat="1" applyFont="1" applyBorder="1" applyAlignment="1">
      <alignment/>
    </xf>
    <xf numFmtId="173" fontId="6" fillId="0" borderId="1" xfId="22" applyNumberFormat="1" applyFont="1" applyBorder="1" applyAlignment="1">
      <alignment/>
    </xf>
    <xf numFmtId="0" fontId="0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173" fontId="1" fillId="0" borderId="1" xfId="22" applyNumberFormat="1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72" fontId="8" fillId="0" borderId="1" xfId="0" applyNumberFormat="1" applyFont="1" applyBorder="1" applyAlignment="1">
      <alignment/>
    </xf>
    <xf numFmtId="173" fontId="8" fillId="0" borderId="1" xfId="22" applyNumberFormat="1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/>
    </xf>
    <xf numFmtId="172" fontId="4" fillId="0" borderId="1" xfId="0" applyNumberFormat="1" applyFont="1" applyBorder="1" applyAlignment="1">
      <alignment/>
    </xf>
    <xf numFmtId="174" fontId="6" fillId="0" borderId="1" xfId="22" applyNumberFormat="1" applyFont="1" applyBorder="1" applyAlignment="1">
      <alignment/>
    </xf>
    <xf numFmtId="174" fontId="1" fillId="0" borderId="1" xfId="22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75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73" fontId="4" fillId="0" borderId="1" xfId="0" applyNumberFormat="1" applyFont="1" applyBorder="1" applyAlignment="1">
      <alignment/>
    </xf>
    <xf numFmtId="176" fontId="4" fillId="0" borderId="1" xfId="22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75" fontId="5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176" fontId="5" fillId="0" borderId="1" xfId="22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175" fontId="6" fillId="0" borderId="1" xfId="0" applyNumberFormat="1" applyFont="1" applyBorder="1" applyAlignment="1">
      <alignment/>
    </xf>
    <xf numFmtId="173" fontId="6" fillId="0" borderId="1" xfId="0" applyNumberFormat="1" applyFont="1" applyBorder="1" applyAlignment="1">
      <alignment/>
    </xf>
    <xf numFmtId="176" fontId="6" fillId="0" borderId="1" xfId="22" applyNumberFormat="1" applyFont="1" applyBorder="1" applyAlignment="1">
      <alignment/>
    </xf>
    <xf numFmtId="175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6" fontId="1" fillId="0" borderId="1" xfId="22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75" fontId="8" fillId="0" borderId="1" xfId="0" applyNumberFormat="1" applyFont="1" applyBorder="1" applyAlignment="1">
      <alignment/>
    </xf>
    <xf numFmtId="173" fontId="8" fillId="0" borderId="1" xfId="0" applyNumberFormat="1" applyFont="1" applyBorder="1" applyAlignment="1">
      <alignment/>
    </xf>
    <xf numFmtId="176" fontId="8" fillId="0" borderId="1" xfId="22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75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0" fontId="1" fillId="0" borderId="0" xfId="22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75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5" fontId="7" fillId="0" borderId="0" xfId="0" applyNumberFormat="1" applyFont="1" applyAlignment="1">
      <alignment horizontal="centerContinuous"/>
    </xf>
    <xf numFmtId="10" fontId="7" fillId="0" borderId="0" xfId="0" applyNumberFormat="1" applyFont="1" applyAlignment="1">
      <alignment horizontal="centerContinuous"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5" fontId="4" fillId="0" borderId="1" xfId="0" applyNumberFormat="1" applyFont="1" applyBorder="1" applyAlignment="1">
      <alignment horizontal="right"/>
    </xf>
    <xf numFmtId="177" fontId="4" fillId="0" borderId="1" xfId="22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75" fontId="1" fillId="0" borderId="1" xfId="0" applyNumberFormat="1" applyFont="1" applyBorder="1" applyAlignment="1">
      <alignment horizontal="right"/>
    </xf>
    <xf numFmtId="177" fontId="1" fillId="0" borderId="1" xfId="22" applyNumberFormat="1" applyFont="1" applyBorder="1" applyAlignment="1">
      <alignment/>
    </xf>
    <xf numFmtId="175" fontId="4" fillId="0" borderId="1" xfId="0" applyNumberFormat="1" applyFont="1" applyBorder="1" applyAlignment="1">
      <alignment/>
    </xf>
    <xf numFmtId="175" fontId="5" fillId="0" borderId="1" xfId="0" applyNumberFormat="1" applyFont="1" applyBorder="1" applyAlignment="1">
      <alignment/>
    </xf>
    <xf numFmtId="177" fontId="5" fillId="0" borderId="1" xfId="22" applyNumberFormat="1" applyFont="1" applyBorder="1" applyAlignment="1">
      <alignment/>
    </xf>
    <xf numFmtId="175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175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Continuous"/>
    </xf>
    <xf numFmtId="10" fontId="7" fillId="0" borderId="0" xfId="0" applyNumberFormat="1" applyFont="1" applyBorder="1" applyAlignment="1">
      <alignment horizontal="centerContinuous"/>
    </xf>
    <xf numFmtId="175" fontId="11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175" fontId="1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4" fillId="0" borderId="0" xfId="0" applyFont="1" applyAlignment="1">
      <alignment/>
    </xf>
    <xf numFmtId="172" fontId="5" fillId="0" borderId="1" xfId="0" applyNumberFormat="1" applyFont="1" applyBorder="1" applyAlignment="1">
      <alignment horizontal="right" wrapText="1"/>
    </xf>
    <xf numFmtId="172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175" fontId="6" fillId="0" borderId="1" xfId="0" applyNumberFormat="1" applyFont="1" applyBorder="1" applyAlignment="1">
      <alignment/>
    </xf>
    <xf numFmtId="172" fontId="6" fillId="0" borderId="1" xfId="0" applyNumberFormat="1" applyFont="1" applyBorder="1" applyAlignment="1">
      <alignment horizontal="right" wrapText="1"/>
    </xf>
    <xf numFmtId="177" fontId="6" fillId="0" borderId="1" xfId="22" applyNumberFormat="1" applyFont="1" applyBorder="1" applyAlignment="1">
      <alignment/>
    </xf>
    <xf numFmtId="175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5" fontId="8" fillId="0" borderId="1" xfId="0" applyNumberFormat="1" applyFont="1" applyBorder="1" applyAlignment="1">
      <alignment horizontal="center"/>
    </xf>
    <xf numFmtId="175" fontId="8" fillId="0" borderId="1" xfId="0" applyNumberFormat="1" applyFont="1" applyBorder="1" applyAlignment="1">
      <alignment/>
    </xf>
    <xf numFmtId="10" fontId="8" fillId="0" borderId="1" xfId="0" applyNumberFormat="1" applyFont="1" applyBorder="1" applyAlignment="1">
      <alignment horizontal="center" wrapText="1"/>
    </xf>
    <xf numFmtId="10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17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72" fontId="1" fillId="0" borderId="1" xfId="0" applyNumberFormat="1" applyFont="1" applyBorder="1" applyAlignment="1">
      <alignment horizontal="right" vertical="center" wrapText="1"/>
    </xf>
    <xf numFmtId="172" fontId="1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7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/>
    </xf>
    <xf numFmtId="172" fontId="1" fillId="0" borderId="1" xfId="0" applyNumberFormat="1" applyFont="1" applyBorder="1" applyAlignment="1">
      <alignment horizontal="center" wrapText="1"/>
    </xf>
    <xf numFmtId="10" fontId="5" fillId="0" borderId="0" xfId="0" applyNumberFormat="1" applyFont="1" applyBorder="1" applyAlignment="1">
      <alignment horizontal="center" wrapText="1"/>
    </xf>
    <xf numFmtId="175" fontId="8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78" fontId="6" fillId="0" borderId="1" xfId="22" applyNumberFormat="1" applyFont="1" applyBorder="1" applyAlignment="1">
      <alignment/>
    </xf>
    <xf numFmtId="0" fontId="7" fillId="0" borderId="1" xfId="0" applyFont="1" applyBorder="1" applyAlignment="1">
      <alignment/>
    </xf>
    <xf numFmtId="178" fontId="1" fillId="0" borderId="1" xfId="22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Font="1" applyBorder="1" applyAlignment="1">
      <alignment/>
    </xf>
    <xf numFmtId="172" fontId="4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178" fontId="8" fillId="0" borderId="1" xfId="22" applyNumberFormat="1" applyFont="1" applyBorder="1" applyAlignment="1">
      <alignment/>
    </xf>
    <xf numFmtId="0" fontId="15" fillId="0" borderId="0" xfId="0" applyFont="1" applyAlignment="1">
      <alignment/>
    </xf>
    <xf numFmtId="175" fontId="0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72" fontId="4" fillId="0" borderId="1" xfId="0" applyNumberFormat="1" applyFont="1" applyBorder="1" applyAlignment="1">
      <alignment horizontal="right" wrapText="1"/>
    </xf>
    <xf numFmtId="173" fontId="4" fillId="0" borderId="1" xfId="22" applyNumberFormat="1" applyFont="1" applyBorder="1" applyAlignment="1">
      <alignment/>
    </xf>
    <xf numFmtId="0" fontId="1" fillId="0" borderId="1" xfId="0" applyFont="1" applyBorder="1" applyAlignment="1">
      <alignment horizontal="right" wrapText="1"/>
    </xf>
    <xf numFmtId="172" fontId="6" fillId="0" borderId="1" xfId="0" applyNumberFormat="1" applyFont="1" applyBorder="1" applyAlignment="1">
      <alignment/>
    </xf>
    <xf numFmtId="175" fontId="8" fillId="0" borderId="1" xfId="0" applyNumberFormat="1" applyFont="1" applyBorder="1" applyAlignment="1">
      <alignment horizontal="right"/>
    </xf>
    <xf numFmtId="174" fontId="8" fillId="0" borderId="1" xfId="22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75" fontId="0" fillId="0" borderId="1" xfId="0" applyNumberFormat="1" applyBorder="1" applyAlignment="1">
      <alignment/>
    </xf>
    <xf numFmtId="172" fontId="5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 horizontal="center"/>
    </xf>
    <xf numFmtId="175" fontId="7" fillId="0" borderId="1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center" wrapText="1"/>
    </xf>
    <xf numFmtId="175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75" fontId="0" fillId="0" borderId="0" xfId="0" applyNumberFormat="1" applyFont="1" applyAlignment="1">
      <alignment horizontal="center"/>
    </xf>
    <xf numFmtId="175" fontId="11" fillId="0" borderId="0" xfId="0" applyNumberFormat="1" applyFont="1" applyAlignment="1">
      <alignment horizontal="center"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5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1" xfId="0" applyFont="1" applyBorder="1" applyAlignment="1">
      <alignment horizontal="right" wrapText="1"/>
    </xf>
    <xf numFmtId="179" fontId="5" fillId="0" borderId="1" xfId="0" applyNumberFormat="1" applyFont="1" applyBorder="1" applyAlignment="1">
      <alignment horizontal="right" wrapText="1"/>
    </xf>
    <xf numFmtId="9" fontId="5" fillId="0" borderId="1" xfId="22" applyNumberFormat="1" applyFont="1" applyBorder="1" applyAlignment="1">
      <alignment/>
    </xf>
    <xf numFmtId="174" fontId="1" fillId="0" borderId="1" xfId="22" applyNumberFormat="1" applyFont="1" applyBorder="1" applyAlignment="1">
      <alignment horizontal="right"/>
    </xf>
    <xf numFmtId="9" fontId="6" fillId="0" borderId="1" xfId="22" applyNumberFormat="1" applyFont="1" applyBorder="1" applyAlignment="1">
      <alignment/>
    </xf>
    <xf numFmtId="175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75" fontId="6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12" fillId="0" borderId="0" xfId="0" applyFont="1" applyAlignment="1">
      <alignment/>
    </xf>
    <xf numFmtId="175" fontId="7" fillId="0" borderId="1" xfId="0" applyNumberFormat="1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75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5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" xfId="21" applyFont="1" applyBorder="1" applyAlignment="1">
      <alignment/>
      <protection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10" fontId="6" fillId="0" borderId="1" xfId="22" applyNumberFormat="1" applyFont="1" applyBorder="1" applyAlignment="1">
      <alignment/>
    </xf>
    <xf numFmtId="10" fontId="5" fillId="0" borderId="1" xfId="22" applyNumberFormat="1" applyFont="1" applyBorder="1" applyAlignment="1">
      <alignment/>
    </xf>
    <xf numFmtId="180" fontId="7" fillId="0" borderId="1" xfId="0" applyNumberFormat="1" applyFont="1" applyBorder="1" applyAlignment="1">
      <alignment horizontal="center"/>
    </xf>
    <xf numFmtId="175" fontId="7" fillId="0" borderId="1" xfId="0" applyNumberFormat="1" applyFont="1" applyBorder="1" applyAlignment="1">
      <alignment/>
    </xf>
    <xf numFmtId="10" fontId="1" fillId="0" borderId="1" xfId="22" applyNumberFormat="1" applyFont="1" applyBorder="1" applyAlignment="1">
      <alignment/>
    </xf>
    <xf numFmtId="180" fontId="1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/>
    </xf>
    <xf numFmtId="175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/>
    </xf>
    <xf numFmtId="175" fontId="4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175" fontId="6" fillId="0" borderId="1" xfId="0" applyNumberFormat="1" applyFont="1" applyBorder="1" applyAlignment="1">
      <alignment wrapText="1"/>
    </xf>
    <xf numFmtId="175" fontId="0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175" fontId="0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175" fontId="1" fillId="0" borderId="1" xfId="0" applyNumberFormat="1" applyFont="1" applyBorder="1" applyAlignment="1">
      <alignment wrapText="1"/>
    </xf>
    <xf numFmtId="175" fontId="0" fillId="0" borderId="1" xfId="0" applyNumberFormat="1" applyFont="1" applyBorder="1" applyAlignment="1">
      <alignment horizontal="left" vertical="center" wrapText="1"/>
    </xf>
    <xf numFmtId="175" fontId="0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3" fontId="7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21" applyFont="1" applyAlignment="1">
      <alignment horizontal="centerContinuous"/>
      <protection/>
    </xf>
    <xf numFmtId="0" fontId="0" fillId="0" borderId="0" xfId="21" applyFont="1" applyAlignment="1">
      <alignment horizontal="right"/>
      <protection/>
    </xf>
    <xf numFmtId="0" fontId="21" fillId="0" borderId="0" xfId="21" applyFont="1">
      <alignment/>
      <protection/>
    </xf>
    <xf numFmtId="0" fontId="0" fillId="0" borderId="0" xfId="21" applyFont="1">
      <alignment/>
      <protection/>
    </xf>
    <xf numFmtId="0" fontId="2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1" fillId="0" borderId="0" xfId="21" applyFont="1">
      <alignment/>
      <protection/>
    </xf>
    <xf numFmtId="0" fontId="1" fillId="0" borderId="1" xfId="21" applyFont="1" applyBorder="1" applyAlignment="1">
      <alignment horizontal="center" vertical="center" wrapText="1"/>
      <protection/>
    </xf>
    <xf numFmtId="0" fontId="21" fillId="0" borderId="0" xfId="21" applyFont="1" applyAlignment="1">
      <alignment horizontal="center"/>
      <protection/>
    </xf>
    <xf numFmtId="0" fontId="4" fillId="0" borderId="1" xfId="21" applyFont="1" applyBorder="1" applyAlignment="1">
      <alignment wrapText="1"/>
      <protection/>
    </xf>
    <xf numFmtId="175" fontId="4" fillId="0" borderId="1" xfId="21" applyNumberFormat="1" applyFont="1" applyBorder="1">
      <alignment/>
      <protection/>
    </xf>
    <xf numFmtId="175" fontId="7" fillId="0" borderId="1" xfId="21" applyNumberFormat="1" applyFont="1" applyBorder="1">
      <alignment/>
      <protection/>
    </xf>
    <xf numFmtId="10" fontId="4" fillId="0" borderId="1" xfId="21" applyNumberFormat="1" applyFont="1" applyBorder="1">
      <alignment/>
      <protection/>
    </xf>
    <xf numFmtId="175" fontId="1" fillId="0" borderId="1" xfId="21" applyNumberFormat="1" applyFont="1" applyBorder="1">
      <alignment/>
      <protection/>
    </xf>
    <xf numFmtId="10" fontId="1" fillId="0" borderId="1" xfId="21" applyNumberFormat="1" applyFont="1" applyBorder="1">
      <alignment/>
      <protection/>
    </xf>
    <xf numFmtId="0" fontId="8" fillId="0" borderId="1" xfId="21" applyFont="1" applyBorder="1" applyAlignment="1">
      <alignment horizontal="center" wrapText="1"/>
      <protection/>
    </xf>
    <xf numFmtId="0" fontId="0" fillId="0" borderId="1" xfId="21" applyFont="1" applyBorder="1" applyAlignment="1">
      <alignment wrapText="1"/>
      <protection/>
    </xf>
    <xf numFmtId="0" fontId="5" fillId="0" borderId="1" xfId="21" applyFont="1" applyBorder="1" applyAlignment="1">
      <alignment wrapText="1"/>
      <protection/>
    </xf>
    <xf numFmtId="0" fontId="7" fillId="0" borderId="1" xfId="21" applyFont="1" applyBorder="1" applyAlignment="1">
      <alignment wrapText="1"/>
      <protection/>
    </xf>
    <xf numFmtId="0" fontId="0" fillId="0" borderId="1" xfId="21" applyFont="1" applyBorder="1">
      <alignment/>
      <protection/>
    </xf>
    <xf numFmtId="0" fontId="21" fillId="0" borderId="1" xfId="21" applyFont="1" applyBorder="1">
      <alignment/>
      <protection/>
    </xf>
    <xf numFmtId="0" fontId="7" fillId="0" borderId="1" xfId="21" applyFont="1" applyBorder="1">
      <alignment/>
      <protection/>
    </xf>
    <xf numFmtId="0" fontId="0" fillId="0" borderId="0" xfId="21" applyFont="1" applyAlignment="1">
      <alignment wrapText="1"/>
      <protection/>
    </xf>
    <xf numFmtId="0" fontId="7" fillId="0" borderId="0" xfId="21" applyFont="1" applyAlignment="1">
      <alignment horizontal="left"/>
      <protection/>
    </xf>
    <xf numFmtId="0" fontId="0" fillId="0" borderId="0" xfId="21" applyFont="1" applyBorder="1" applyAlignment="1">
      <alignment horizontal="centerContinuous"/>
      <protection/>
    </xf>
    <xf numFmtId="49" fontId="7" fillId="0" borderId="0" xfId="21" applyNumberFormat="1" applyFont="1" applyBorder="1" applyAlignment="1">
      <alignment horizontal="center"/>
      <protection/>
    </xf>
    <xf numFmtId="0" fontId="1" fillId="0" borderId="0" xfId="21" applyFont="1" applyAlignment="1">
      <alignment wrapText="1"/>
      <protection/>
    </xf>
    <xf numFmtId="0" fontId="21" fillId="0" borderId="0" xfId="21" applyFont="1" applyAlignment="1">
      <alignment wrapText="1"/>
      <protection/>
    </xf>
    <xf numFmtId="49" fontId="0" fillId="0" borderId="0" xfId="21" applyNumberFormat="1" applyFont="1" applyAlignment="1">
      <alignment horizontal="centerContinuous" vertical="top" wrapText="1"/>
      <protection/>
    </xf>
    <xf numFmtId="0" fontId="0" fillId="0" borderId="0" xfId="21" applyFont="1" applyAlignment="1">
      <alignment horizontal="left"/>
      <protection/>
    </xf>
    <xf numFmtId="49" fontId="2" fillId="0" borderId="0" xfId="21" applyNumberFormat="1" applyFont="1" applyAlignment="1">
      <alignment horizontal="centerContinuous" vertical="top" wrapText="1"/>
      <protection/>
    </xf>
    <xf numFmtId="49" fontId="19" fillId="0" borderId="0" xfId="21" applyNumberFormat="1" applyFont="1" applyAlignment="1">
      <alignment horizontal="centerContinuous" vertical="top" wrapText="1"/>
      <protection/>
    </xf>
    <xf numFmtId="0" fontId="19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49" fontId="21" fillId="0" borderId="0" xfId="21" applyNumberFormat="1" applyFont="1" applyAlignment="1">
      <alignment vertical="top" wrapText="1"/>
      <protection/>
    </xf>
    <xf numFmtId="0" fontId="21" fillId="0" borderId="0" xfId="21" applyFont="1" applyAlignment="1">
      <alignment horizontal="centerContinuous"/>
      <protection/>
    </xf>
    <xf numFmtId="49" fontId="1" fillId="0" borderId="0" xfId="21" applyNumberFormat="1" applyFont="1" applyAlignment="1">
      <alignment vertical="top" wrapText="1"/>
      <protection/>
    </xf>
    <xf numFmtId="0" fontId="1" fillId="0" borderId="0" xfId="21" applyFont="1" applyAlignment="1">
      <alignment horizontal="centerContinuous"/>
      <protection/>
    </xf>
    <xf numFmtId="49" fontId="1" fillId="0" borderId="1" xfId="21" applyNumberFormat="1" applyFont="1" applyFill="1" applyBorder="1" applyAlignment="1">
      <alignment horizontal="centerContinuous" vertical="center"/>
      <protection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49" fontId="1" fillId="0" borderId="1" xfId="21" applyNumberFormat="1" applyFont="1" applyFill="1" applyBorder="1" applyAlignment="1">
      <alignment horizontal="center" vertical="top" wrapText="1"/>
      <protection/>
    </xf>
    <xf numFmtId="3" fontId="4" fillId="0" borderId="1" xfId="21" applyNumberFormat="1" applyFont="1" applyBorder="1" applyAlignment="1">
      <alignment horizontal="center"/>
      <protection/>
    </xf>
    <xf numFmtId="3" fontId="7" fillId="0" borderId="1" xfId="21" applyNumberFormat="1" applyFont="1" applyBorder="1">
      <alignment/>
      <protection/>
    </xf>
    <xf numFmtId="4" fontId="7" fillId="0" borderId="1" xfId="21" applyNumberFormat="1" applyFont="1" applyBorder="1">
      <alignment/>
      <protection/>
    </xf>
    <xf numFmtId="49" fontId="4" fillId="0" borderId="1" xfId="21" applyNumberFormat="1" applyFont="1" applyFill="1" applyBorder="1" applyAlignment="1">
      <alignment horizontal="center" vertical="top" wrapText="1"/>
      <protection/>
    </xf>
    <xf numFmtId="3" fontId="4" fillId="0" borderId="1" xfId="21" applyNumberFormat="1" applyFont="1" applyBorder="1" applyAlignment="1">
      <alignment horizontal="left"/>
      <protection/>
    </xf>
    <xf numFmtId="3" fontId="6" fillId="0" borderId="1" xfId="21" applyNumberFormat="1" applyFont="1" applyBorder="1" applyAlignment="1">
      <alignment horizontal="left"/>
      <protection/>
    </xf>
    <xf numFmtId="3" fontId="1" fillId="0" borderId="1" xfId="21" applyNumberFormat="1" applyFont="1" applyBorder="1">
      <alignment/>
      <protection/>
    </xf>
    <xf numFmtId="49" fontId="1" fillId="0" borderId="1" xfId="21" applyNumberFormat="1" applyFont="1" applyFill="1" applyBorder="1" applyAlignment="1">
      <alignment vertical="top" wrapText="1"/>
      <protection/>
    </xf>
    <xf numFmtId="49" fontId="4" fillId="0" borderId="1" xfId="21" applyNumberFormat="1" applyFont="1" applyFill="1" applyBorder="1" applyAlignment="1">
      <alignment vertical="top" wrapText="1"/>
      <protection/>
    </xf>
    <xf numFmtId="3" fontId="6" fillId="0" borderId="1" xfId="21" applyNumberFormat="1" applyFont="1" applyBorder="1" applyAlignment="1">
      <alignment horizontal="center"/>
      <protection/>
    </xf>
    <xf numFmtId="49" fontId="6" fillId="0" borderId="1" xfId="21" applyNumberFormat="1" applyFont="1" applyFill="1" applyBorder="1" applyAlignment="1">
      <alignment horizontal="center" vertical="top" wrapText="1"/>
      <protection/>
    </xf>
    <xf numFmtId="0" fontId="21" fillId="0" borderId="0" xfId="21" applyFont="1" applyBorder="1" applyAlignment="1">
      <alignment horizontal="left"/>
      <protection/>
    </xf>
    <xf numFmtId="0" fontId="7" fillId="0" borderId="0" xfId="21" applyFont="1" applyAlignment="1">
      <alignment horizontal="center"/>
      <protection/>
    </xf>
    <xf numFmtId="0" fontId="21" fillId="0" borderId="0" xfId="21" applyFont="1" applyAlignment="1">
      <alignment horizontal="left"/>
      <protection/>
    </xf>
    <xf numFmtId="0" fontId="21" fillId="0" borderId="0" xfId="21" applyFont="1" applyBorder="1" applyAlignment="1">
      <alignment horizontal="center"/>
      <protection/>
    </xf>
    <xf numFmtId="49" fontId="0" fillId="0" borderId="0" xfId="21" applyNumberFormat="1" applyFont="1" applyAlignment="1">
      <alignment vertical="top" wrapText="1"/>
      <protection/>
    </xf>
    <xf numFmtId="49" fontId="7" fillId="0" borderId="0" xfId="21" applyNumberFormat="1" applyFont="1" applyAlignment="1">
      <alignment horizontal="left" vertical="top" wrapText="1"/>
      <protection/>
    </xf>
    <xf numFmtId="49" fontId="7" fillId="0" borderId="0" xfId="21" applyNumberFormat="1" applyFont="1" applyAlignment="1">
      <alignment vertical="top" wrapText="1"/>
      <protection/>
    </xf>
    <xf numFmtId="49" fontId="7" fillId="0" borderId="3" xfId="21" applyNumberFormat="1" applyFont="1" applyBorder="1" applyAlignment="1">
      <alignment horizontal="center"/>
      <protection/>
    </xf>
    <xf numFmtId="0" fontId="7" fillId="0" borderId="0" xfId="21" applyFont="1">
      <alignment/>
      <protection/>
    </xf>
    <xf numFmtId="49" fontId="21" fillId="0" borderId="0" xfId="21" applyNumberFormat="1" applyFont="1" applyAlignment="1">
      <alignment horizontal="left" vertical="top" wrapText="1"/>
      <protection/>
    </xf>
    <xf numFmtId="0" fontId="1" fillId="0" borderId="0" xfId="21" applyFont="1" applyAlignment="1">
      <alignment horizontal="left"/>
      <protection/>
    </xf>
    <xf numFmtId="0" fontId="21" fillId="0" borderId="0" xfId="21" applyFont="1" applyAlignment="1">
      <alignment/>
      <protection/>
    </xf>
    <xf numFmtId="49" fontId="1" fillId="0" borderId="0" xfId="21" applyNumberFormat="1" applyFont="1" applyAlignment="1">
      <alignment horizontal="centerContinuous" vertical="top" wrapText="1"/>
      <protection/>
    </xf>
    <xf numFmtId="49" fontId="21" fillId="0" borderId="0" xfId="21" applyNumberFormat="1" applyFont="1" applyAlignment="1">
      <alignment horizontal="centerContinuous" vertical="top" wrapText="1"/>
      <protection/>
    </xf>
    <xf numFmtId="49" fontId="1" fillId="0" borderId="0" xfId="21" applyNumberFormat="1" applyFont="1" applyAlignment="1">
      <alignment horizontal="center" vertical="top" wrapText="1"/>
      <protection/>
    </xf>
    <xf numFmtId="0" fontId="1" fillId="0" borderId="0" xfId="21" applyFont="1" applyAlignment="1">
      <alignment/>
      <protection/>
    </xf>
    <xf numFmtId="49" fontId="1" fillId="0" borderId="4" xfId="21" applyNumberFormat="1" applyFont="1" applyFill="1" applyBorder="1" applyAlignment="1">
      <alignment horizontal="center" vertical="center" wrapText="1"/>
      <protection/>
    </xf>
    <xf numFmtId="49" fontId="1" fillId="0" borderId="5" xfId="21" applyNumberFormat="1" applyFont="1" applyFill="1" applyBorder="1" applyAlignment="1">
      <alignment horizontal="center" vertical="center" wrapText="1"/>
      <protection/>
    </xf>
    <xf numFmtId="49" fontId="1" fillId="0" borderId="6" xfId="21" applyNumberFormat="1" applyFont="1" applyFill="1" applyBorder="1" applyAlignment="1">
      <alignment horizontal="center" vertical="center" wrapText="1"/>
      <protection/>
    </xf>
    <xf numFmtId="49" fontId="1" fillId="0" borderId="7" xfId="21" applyNumberFormat="1" applyFont="1" applyFill="1" applyBorder="1" applyAlignment="1">
      <alignment horizontal="center" vertical="top" wrapText="1"/>
      <protection/>
    </xf>
    <xf numFmtId="49" fontId="1" fillId="0" borderId="8" xfId="21" applyNumberFormat="1" applyFont="1" applyFill="1" applyBorder="1" applyAlignment="1">
      <alignment horizontal="center" vertical="top" wrapText="1"/>
      <protection/>
    </xf>
    <xf numFmtId="49" fontId="4" fillId="0" borderId="7" xfId="21" applyNumberFormat="1" applyFont="1" applyFill="1" applyBorder="1" applyAlignment="1">
      <alignment horizontal="center" vertical="top" wrapText="1"/>
      <protection/>
    </xf>
    <xf numFmtId="3" fontId="7" fillId="0" borderId="8" xfId="21" applyNumberFormat="1" applyFont="1" applyBorder="1">
      <alignment/>
      <protection/>
    </xf>
    <xf numFmtId="49" fontId="4" fillId="0" borderId="7" xfId="21" applyNumberFormat="1" applyFont="1" applyFill="1" applyBorder="1" applyAlignment="1">
      <alignment horizontal="left" vertical="top" wrapText="1"/>
      <protection/>
    </xf>
    <xf numFmtId="49" fontId="1" fillId="0" borderId="7" xfId="21" applyNumberFormat="1" applyFont="1" applyFill="1" applyBorder="1" applyAlignment="1">
      <alignment vertical="top" wrapText="1"/>
      <protection/>
    </xf>
    <xf numFmtId="49" fontId="6" fillId="0" borderId="7" xfId="21" applyNumberFormat="1" applyFont="1" applyFill="1" applyBorder="1" applyAlignment="1">
      <alignment horizontal="center" vertical="top" wrapText="1"/>
      <protection/>
    </xf>
    <xf numFmtId="49" fontId="1" fillId="0" borderId="7" xfId="21" applyNumberFormat="1" applyFont="1" applyFill="1" applyBorder="1" applyAlignment="1">
      <alignment horizontal="left" vertical="top" wrapText="1"/>
      <protection/>
    </xf>
    <xf numFmtId="49" fontId="1" fillId="0" borderId="9" xfId="21" applyNumberFormat="1" applyFont="1" applyFill="1" applyBorder="1" applyAlignment="1">
      <alignment horizontal="left" vertical="top" wrapText="1"/>
      <protection/>
    </xf>
    <xf numFmtId="3" fontId="7" fillId="0" borderId="10" xfId="21" applyNumberFormat="1" applyFont="1" applyBorder="1">
      <alignment/>
      <protection/>
    </xf>
    <xf numFmtId="3" fontId="7" fillId="0" borderId="11" xfId="21" applyNumberFormat="1" applyFont="1" applyBorder="1">
      <alignment/>
      <protection/>
    </xf>
    <xf numFmtId="49" fontId="7" fillId="0" borderId="0" xfId="21" applyNumberFormat="1" applyFont="1" applyFill="1" applyBorder="1" applyAlignment="1">
      <alignment vertical="top" wrapText="1"/>
      <protection/>
    </xf>
    <xf numFmtId="49" fontId="7" fillId="0" borderId="0" xfId="21" applyNumberFormat="1" applyFont="1" applyFill="1" applyBorder="1" applyAlignment="1">
      <alignment horizontal="center" vertical="top" wrapText="1"/>
      <protection/>
    </xf>
    <xf numFmtId="3" fontId="7" fillId="0" borderId="0" xfId="21" applyNumberFormat="1" applyFont="1" applyBorder="1">
      <alignment/>
      <protection/>
    </xf>
    <xf numFmtId="49" fontId="7" fillId="0" borderId="0" xfId="21" applyNumberFormat="1" applyFont="1" applyAlignment="1">
      <alignment horizontal="center" vertical="top" wrapText="1"/>
      <protection/>
    </xf>
    <xf numFmtId="0" fontId="7" fillId="0" borderId="3" xfId="21" applyFont="1" applyBorder="1" applyAlignment="1">
      <alignment/>
      <protection/>
    </xf>
    <xf numFmtId="49" fontId="7" fillId="0" borderId="0" xfId="21" applyNumberFormat="1" applyFont="1" applyBorder="1">
      <alignment/>
      <protection/>
    </xf>
    <xf numFmtId="0" fontId="7" fillId="0" borderId="0" xfId="21" applyFont="1" applyAlignment="1">
      <alignment/>
      <protection/>
    </xf>
    <xf numFmtId="49" fontId="21" fillId="0" borderId="0" xfId="21" applyNumberFormat="1" applyFont="1" applyAlignment="1">
      <alignment horizontal="center" vertical="top" wrapText="1"/>
      <protection/>
    </xf>
    <xf numFmtId="49" fontId="0" fillId="0" borderId="0" xfId="21" applyNumberFormat="1" applyFont="1" applyAlignment="1">
      <alignment horizontal="right" vertical="top" wrapText="1"/>
      <protection/>
    </xf>
    <xf numFmtId="49" fontId="10" fillId="0" borderId="0" xfId="21" applyNumberFormat="1" applyFont="1" applyAlignment="1">
      <alignment horizontal="centerContinuous" vertical="top" wrapText="1"/>
      <protection/>
    </xf>
    <xf numFmtId="49" fontId="6" fillId="0" borderId="7" xfId="21" applyNumberFormat="1" applyFont="1" applyFill="1" applyBorder="1" applyAlignment="1">
      <alignment horizontal="left" vertical="top" wrapText="1"/>
      <protection/>
    </xf>
    <xf numFmtId="49" fontId="8" fillId="0" borderId="7" xfId="21" applyNumberFormat="1" applyFont="1" applyFill="1" applyBorder="1" applyAlignment="1">
      <alignment horizontal="left" vertical="top" wrapText="1"/>
      <protection/>
    </xf>
    <xf numFmtId="3" fontId="21" fillId="0" borderId="0" xfId="21" applyNumberFormat="1" applyFont="1" applyAlignment="1">
      <alignment horizontal="left"/>
      <protection/>
    </xf>
    <xf numFmtId="4" fontId="7" fillId="0" borderId="10" xfId="21" applyNumberFormat="1" applyFont="1" applyBorder="1">
      <alignment/>
      <protection/>
    </xf>
    <xf numFmtId="49" fontId="4" fillId="0" borderId="9" xfId="21" applyNumberFormat="1" applyFont="1" applyFill="1" applyBorder="1" applyAlignment="1">
      <alignment horizontal="left" vertical="top" wrapText="1"/>
      <protection/>
    </xf>
    <xf numFmtId="49" fontId="1" fillId="0" borderId="0" xfId="21" applyNumberFormat="1" applyFont="1" applyAlignment="1">
      <alignment horizontal="left" vertical="top" wrapText="1"/>
      <protection/>
    </xf>
    <xf numFmtId="0" fontId="1" fillId="0" borderId="7" xfId="21" applyFont="1" applyBorder="1" applyAlignment="1">
      <alignment horizontal="center"/>
      <protection/>
    </xf>
    <xf numFmtId="3" fontId="1" fillId="0" borderId="1" xfId="21" applyNumberFormat="1" applyFont="1" applyBorder="1" applyAlignment="1">
      <alignment horizontal="center"/>
      <protection/>
    </xf>
    <xf numFmtId="0" fontId="1" fillId="0" borderId="1" xfId="21" applyNumberFormat="1" applyFont="1" applyBorder="1" applyAlignment="1">
      <alignment horizontal="center"/>
      <protection/>
    </xf>
    <xf numFmtId="0" fontId="1" fillId="0" borderId="8" xfId="21" applyNumberFormat="1" applyFont="1" applyBorder="1" applyAlignment="1">
      <alignment horizontal="center"/>
      <protection/>
    </xf>
    <xf numFmtId="0" fontId="4" fillId="0" borderId="7" xfId="21" applyFont="1" applyBorder="1" applyAlignment="1">
      <alignment horizontal="left" vertical="top" wrapText="1"/>
      <protection/>
    </xf>
    <xf numFmtId="2" fontId="7" fillId="0" borderId="1" xfId="21" applyNumberFormat="1" applyFont="1" applyBorder="1">
      <alignment/>
      <protection/>
    </xf>
    <xf numFmtId="0" fontId="1" fillId="0" borderId="7" xfId="21" applyFont="1" applyBorder="1" applyAlignment="1">
      <alignment vertical="top" wrapText="1"/>
      <protection/>
    </xf>
    <xf numFmtId="0" fontId="4" fillId="0" borderId="7" xfId="21" applyFont="1" applyBorder="1" applyAlignment="1">
      <alignment vertical="top" wrapText="1"/>
      <protection/>
    </xf>
    <xf numFmtId="0" fontId="4" fillId="0" borderId="9" xfId="21" applyFont="1" applyBorder="1" applyAlignment="1">
      <alignment vertical="top" wrapText="1"/>
      <protection/>
    </xf>
    <xf numFmtId="2" fontId="7" fillId="0" borderId="10" xfId="21" applyNumberFormat="1" applyFont="1" applyBorder="1">
      <alignment/>
      <protection/>
    </xf>
    <xf numFmtId="0" fontId="7" fillId="0" borderId="0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3" xfId="21" applyFont="1" applyBorder="1" applyAlignment="1">
      <alignment horizontal="centerContinuous"/>
      <protection/>
    </xf>
    <xf numFmtId="4" fontId="7" fillId="0" borderId="0" xfId="21" applyNumberFormat="1" applyFont="1" applyBorder="1">
      <alignment/>
      <protection/>
    </xf>
    <xf numFmtId="0" fontId="21" fillId="0" borderId="3" xfId="21" applyFont="1" applyBorder="1">
      <alignment/>
      <protection/>
    </xf>
    <xf numFmtId="0" fontId="7" fillId="0" borderId="0" xfId="21" applyFont="1" applyBorder="1" applyAlignment="1">
      <alignment/>
      <protection/>
    </xf>
    <xf numFmtId="49" fontId="7" fillId="0" borderId="0" xfId="21" applyNumberFormat="1" applyFont="1">
      <alignment/>
      <protection/>
    </xf>
    <xf numFmtId="0" fontId="0" fillId="0" borderId="0" xfId="21" applyFont="1" applyAlignment="1">
      <alignment/>
      <protection/>
    </xf>
    <xf numFmtId="49" fontId="0" fillId="0" borderId="0" xfId="21" applyNumberFormat="1" applyFont="1" applyAlignment="1">
      <alignment horizontal="center" vertical="top" wrapText="1"/>
      <protection/>
    </xf>
    <xf numFmtId="0" fontId="7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 wrapText="1"/>
      <protection/>
    </xf>
    <xf numFmtId="0" fontId="22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6" fillId="0" borderId="0" xfId="21" applyFont="1" applyAlignment="1">
      <alignment horizontal="centerContinuous" wrapText="1"/>
      <protection/>
    </xf>
    <xf numFmtId="0" fontId="0" fillId="0" borderId="12" xfId="21" applyFont="1" applyBorder="1" applyAlignment="1">
      <alignment wrapText="1"/>
      <protection/>
    </xf>
    <xf numFmtId="0" fontId="1" fillId="0" borderId="13" xfId="21" applyFont="1" applyBorder="1" applyAlignment="1">
      <alignment horizontal="centerContinuous"/>
      <protection/>
    </xf>
    <xf numFmtId="0" fontId="1" fillId="0" borderId="14" xfId="21" applyFont="1" applyBorder="1" applyAlignment="1">
      <alignment horizontal="centerContinuous"/>
      <protection/>
    </xf>
    <xf numFmtId="0" fontId="0" fillId="0" borderId="15" xfId="21" applyFont="1" applyBorder="1" applyAlignment="1">
      <alignment/>
      <protection/>
    </xf>
    <xf numFmtId="0" fontId="1" fillId="0" borderId="14" xfId="21" applyFont="1" applyBorder="1" applyAlignment="1">
      <alignment horizontal="centerContinuous" vertical="center"/>
      <protection/>
    </xf>
    <xf numFmtId="0" fontId="1" fillId="0" borderId="13" xfId="21" applyFont="1" applyBorder="1" applyAlignment="1">
      <alignment horizontal="centerContinuous" vertical="center" wrapText="1"/>
      <protection/>
    </xf>
    <xf numFmtId="0" fontId="0" fillId="0" borderId="13" xfId="21" applyFont="1" applyBorder="1" applyAlignment="1">
      <alignment horizontal="centerContinuous"/>
      <protection/>
    </xf>
    <xf numFmtId="0" fontId="0" fillId="0" borderId="16" xfId="21" applyFont="1" applyBorder="1" applyAlignment="1">
      <alignment horizontal="center"/>
      <protection/>
    </xf>
    <xf numFmtId="0" fontId="1" fillId="0" borderId="17" xfId="21" applyFont="1" applyBorder="1" applyAlignment="1">
      <alignment wrapText="1"/>
      <protection/>
    </xf>
    <xf numFmtId="0" fontId="1" fillId="0" borderId="18" xfId="21" applyFont="1" applyBorder="1" applyAlignment="1">
      <alignment/>
      <protection/>
    </xf>
    <xf numFmtId="0" fontId="1" fillId="0" borderId="19" xfId="21" applyFont="1" applyBorder="1" applyAlignment="1">
      <alignment horizontal="centerContinuous"/>
      <protection/>
    </xf>
    <xf numFmtId="0" fontId="1" fillId="0" borderId="20" xfId="21" applyFont="1" applyBorder="1" applyAlignment="1">
      <alignment horizontal="center"/>
      <protection/>
    </xf>
    <xf numFmtId="49" fontId="1" fillId="0" borderId="17" xfId="21" applyNumberFormat="1" applyFont="1" applyBorder="1" applyAlignment="1">
      <alignment horizontal="center" vertical="top" wrapText="1"/>
      <protection/>
    </xf>
    <xf numFmtId="49" fontId="1" fillId="0" borderId="21" xfId="21" applyNumberFormat="1" applyFont="1" applyBorder="1" applyAlignment="1">
      <alignment horizontal="center" vertical="center" wrapText="1"/>
      <protection/>
    </xf>
    <xf numFmtId="49" fontId="1" fillId="0" borderId="0" xfId="21" applyNumberFormat="1" applyFont="1" applyAlignment="1">
      <alignment horizontal="center" vertical="center" wrapText="1"/>
      <protection/>
    </xf>
    <xf numFmtId="49" fontId="1" fillId="0" borderId="18" xfId="21" applyNumberFormat="1" applyFont="1" applyBorder="1" applyAlignment="1">
      <alignment horizontal="center" vertical="center" wrapText="1"/>
      <protection/>
    </xf>
    <xf numFmtId="0" fontId="1" fillId="0" borderId="18" xfId="21" applyFont="1" applyBorder="1" applyAlignment="1">
      <alignment horizontal="center" vertical="center" wrapText="1"/>
      <protection/>
    </xf>
    <xf numFmtId="49" fontId="1" fillId="0" borderId="20" xfId="21" applyNumberFormat="1" applyFont="1" applyBorder="1" applyAlignment="1">
      <alignment horizontal="center" vertical="center" wrapText="1"/>
      <protection/>
    </xf>
    <xf numFmtId="49" fontId="1" fillId="0" borderId="0" xfId="21" applyNumberFormat="1" applyFont="1">
      <alignment/>
      <protection/>
    </xf>
    <xf numFmtId="0" fontId="1" fillId="0" borderId="7" xfId="21" applyFont="1" applyBorder="1" applyAlignment="1">
      <alignment horizontal="center" wrapText="1"/>
      <protection/>
    </xf>
    <xf numFmtId="0" fontId="1" fillId="0" borderId="1" xfId="21" applyFont="1" applyBorder="1" applyAlignment="1">
      <alignment horizontal="center"/>
      <protection/>
    </xf>
    <xf numFmtId="0" fontId="1" fillId="0" borderId="8" xfId="21" applyFont="1" applyBorder="1" applyAlignment="1">
      <alignment horizontal="center"/>
      <protection/>
    </xf>
    <xf numFmtId="3" fontId="4" fillId="0" borderId="22" xfId="21" applyNumberFormat="1" applyFont="1" applyBorder="1">
      <alignment/>
      <protection/>
    </xf>
    <xf numFmtId="205" fontId="21" fillId="0" borderId="1" xfId="21" applyNumberFormat="1" applyFont="1" applyBorder="1">
      <alignment/>
      <protection/>
    </xf>
    <xf numFmtId="205" fontId="21" fillId="0" borderId="8" xfId="21" applyNumberFormat="1" applyFont="1" applyBorder="1">
      <alignment/>
      <protection/>
    </xf>
    <xf numFmtId="3" fontId="1" fillId="0" borderId="7" xfId="21" applyNumberFormat="1" applyFont="1" applyBorder="1">
      <alignment/>
      <protection/>
    </xf>
    <xf numFmtId="216" fontId="7" fillId="0" borderId="1" xfId="21" applyNumberFormat="1" applyFont="1" applyBorder="1">
      <alignment/>
      <protection/>
    </xf>
    <xf numFmtId="216" fontId="7" fillId="0" borderId="8" xfId="21" applyNumberFormat="1" applyFont="1" applyBorder="1">
      <alignment/>
      <protection/>
    </xf>
    <xf numFmtId="3" fontId="1" fillId="0" borderId="22" xfId="21" applyNumberFormat="1" applyFont="1" applyBorder="1">
      <alignment/>
      <protection/>
    </xf>
    <xf numFmtId="0" fontId="4" fillId="0" borderId="0" xfId="21" applyFont="1">
      <alignment/>
      <protection/>
    </xf>
    <xf numFmtId="0" fontId="4" fillId="0" borderId="23" xfId="21" applyFont="1" applyBorder="1" applyAlignment="1">
      <alignment horizontal="right" wrapText="1"/>
      <protection/>
    </xf>
    <xf numFmtId="216" fontId="7" fillId="0" borderId="10" xfId="21" applyNumberFormat="1" applyFont="1" applyBorder="1">
      <alignment/>
      <protection/>
    </xf>
    <xf numFmtId="216" fontId="7" fillId="0" borderId="11" xfId="21" applyNumberFormat="1" applyFont="1" applyBorder="1">
      <alignment/>
      <protection/>
    </xf>
    <xf numFmtId="0" fontId="1" fillId="0" borderId="0" xfId="21" applyFont="1" applyBorder="1" applyAlignment="1">
      <alignment/>
      <protection/>
    </xf>
    <xf numFmtId="49" fontId="7" fillId="0" borderId="0" xfId="21" applyNumberFormat="1" applyFont="1" applyBorder="1" applyAlignment="1">
      <alignment/>
      <protection/>
    </xf>
    <xf numFmtId="49" fontId="7" fillId="0" borderId="0" xfId="21" applyNumberFormat="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center"/>
      <protection/>
    </xf>
    <xf numFmtId="0" fontId="21" fillId="0" borderId="0" xfId="21" applyFont="1" applyBorder="1" applyAlignment="1">
      <alignment wrapText="1"/>
      <protection/>
    </xf>
    <xf numFmtId="0" fontId="21" fillId="0" borderId="0" xfId="21" applyFont="1" applyBorder="1">
      <alignment/>
      <protection/>
    </xf>
    <xf numFmtId="0" fontId="7" fillId="0" borderId="0" xfId="21" applyFont="1" applyBorder="1" applyAlignment="1">
      <alignment horizontal="left"/>
      <protection/>
    </xf>
    <xf numFmtId="0" fontId="2" fillId="0" borderId="0" xfId="21" applyFont="1" applyAlignment="1">
      <alignment/>
      <protection/>
    </xf>
    <xf numFmtId="0" fontId="4" fillId="0" borderId="0" xfId="21" applyFont="1" applyAlignment="1">
      <alignment horizontal="centerContinuous" wrapText="1"/>
      <protection/>
    </xf>
    <xf numFmtId="0" fontId="0" fillId="0" borderId="24" xfId="21" applyFont="1" applyBorder="1" applyAlignment="1">
      <alignment horizontal="center" vertical="top" wrapText="1"/>
      <protection/>
    </xf>
    <xf numFmtId="0" fontId="0" fillId="0" borderId="15" xfId="21" applyFont="1" applyBorder="1" applyAlignment="1">
      <alignment horizontal="center" vertical="top"/>
      <protection/>
    </xf>
    <xf numFmtId="0" fontId="0" fillId="0" borderId="15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Continuous" vertical="center" wrapText="1"/>
      <protection/>
    </xf>
    <xf numFmtId="0" fontId="0" fillId="0" borderId="16" xfId="21" applyFont="1" applyBorder="1" applyAlignment="1">
      <alignment horizontal="center" vertical="top" wrapText="1"/>
      <protection/>
    </xf>
    <xf numFmtId="0" fontId="1" fillId="0" borderId="25" xfId="21" applyFont="1" applyBorder="1" applyAlignment="1">
      <alignment horizontal="center" vertical="top" wrapText="1"/>
      <protection/>
    </xf>
    <xf numFmtId="0" fontId="1" fillId="0" borderId="18" xfId="21" applyFont="1" applyBorder="1" applyAlignment="1">
      <alignment horizontal="center" vertical="top"/>
      <protection/>
    </xf>
    <xf numFmtId="0" fontId="1" fillId="0" borderId="26" xfId="21" applyFont="1" applyBorder="1" applyAlignment="1">
      <alignment horizontal="centerContinuous"/>
      <protection/>
    </xf>
    <xf numFmtId="0" fontId="1" fillId="0" borderId="27" xfId="21" applyFont="1" applyBorder="1" applyAlignment="1">
      <alignment horizontal="centerContinuous"/>
      <protection/>
    </xf>
    <xf numFmtId="0" fontId="1" fillId="0" borderId="20" xfId="21" applyFont="1" applyBorder="1" applyAlignment="1">
      <alignment/>
      <protection/>
    </xf>
    <xf numFmtId="0" fontId="1" fillId="0" borderId="18" xfId="21" applyFont="1" applyBorder="1" applyAlignment="1">
      <alignment horizontal="center" vertical="top" wrapText="1"/>
      <protection/>
    </xf>
    <xf numFmtId="0" fontId="1" fillId="0" borderId="20" xfId="21" applyFont="1" applyBorder="1" applyAlignment="1">
      <alignment horizontal="center" vertical="top" wrapText="1"/>
      <protection/>
    </xf>
    <xf numFmtId="0" fontId="1" fillId="0" borderId="7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wrapText="1"/>
      <protection/>
    </xf>
    <xf numFmtId="0" fontId="21" fillId="0" borderId="25" xfId="21" applyFont="1" applyBorder="1">
      <alignment/>
      <protection/>
    </xf>
    <xf numFmtId="0" fontId="4" fillId="0" borderId="7" xfId="21" applyFont="1" applyBorder="1" applyAlignment="1">
      <alignment horizontal="right" wrapText="1"/>
      <protection/>
    </xf>
    <xf numFmtId="3" fontId="22" fillId="0" borderId="0" xfId="21" applyNumberFormat="1" applyFont="1">
      <alignment/>
      <protection/>
    </xf>
    <xf numFmtId="0" fontId="22" fillId="0" borderId="0" xfId="21" applyFont="1">
      <alignment/>
      <protection/>
    </xf>
    <xf numFmtId="0" fontId="4" fillId="0" borderId="9" xfId="21" applyFont="1" applyBorder="1" applyAlignment="1">
      <alignment horizontal="right" wrapText="1"/>
      <protection/>
    </xf>
    <xf numFmtId="0" fontId="7" fillId="0" borderId="0" xfId="21" applyFont="1" applyAlignment="1">
      <alignment wrapText="1"/>
      <protection/>
    </xf>
    <xf numFmtId="49" fontId="1" fillId="0" borderId="0" xfId="21" applyNumberFormat="1" applyFont="1" applyBorder="1" applyAlignment="1">
      <alignment vertical="top" wrapText="1"/>
      <protection/>
    </xf>
    <xf numFmtId="49" fontId="1" fillId="0" borderId="0" xfId="21" applyNumberFormat="1" applyFont="1" applyBorder="1" applyAlignment="1">
      <alignment horizontal="center" vertical="top" wrapText="1"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 applyBorder="1">
      <alignment/>
      <protection/>
    </xf>
    <xf numFmtId="49" fontId="0" fillId="0" borderId="0" xfId="21" applyNumberFormat="1" applyFont="1" applyBorder="1" applyAlignment="1">
      <alignment horizontal="center" vertical="top" wrapText="1"/>
      <protection/>
    </xf>
    <xf numFmtId="0" fontId="0" fillId="0" borderId="0" xfId="21" applyFont="1" applyBorder="1">
      <alignment/>
      <protection/>
    </xf>
    <xf numFmtId="3" fontId="21" fillId="0" borderId="0" xfId="21" applyNumberFormat="1" applyFont="1" applyBorder="1">
      <alignment/>
      <protection/>
    </xf>
    <xf numFmtId="0" fontId="2" fillId="0" borderId="0" xfId="21" applyFont="1" applyAlignment="1">
      <alignment horizontal="center"/>
      <protection/>
    </xf>
    <xf numFmtId="0" fontId="7" fillId="0" borderId="3" xfId="21" applyFont="1" applyBorder="1">
      <alignment/>
      <protection/>
    </xf>
    <xf numFmtId="0" fontId="1" fillId="0" borderId="3" xfId="21" applyFont="1" applyBorder="1" applyAlignment="1">
      <alignment horizontal="right"/>
      <protection/>
    </xf>
    <xf numFmtId="0" fontId="0" fillId="0" borderId="4" xfId="21" applyFont="1" applyBorder="1" applyAlignment="1">
      <alignment horizontal="center" wrapText="1"/>
      <protection/>
    </xf>
    <xf numFmtId="3" fontId="7" fillId="0" borderId="6" xfId="21" applyNumberFormat="1" applyFont="1" applyBorder="1" applyAlignment="1">
      <alignment horizontal="center"/>
      <protection/>
    </xf>
    <xf numFmtId="0" fontId="0" fillId="0" borderId="7" xfId="21" applyFont="1" applyBorder="1" applyAlignment="1">
      <alignment horizontal="center" wrapText="1"/>
      <protection/>
    </xf>
    <xf numFmtId="3" fontId="7" fillId="0" borderId="8" xfId="21" applyNumberFormat="1" applyFont="1" applyBorder="1" applyAlignment="1">
      <alignment horizontal="center"/>
      <protection/>
    </xf>
    <xf numFmtId="0" fontId="4" fillId="0" borderId="7" xfId="21" applyFont="1" applyBorder="1" applyAlignment="1">
      <alignment wrapText="1"/>
      <protection/>
    </xf>
    <xf numFmtId="3" fontId="5" fillId="0" borderId="8" xfId="21" applyNumberFormat="1" applyFont="1" applyBorder="1" applyAlignment="1">
      <alignment horizontal="right"/>
      <protection/>
    </xf>
    <xf numFmtId="0" fontId="0" fillId="0" borderId="7" xfId="21" applyFont="1" applyBorder="1" applyAlignment="1">
      <alignment wrapText="1"/>
      <protection/>
    </xf>
    <xf numFmtId="3" fontId="7" fillId="0" borderId="8" xfId="21" applyNumberFormat="1" applyFont="1" applyBorder="1" applyAlignment="1">
      <alignment horizontal="right"/>
      <protection/>
    </xf>
    <xf numFmtId="3" fontId="7" fillId="0" borderId="28" xfId="21" applyNumberFormat="1" applyFont="1" applyBorder="1" applyAlignment="1">
      <alignment horizontal="right"/>
      <protection/>
    </xf>
    <xf numFmtId="0" fontId="0" fillId="0" borderId="28" xfId="21" applyFont="1" applyBorder="1" applyAlignment="1">
      <alignment wrapText="1"/>
      <protection/>
    </xf>
    <xf numFmtId="0" fontId="0" fillId="0" borderId="29" xfId="21" applyFont="1" applyBorder="1" applyAlignment="1">
      <alignment wrapText="1"/>
      <protection/>
    </xf>
    <xf numFmtId="3" fontId="7" fillId="0" borderId="30" xfId="21" applyNumberFormat="1" applyFont="1" applyBorder="1" applyAlignment="1">
      <alignment horizontal="right"/>
      <protection/>
    </xf>
    <xf numFmtId="0" fontId="0" fillId="0" borderId="31" xfId="21" applyFont="1" applyBorder="1" applyAlignment="1">
      <alignment wrapText="1"/>
      <protection/>
    </xf>
    <xf numFmtId="0" fontId="0" fillId="0" borderId="32" xfId="21" applyFont="1" applyBorder="1" applyAlignment="1">
      <alignment wrapText="1"/>
      <protection/>
    </xf>
    <xf numFmtId="3" fontId="7" fillId="0" borderId="33" xfId="21" applyNumberFormat="1" applyFont="1" applyBorder="1" applyAlignment="1">
      <alignment horizontal="right"/>
      <protection/>
    </xf>
    <xf numFmtId="0" fontId="4" fillId="0" borderId="7" xfId="21" applyFont="1" applyBorder="1" applyAlignment="1">
      <alignment horizontal="left"/>
      <protection/>
    </xf>
    <xf numFmtId="0" fontId="4" fillId="0" borderId="9" xfId="21" applyFont="1" applyBorder="1" applyAlignment="1">
      <alignment horizontal="left"/>
      <protection/>
    </xf>
    <xf numFmtId="3" fontId="5" fillId="0" borderId="11" xfId="21" applyNumberFormat="1" applyFont="1" applyBorder="1" applyAlignment="1">
      <alignment horizontal="right"/>
      <protection/>
    </xf>
    <xf numFmtId="0" fontId="9" fillId="0" borderId="0" xfId="21" applyFont="1">
      <alignment/>
      <protection/>
    </xf>
    <xf numFmtId="3" fontId="7" fillId="0" borderId="0" xfId="21" applyNumberFormat="1" applyFont="1">
      <alignment/>
      <protection/>
    </xf>
    <xf numFmtId="3" fontId="7" fillId="0" borderId="0" xfId="21" applyNumberFormat="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1" fillId="0" borderId="1" xfId="21" applyFont="1" applyBorder="1" applyAlignment="1">
      <alignment horizontal="centerContinuous" vertical="center" wrapText="1"/>
      <protection/>
    </xf>
    <xf numFmtId="0" fontId="21" fillId="0" borderId="1" xfId="21" applyFont="1" applyBorder="1" applyAlignment="1">
      <alignment horizontal="centerContinuous"/>
      <protection/>
    </xf>
    <xf numFmtId="175" fontId="1" fillId="0" borderId="1" xfId="21" applyNumberFormat="1" applyFont="1" applyBorder="1" applyAlignment="1">
      <alignment horizontal="center"/>
      <protection/>
    </xf>
    <xf numFmtId="3" fontId="7" fillId="0" borderId="1" xfId="21" applyNumberFormat="1" applyFont="1" applyBorder="1" applyAlignment="1">
      <alignment horizontal="right"/>
      <protection/>
    </xf>
    <xf numFmtId="4" fontId="7" fillId="0" borderId="1" xfId="21" applyNumberFormat="1" applyFont="1" applyBorder="1">
      <alignment/>
      <protection/>
    </xf>
    <xf numFmtId="3" fontId="7" fillId="0" borderId="1" xfId="21" applyNumberFormat="1" applyFont="1" applyBorder="1" applyAlignment="1">
      <alignment horizontal="right"/>
      <protection/>
    </xf>
    <xf numFmtId="3" fontId="5" fillId="0" borderId="1" xfId="21" applyNumberFormat="1" applyFont="1" applyBorder="1" applyAlignment="1">
      <alignment horizontal="right"/>
      <protection/>
    </xf>
    <xf numFmtId="4" fontId="5" fillId="0" borderId="0" xfId="21" applyNumberFormat="1" applyFont="1" applyBorder="1">
      <alignment/>
      <protection/>
    </xf>
    <xf numFmtId="3" fontId="7" fillId="0" borderId="0" xfId="21" applyNumberFormat="1" applyFont="1" applyBorder="1" applyAlignment="1">
      <alignment horizontal="right"/>
      <protection/>
    </xf>
    <xf numFmtId="3" fontId="5" fillId="0" borderId="0" xfId="21" applyNumberFormat="1" applyFont="1" applyBorder="1" applyAlignment="1">
      <alignment horizontal="right"/>
      <protection/>
    </xf>
    <xf numFmtId="4" fontId="4" fillId="0" borderId="0" xfId="21" applyNumberFormat="1" applyFont="1" applyBorder="1">
      <alignment/>
      <protection/>
    </xf>
    <xf numFmtId="214" fontId="4" fillId="0" borderId="0" xfId="21" applyNumberFormat="1" applyFont="1" applyBorder="1">
      <alignment/>
      <protection/>
    </xf>
    <xf numFmtId="215" fontId="4" fillId="0" borderId="0" xfId="21" applyNumberFormat="1" applyFont="1" applyBorder="1">
      <alignment/>
      <protection/>
    </xf>
    <xf numFmtId="175" fontId="4" fillId="0" borderId="0" xfId="21" applyNumberFormat="1" applyFont="1" applyBorder="1">
      <alignment/>
      <protection/>
    </xf>
    <xf numFmtId="215" fontId="7" fillId="0" borderId="0" xfId="21" applyNumberFormat="1" applyFont="1" applyBorder="1">
      <alignment/>
      <protection/>
    </xf>
    <xf numFmtId="175" fontId="7" fillId="0" borderId="0" xfId="21" applyNumberFormat="1" applyFont="1" applyBorder="1">
      <alignment/>
      <protection/>
    </xf>
    <xf numFmtId="4" fontId="5" fillId="0" borderId="0" xfId="21" applyNumberFormat="1" applyFont="1">
      <alignment/>
      <protection/>
    </xf>
    <xf numFmtId="175" fontId="7" fillId="0" borderId="0" xfId="21" applyNumberFormat="1" applyFont="1">
      <alignment/>
      <protection/>
    </xf>
    <xf numFmtId="0" fontId="21" fillId="0" borderId="0" xfId="21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 [0]_9904Pasv" xfId="19"/>
    <cellStyle name="Currency_9904Pasv" xfId="20"/>
    <cellStyle name="Normal_9904Pasv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1-kons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2PB-i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3PB-izdevumi-m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4PB-izd-ek-kl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5SB-ienemumi-m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7SB-izd-ek-kl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8sb-zi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2">
        <row r="12">
          <cell r="C12">
            <v>24253347</v>
          </cell>
        </row>
        <row r="14">
          <cell r="C14">
            <v>75343430</v>
          </cell>
        </row>
        <row r="15">
          <cell r="C15">
            <v>26016038</v>
          </cell>
        </row>
        <row r="16">
          <cell r="C16">
            <v>3578707</v>
          </cell>
        </row>
        <row r="17">
          <cell r="C17">
            <v>6566218</v>
          </cell>
        </row>
        <row r="18">
          <cell r="C18">
            <v>8364769</v>
          </cell>
        </row>
        <row r="19">
          <cell r="C19">
            <v>16234246</v>
          </cell>
        </row>
        <row r="20">
          <cell r="C20">
            <v>325002</v>
          </cell>
        </row>
        <row r="24">
          <cell r="C24">
            <v>102136000</v>
          </cell>
        </row>
        <row r="25">
          <cell r="C25">
            <v>7630315</v>
          </cell>
        </row>
        <row r="26">
          <cell r="C26">
            <v>16303226</v>
          </cell>
        </row>
        <row r="27">
          <cell r="C27">
            <v>20769202</v>
          </cell>
        </row>
        <row r="28">
          <cell r="C28">
            <v>5728167</v>
          </cell>
        </row>
        <row r="41">
          <cell r="C41">
            <v>140917736</v>
          </cell>
        </row>
        <row r="42">
          <cell r="C42">
            <v>5728167</v>
          </cell>
        </row>
        <row r="44">
          <cell r="C44">
            <v>848403</v>
          </cell>
        </row>
        <row r="48">
          <cell r="C48">
            <v>3403138</v>
          </cell>
        </row>
        <row r="53">
          <cell r="C53">
            <v>36168699</v>
          </cell>
        </row>
        <row r="54">
          <cell r="C54">
            <v>28888000</v>
          </cell>
        </row>
        <row r="56">
          <cell r="C56">
            <v>23417205</v>
          </cell>
        </row>
        <row r="57">
          <cell r="C57">
            <v>15722000</v>
          </cell>
        </row>
        <row r="63">
          <cell r="C63">
            <v>165402669</v>
          </cell>
        </row>
        <row r="64">
          <cell r="C64">
            <v>325002</v>
          </cell>
        </row>
        <row r="66">
          <cell r="C66">
            <v>1544759</v>
          </cell>
        </row>
        <row r="68">
          <cell r="C68">
            <v>2712320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2">
        <row r="11">
          <cell r="D11">
            <v>24253347</v>
          </cell>
        </row>
        <row r="13">
          <cell r="D13">
            <v>75343430</v>
          </cell>
        </row>
        <row r="14">
          <cell r="D14">
            <v>26016038</v>
          </cell>
        </row>
        <row r="15">
          <cell r="D15">
            <v>3578707</v>
          </cell>
        </row>
        <row r="16">
          <cell r="D16">
            <v>6566218</v>
          </cell>
        </row>
        <row r="18">
          <cell r="D18">
            <v>34420</v>
          </cell>
        </row>
        <row r="19">
          <cell r="D19">
            <v>1884557</v>
          </cell>
        </row>
        <row r="20">
          <cell r="D20">
            <v>2316097</v>
          </cell>
        </row>
        <row r="21">
          <cell r="D21">
            <v>113753</v>
          </cell>
        </row>
        <row r="22">
          <cell r="D22">
            <v>339861</v>
          </cell>
        </row>
        <row r="23">
          <cell r="D23">
            <v>1066798</v>
          </cell>
        </row>
        <row r="24">
          <cell r="D24">
            <v>1619428</v>
          </cell>
        </row>
        <row r="26">
          <cell r="D26">
            <v>325002</v>
          </cell>
        </row>
        <row r="27">
          <cell r="D27">
            <v>1294000</v>
          </cell>
        </row>
        <row r="28">
          <cell r="D28">
            <v>0</v>
          </cell>
        </row>
        <row r="30">
          <cell r="D30">
            <v>989855</v>
          </cell>
        </row>
        <row r="31">
          <cell r="D31">
            <v>711250</v>
          </cell>
        </row>
        <row r="32">
          <cell r="D32">
            <v>278605</v>
          </cell>
        </row>
        <row r="34">
          <cell r="D34">
            <v>16234246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2">
        <row r="12">
          <cell r="D12">
            <v>210891</v>
          </cell>
        </row>
        <row r="15">
          <cell r="D15">
            <v>1008147</v>
          </cell>
        </row>
        <row r="18">
          <cell r="D18">
            <v>740736</v>
          </cell>
        </row>
        <row r="19">
          <cell r="D19">
            <v>42501</v>
          </cell>
        </row>
        <row r="21">
          <cell r="D21">
            <v>5081355</v>
          </cell>
        </row>
        <row r="24">
          <cell r="D24">
            <v>2488725</v>
          </cell>
        </row>
        <row r="25">
          <cell r="D25">
            <v>94139</v>
          </cell>
        </row>
        <row r="27">
          <cell r="D27">
            <v>940256</v>
          </cell>
        </row>
        <row r="30">
          <cell r="D30">
            <v>14946387</v>
          </cell>
        </row>
        <row r="31">
          <cell r="D31">
            <v>1874704</v>
          </cell>
        </row>
        <row r="33">
          <cell r="D33">
            <v>20639682</v>
          </cell>
        </row>
        <row r="34">
          <cell r="D34">
            <v>764548</v>
          </cell>
        </row>
        <row r="36">
          <cell r="D36">
            <v>12289968</v>
          </cell>
        </row>
        <row r="37">
          <cell r="D37">
            <v>326991</v>
          </cell>
        </row>
        <row r="39">
          <cell r="D39">
            <v>9317304</v>
          </cell>
        </row>
        <row r="40">
          <cell r="D40">
            <v>140732</v>
          </cell>
        </row>
        <row r="42">
          <cell r="D42">
            <v>1071671</v>
          </cell>
        </row>
        <row r="43">
          <cell r="D43">
            <v>302100</v>
          </cell>
        </row>
        <row r="45">
          <cell r="D45">
            <v>37595782</v>
          </cell>
        </row>
        <row r="46">
          <cell r="D46">
            <v>219322</v>
          </cell>
        </row>
        <row r="48">
          <cell r="D48">
            <v>2599064</v>
          </cell>
        </row>
        <row r="49">
          <cell r="D49">
            <v>3326</v>
          </cell>
        </row>
        <row r="53">
          <cell r="D53">
            <v>1309441</v>
          </cell>
        </row>
        <row r="56">
          <cell r="D56">
            <v>2949123</v>
          </cell>
        </row>
        <row r="57">
          <cell r="D57">
            <v>223920</v>
          </cell>
        </row>
        <row r="59">
          <cell r="D59">
            <v>2566279</v>
          </cell>
        </row>
        <row r="60">
          <cell r="D60">
            <v>82628</v>
          </cell>
        </row>
        <row r="62">
          <cell r="D62">
            <v>231753</v>
          </cell>
        </row>
        <row r="63">
          <cell r="D63">
            <v>26630</v>
          </cell>
        </row>
        <row r="65">
          <cell r="D65">
            <v>187281</v>
          </cell>
        </row>
        <row r="68">
          <cell r="D68">
            <v>64798</v>
          </cell>
        </row>
        <row r="71">
          <cell r="D71">
            <v>1460598</v>
          </cell>
        </row>
        <row r="74">
          <cell r="D74">
            <v>18691</v>
          </cell>
        </row>
        <row r="77">
          <cell r="D77">
            <v>11467</v>
          </cell>
        </row>
        <row r="79">
          <cell r="D79">
            <v>197394</v>
          </cell>
        </row>
        <row r="81">
          <cell r="D81">
            <v>1534917</v>
          </cell>
        </row>
        <row r="84">
          <cell r="D84">
            <v>17044</v>
          </cell>
        </row>
        <row r="89">
          <cell r="D89">
            <v>20763159</v>
          </cell>
        </row>
        <row r="90">
          <cell r="D90">
            <v>150000</v>
          </cell>
        </row>
        <row r="92">
          <cell r="D92">
            <v>675750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2">
          <cell r="D12">
            <v>138401775</v>
          </cell>
        </row>
        <row r="14">
          <cell r="D14">
            <v>16234246</v>
          </cell>
        </row>
        <row r="18">
          <cell r="D18">
            <v>35718295</v>
          </cell>
        </row>
        <row r="19">
          <cell r="D19">
            <v>9588039</v>
          </cell>
        </row>
        <row r="21">
          <cell r="D21">
            <v>28031835</v>
          </cell>
        </row>
        <row r="22">
          <cell r="D22">
            <v>2350688</v>
          </cell>
        </row>
        <row r="23">
          <cell r="D23">
            <v>95531</v>
          </cell>
        </row>
        <row r="25">
          <cell r="D25">
            <v>1259437</v>
          </cell>
        </row>
        <row r="26">
          <cell r="D26">
            <v>3588572</v>
          </cell>
        </row>
        <row r="27">
          <cell r="D27">
            <v>45760</v>
          </cell>
        </row>
        <row r="29">
          <cell r="D29">
            <v>3482084</v>
          </cell>
        </row>
        <row r="30">
          <cell r="D30">
            <v>20763159</v>
          </cell>
        </row>
        <row r="31">
          <cell r="D31">
            <v>675750</v>
          </cell>
        </row>
        <row r="33">
          <cell r="D33">
            <v>5728167</v>
          </cell>
        </row>
        <row r="34">
          <cell r="D34">
            <v>9290008</v>
          </cell>
        </row>
        <row r="36">
          <cell r="D36">
            <v>87223</v>
          </cell>
        </row>
        <row r="37">
          <cell r="D37">
            <v>16257686</v>
          </cell>
        </row>
        <row r="38">
          <cell r="D38">
            <v>1703555</v>
          </cell>
        </row>
        <row r="39">
          <cell r="D39">
            <v>1222156</v>
          </cell>
        </row>
        <row r="40">
          <cell r="D40">
            <v>1029791</v>
          </cell>
        </row>
        <row r="42">
          <cell r="D42">
            <v>848403</v>
          </cell>
        </row>
        <row r="43">
          <cell r="D43">
            <v>3403138</v>
          </cell>
        </row>
        <row r="45">
          <cell r="D45">
            <v>36168699</v>
          </cell>
        </row>
        <row r="46">
          <cell r="D46">
            <v>23417205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Marts1"/>
      <sheetName val="Aprīli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19">
          <cell r="D19">
            <v>1914722</v>
          </cell>
        </row>
        <row r="24">
          <cell r="D24">
            <v>512439</v>
          </cell>
        </row>
        <row r="26">
          <cell r="D26">
            <v>487557</v>
          </cell>
        </row>
        <row r="27">
          <cell r="D27">
            <v>16423</v>
          </cell>
        </row>
        <row r="31">
          <cell r="D31">
            <v>509435</v>
          </cell>
        </row>
        <row r="32">
          <cell r="D32">
            <v>124968</v>
          </cell>
        </row>
        <row r="34">
          <cell r="D34">
            <v>154982</v>
          </cell>
        </row>
        <row r="37">
          <cell r="D37">
            <v>35152</v>
          </cell>
        </row>
        <row r="43">
          <cell r="D43">
            <v>21441</v>
          </cell>
        </row>
        <row r="49">
          <cell r="D49">
            <v>184754</v>
          </cell>
        </row>
        <row r="56">
          <cell r="D56">
            <v>489527</v>
          </cell>
        </row>
        <row r="58">
          <cell r="D58">
            <v>294685</v>
          </cell>
        </row>
        <row r="59">
          <cell r="D59">
            <v>70000</v>
          </cell>
        </row>
        <row r="73">
          <cell r="D73">
            <v>52143</v>
          </cell>
        </row>
        <row r="74">
          <cell r="D74">
            <v>53604</v>
          </cell>
        </row>
        <row r="76">
          <cell r="D76">
            <v>121146</v>
          </cell>
        </row>
        <row r="80">
          <cell r="D80">
            <v>5286391</v>
          </cell>
        </row>
        <row r="81">
          <cell r="D81">
            <v>361735</v>
          </cell>
        </row>
        <row r="83">
          <cell r="D83">
            <v>4162861</v>
          </cell>
        </row>
        <row r="84">
          <cell r="D84">
            <v>248419</v>
          </cell>
        </row>
        <row r="88">
          <cell r="D88">
            <v>2416014</v>
          </cell>
        </row>
        <row r="89">
          <cell r="D89">
            <v>7630315</v>
          </cell>
        </row>
        <row r="90">
          <cell r="D90">
            <v>6147</v>
          </cell>
        </row>
        <row r="92">
          <cell r="D92">
            <v>11623223</v>
          </cell>
        </row>
        <row r="93">
          <cell r="D93">
            <v>2704154</v>
          </cell>
        </row>
        <row r="95">
          <cell r="D95">
            <v>1163875</v>
          </cell>
        </row>
        <row r="105">
          <cell r="D105">
            <v>137171</v>
          </cell>
        </row>
        <row r="106">
          <cell r="D106">
            <v>4755</v>
          </cell>
        </row>
        <row r="108">
          <cell r="D108">
            <v>68740</v>
          </cell>
        </row>
        <row r="109">
          <cell r="D109">
            <v>17500</v>
          </cell>
        </row>
        <row r="111">
          <cell r="D111">
            <v>224695</v>
          </cell>
        </row>
        <row r="113">
          <cell r="D113">
            <v>202605</v>
          </cell>
        </row>
        <row r="117">
          <cell r="D117">
            <v>102191147</v>
          </cell>
        </row>
        <row r="118">
          <cell r="D118">
            <v>1217248</v>
          </cell>
        </row>
        <row r="119">
          <cell r="D119">
            <v>347118</v>
          </cell>
        </row>
        <row r="121">
          <cell r="D121">
            <v>126371347</v>
          </cell>
        </row>
        <row r="122">
          <cell r="D122">
            <v>775866</v>
          </cell>
        </row>
        <row r="124">
          <cell r="D124">
            <v>12574403</v>
          </cell>
        </row>
        <row r="127">
          <cell r="D127">
            <v>77242200</v>
          </cell>
        </row>
        <row r="128">
          <cell r="D128">
            <v>713721</v>
          </cell>
        </row>
        <row r="129">
          <cell r="D129">
            <v>973707</v>
          </cell>
        </row>
        <row r="131">
          <cell r="D131">
            <v>97343837</v>
          </cell>
        </row>
        <row r="133">
          <cell r="D133">
            <v>10867742</v>
          </cell>
        </row>
        <row r="136">
          <cell r="D136">
            <v>7864399</v>
          </cell>
        </row>
        <row r="137">
          <cell r="D137">
            <v>51027</v>
          </cell>
        </row>
        <row r="138">
          <cell r="D138">
            <v>206334</v>
          </cell>
        </row>
        <row r="140">
          <cell r="D140">
            <v>9957951</v>
          </cell>
        </row>
        <row r="146">
          <cell r="D146">
            <v>255338</v>
          </cell>
        </row>
        <row r="148">
          <cell r="D148">
            <v>3370</v>
          </cell>
        </row>
        <row r="150">
          <cell r="D150">
            <v>118269</v>
          </cell>
        </row>
        <row r="156">
          <cell r="D156">
            <v>16829210</v>
          </cell>
        </row>
        <row r="158">
          <cell r="D158">
            <v>114782</v>
          </cell>
        </row>
        <row r="160">
          <cell r="D160">
            <v>19683722</v>
          </cell>
        </row>
        <row r="162">
          <cell r="D162">
            <v>1584496</v>
          </cell>
        </row>
        <row r="165">
          <cell r="D165">
            <v>452500</v>
          </cell>
        </row>
        <row r="166">
          <cell r="D166">
            <v>1761514</v>
          </cell>
        </row>
        <row r="168">
          <cell r="D168">
            <v>1980158</v>
          </cell>
        </row>
        <row r="169">
          <cell r="D169">
            <v>775866</v>
          </cell>
        </row>
        <row r="171">
          <cell r="D171">
            <v>122165</v>
          </cell>
        </row>
        <row r="174">
          <cell r="D174">
            <v>16303226</v>
          </cell>
        </row>
        <row r="175">
          <cell r="D175">
            <v>4258503</v>
          </cell>
        </row>
        <row r="178">
          <cell r="D178">
            <v>19748414</v>
          </cell>
        </row>
        <row r="185">
          <cell r="D185">
            <v>1277559</v>
          </cell>
        </row>
        <row r="187">
          <cell r="D187">
            <v>12389</v>
          </cell>
        </row>
        <row r="189">
          <cell r="D189">
            <v>1762812</v>
          </cell>
        </row>
        <row r="190">
          <cell r="D190">
            <v>25039</v>
          </cell>
        </row>
        <row r="192">
          <cell r="D192">
            <v>711250</v>
          </cell>
        </row>
        <row r="194">
          <cell r="D194">
            <v>1778</v>
          </cell>
        </row>
        <row r="195">
          <cell r="D195">
            <v>197073</v>
          </cell>
        </row>
        <row r="199">
          <cell r="D199">
            <v>531876</v>
          </cell>
        </row>
        <row r="202">
          <cell r="D202">
            <v>591244</v>
          </cell>
        </row>
        <row r="205">
          <cell r="D205">
            <v>23019</v>
          </cell>
        </row>
        <row r="208">
          <cell r="D208">
            <v>13880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1">
          <cell r="D11">
            <v>146275000</v>
          </cell>
        </row>
        <row r="12">
          <cell r="D12">
            <v>564000</v>
          </cell>
        </row>
        <row r="16">
          <cell r="D16">
            <v>1701352</v>
          </cell>
        </row>
        <row r="17">
          <cell r="D17">
            <v>477608</v>
          </cell>
        </row>
        <row r="18">
          <cell r="D18">
            <v>8941529</v>
          </cell>
        </row>
        <row r="19">
          <cell r="D19">
            <v>8941529</v>
          </cell>
        </row>
        <row r="23">
          <cell r="D23">
            <v>653645</v>
          </cell>
        </row>
        <row r="25">
          <cell r="D25">
            <v>68591</v>
          </cell>
        </row>
        <row r="26">
          <cell r="D26">
            <v>447859</v>
          </cell>
        </row>
        <row r="30">
          <cell r="D30">
            <v>4544914</v>
          </cell>
        </row>
        <row r="32">
          <cell r="D32">
            <v>325002</v>
          </cell>
        </row>
        <row r="33">
          <cell r="D33">
            <v>20796998</v>
          </cell>
        </row>
        <row r="35">
          <cell r="D35">
            <v>109021418</v>
          </cell>
        </row>
        <row r="36">
          <cell r="D36">
            <v>10011669</v>
          </cell>
        </row>
        <row r="38">
          <cell r="D38">
            <v>7019187</v>
          </cell>
        </row>
        <row r="39">
          <cell r="D39">
            <v>13596</v>
          </cell>
        </row>
        <row r="41">
          <cell r="D41">
            <v>1544759</v>
          </cell>
        </row>
        <row r="42">
          <cell r="D42">
            <v>2712320</v>
          </cell>
        </row>
        <row r="50">
          <cell r="D50">
            <v>13738278</v>
          </cell>
        </row>
        <row r="51">
          <cell r="D51">
            <v>9082440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rts"/>
      <sheetName val="Aprīli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0">
          <cell r="C10">
            <v>978603</v>
          </cell>
        </row>
        <row r="11">
          <cell r="C11">
            <v>839810</v>
          </cell>
        </row>
        <row r="15">
          <cell r="C15">
            <v>75251</v>
          </cell>
        </row>
        <row r="16">
          <cell r="C16">
            <v>20602</v>
          </cell>
        </row>
        <row r="18">
          <cell r="C18">
            <v>1189278</v>
          </cell>
        </row>
        <row r="19">
          <cell r="C19">
            <v>152876</v>
          </cell>
        </row>
        <row r="22">
          <cell r="C22">
            <v>85617</v>
          </cell>
        </row>
        <row r="25">
          <cell r="C25">
            <v>3439</v>
          </cell>
        </row>
        <row r="28">
          <cell r="C28">
            <v>105</v>
          </cell>
        </row>
        <row r="29">
          <cell r="C29">
            <v>13820</v>
          </cell>
        </row>
        <row r="31">
          <cell r="C31">
            <v>113672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9.28125" style="37" customWidth="1"/>
    <col min="2" max="2" width="13.28125" style="37" customWidth="1"/>
    <col min="3" max="3" width="11.57421875" style="183" customWidth="1"/>
    <col min="4" max="4" width="12.140625" style="37" customWidth="1"/>
    <col min="5" max="5" width="9.421875" style="122" customWidth="1"/>
    <col min="6" max="16384" width="9.140625" style="37" customWidth="1"/>
  </cols>
  <sheetData>
    <row r="1" spans="1:5" s="248" customFormat="1" ht="15.75" customHeight="1">
      <c r="A1" s="278" t="s">
        <v>390</v>
      </c>
      <c r="B1" s="278"/>
      <c r="C1" s="278"/>
      <c r="D1" s="278"/>
      <c r="E1" s="278"/>
    </row>
    <row r="2" spans="1:5" s="248" customFormat="1" ht="15.75" customHeight="1">
      <c r="A2" s="278"/>
      <c r="B2" s="278"/>
      <c r="C2" s="278"/>
      <c r="D2" s="278"/>
      <c r="E2" s="278"/>
    </row>
    <row r="3" spans="1:12" ht="12.75">
      <c r="A3" s="249"/>
      <c r="B3" s="3"/>
      <c r="C3" s="163"/>
      <c r="D3" s="42" t="s">
        <v>391</v>
      </c>
      <c r="E3" s="250"/>
      <c r="F3" s="1"/>
      <c r="G3" s="1"/>
      <c r="H3" s="1"/>
      <c r="I3" s="1"/>
      <c r="J3" s="1"/>
      <c r="K3" s="1"/>
      <c r="L3" s="1"/>
    </row>
    <row r="4" spans="1:5" s="6" customFormat="1" ht="33.75">
      <c r="A4" s="54" t="s">
        <v>5</v>
      </c>
      <c r="B4" s="7" t="s">
        <v>392</v>
      </c>
      <c r="C4" s="7" t="s">
        <v>393</v>
      </c>
      <c r="D4" s="7" t="s">
        <v>394</v>
      </c>
      <c r="E4" s="251" t="s">
        <v>395</v>
      </c>
    </row>
    <row r="5" spans="1:5" s="1" customFormat="1" ht="12.75">
      <c r="A5" s="59" t="s">
        <v>396</v>
      </c>
      <c r="B5" s="221">
        <v>405514</v>
      </c>
      <c r="C5" s="68">
        <v>131581</v>
      </c>
      <c r="D5" s="221">
        <f>B5+C5</f>
        <v>537095</v>
      </c>
      <c r="E5" s="252">
        <v>140836</v>
      </c>
    </row>
    <row r="6" spans="1:5" s="153" customFormat="1" ht="22.5">
      <c r="A6" s="253" t="s">
        <v>397</v>
      </c>
      <c r="B6" s="140" t="s">
        <v>195</v>
      </c>
      <c r="C6" s="140" t="s">
        <v>195</v>
      </c>
      <c r="D6" s="193">
        <v>30831</v>
      </c>
      <c r="E6" s="254">
        <v>9242</v>
      </c>
    </row>
    <row r="7" spans="1:5" s="153" customFormat="1" ht="22.5">
      <c r="A7" s="253" t="s">
        <v>398</v>
      </c>
      <c r="B7" s="140" t="s">
        <v>195</v>
      </c>
      <c r="C7" s="140" t="s">
        <v>195</v>
      </c>
      <c r="D7" s="193">
        <v>3961</v>
      </c>
      <c r="E7" s="254">
        <v>-584</v>
      </c>
    </row>
    <row r="8" spans="1:5" s="1" customFormat="1" ht="12.75">
      <c r="A8" s="255" t="s">
        <v>399</v>
      </c>
      <c r="B8" s="136" t="s">
        <v>195</v>
      </c>
      <c r="C8" s="136" t="s">
        <v>195</v>
      </c>
      <c r="D8" s="221">
        <f>D5-D6-D7</f>
        <v>502303</v>
      </c>
      <c r="E8" s="256">
        <f>E5-E6-E7</f>
        <v>132178</v>
      </c>
    </row>
    <row r="9" spans="1:12" s="104" customFormat="1" ht="12.75">
      <c r="A9" s="59" t="s">
        <v>400</v>
      </c>
      <c r="B9" s="221">
        <v>430174</v>
      </c>
      <c r="C9" s="68">
        <v>124192</v>
      </c>
      <c r="D9" s="221">
        <f>B9+C9</f>
        <v>554366</v>
      </c>
      <c r="E9" s="252">
        <f>153802-28</f>
        <v>153774</v>
      </c>
      <c r="F9" s="1"/>
      <c r="G9" s="1"/>
      <c r="H9" s="1"/>
      <c r="I9" s="1"/>
      <c r="J9" s="1"/>
      <c r="K9" s="1"/>
      <c r="L9" s="1"/>
    </row>
    <row r="10" spans="1:12" s="257" customFormat="1" ht="22.5">
      <c r="A10" s="253" t="s">
        <v>401</v>
      </c>
      <c r="B10" s="140" t="s">
        <v>195</v>
      </c>
      <c r="C10" s="140" t="s">
        <v>195</v>
      </c>
      <c r="D10" s="193">
        <v>30831</v>
      </c>
      <c r="E10" s="254">
        <v>9242</v>
      </c>
      <c r="F10" s="153"/>
      <c r="G10" s="153"/>
      <c r="H10" s="153"/>
      <c r="I10" s="153"/>
      <c r="J10" s="153"/>
      <c r="K10" s="153"/>
      <c r="L10" s="153"/>
    </row>
    <row r="11" spans="1:12" s="257" customFormat="1" ht="22.5">
      <c r="A11" s="253" t="s">
        <v>402</v>
      </c>
      <c r="B11" s="140" t="s">
        <v>195</v>
      </c>
      <c r="C11" s="140" t="s">
        <v>195</v>
      </c>
      <c r="D11" s="193">
        <v>3961</v>
      </c>
      <c r="E11" s="254">
        <v>-584</v>
      </c>
      <c r="F11" s="153"/>
      <c r="G11" s="153"/>
      <c r="H11" s="153"/>
      <c r="I11" s="153"/>
      <c r="J11" s="153"/>
      <c r="K11" s="153"/>
      <c r="L11" s="153"/>
    </row>
    <row r="12" spans="1:12" s="104" customFormat="1" ht="12.75">
      <c r="A12" s="255" t="s">
        <v>403</v>
      </c>
      <c r="B12" s="136" t="s">
        <v>195</v>
      </c>
      <c r="C12" s="136" t="s">
        <v>195</v>
      </c>
      <c r="D12" s="221">
        <f>D9-D10-D11</f>
        <v>519574</v>
      </c>
      <c r="E12" s="256">
        <f>E9-E10-E11</f>
        <v>145116</v>
      </c>
      <c r="F12" s="1"/>
      <c r="G12" s="1"/>
      <c r="H12" s="1"/>
      <c r="I12" s="1"/>
      <c r="J12" s="1"/>
      <c r="K12" s="1"/>
      <c r="L12" s="1"/>
    </row>
    <row r="13" spans="1:12" s="15" customFormat="1" ht="25.5">
      <c r="A13" s="255" t="s">
        <v>404</v>
      </c>
      <c r="B13" s="221">
        <f>B5-B9</f>
        <v>-24660</v>
      </c>
      <c r="C13" s="68">
        <f>C5-C9</f>
        <v>7389</v>
      </c>
      <c r="D13" s="221">
        <f>D8-D12</f>
        <v>-17271</v>
      </c>
      <c r="E13" s="256">
        <f>E8-E12</f>
        <v>-12938</v>
      </c>
      <c r="F13" s="1"/>
      <c r="G13" s="1"/>
      <c r="H13" s="1"/>
      <c r="I13" s="1"/>
      <c r="J13" s="1"/>
      <c r="K13" s="1"/>
      <c r="L13" s="1"/>
    </row>
    <row r="14" spans="1:12" s="15" customFormat="1" ht="12.75">
      <c r="A14" s="258" t="s">
        <v>405</v>
      </c>
      <c r="B14" s="68">
        <f>B15-B18</f>
        <v>2182</v>
      </c>
      <c r="C14" s="68">
        <f>C15-C18</f>
        <v>-652</v>
      </c>
      <c r="D14" s="68">
        <f>D17-D20</f>
        <v>4511</v>
      </c>
      <c r="E14" s="256">
        <f>E17-E20</f>
        <v>966</v>
      </c>
      <c r="F14" s="1"/>
      <c r="G14" s="1"/>
      <c r="H14" s="1"/>
      <c r="I14" s="1"/>
      <c r="J14" s="1"/>
      <c r="K14" s="1"/>
      <c r="L14" s="1"/>
    </row>
    <row r="15" spans="1:12" s="15" customFormat="1" ht="12.75">
      <c r="A15" s="259" t="s">
        <v>406</v>
      </c>
      <c r="B15" s="107">
        <v>11179</v>
      </c>
      <c r="C15" s="71">
        <v>2104</v>
      </c>
      <c r="D15" s="107">
        <f>B15+C15</f>
        <v>13283</v>
      </c>
      <c r="E15" s="260">
        <v>3971</v>
      </c>
      <c r="F15" s="1"/>
      <c r="G15" s="1"/>
      <c r="H15" s="1"/>
      <c r="I15" s="1"/>
      <c r="J15" s="1"/>
      <c r="K15" s="1"/>
      <c r="L15" s="1"/>
    </row>
    <row r="16" spans="1:12" s="146" customFormat="1" ht="22.5">
      <c r="A16" s="253" t="s">
        <v>407</v>
      </c>
      <c r="B16" s="140" t="s">
        <v>195</v>
      </c>
      <c r="C16" s="140" t="s">
        <v>195</v>
      </c>
      <c r="D16" s="193">
        <v>1197</v>
      </c>
      <c r="E16" s="261">
        <v>105</v>
      </c>
      <c r="F16" s="153"/>
      <c r="G16" s="153"/>
      <c r="H16" s="153"/>
      <c r="I16" s="153"/>
      <c r="J16" s="153"/>
      <c r="K16" s="153"/>
      <c r="L16" s="153"/>
    </row>
    <row r="17" spans="1:12" s="15" customFormat="1" ht="12.75">
      <c r="A17" s="258" t="s">
        <v>408</v>
      </c>
      <c r="B17" s="136" t="s">
        <v>195</v>
      </c>
      <c r="C17" s="136" t="s">
        <v>195</v>
      </c>
      <c r="D17" s="107">
        <f>D15-D16</f>
        <v>12086</v>
      </c>
      <c r="E17" s="260">
        <f>E15-E16</f>
        <v>3866</v>
      </c>
      <c r="F17" s="1"/>
      <c r="G17" s="1"/>
      <c r="H17" s="1"/>
      <c r="I17" s="1"/>
      <c r="J17" s="1"/>
      <c r="K17" s="1"/>
      <c r="L17" s="1"/>
    </row>
    <row r="18" spans="1:12" s="15" customFormat="1" ht="12.75">
      <c r="A18" s="259" t="s">
        <v>409</v>
      </c>
      <c r="B18" s="107">
        <v>8997</v>
      </c>
      <c r="C18" s="71">
        <v>2756</v>
      </c>
      <c r="D18" s="107">
        <f>B18+C18</f>
        <v>11753</v>
      </c>
      <c r="E18" s="260">
        <v>3398</v>
      </c>
      <c r="F18" s="1"/>
      <c r="G18" s="1"/>
      <c r="H18" s="1"/>
      <c r="I18" s="1"/>
      <c r="J18" s="1"/>
      <c r="K18" s="1"/>
      <c r="L18" s="1"/>
    </row>
    <row r="19" spans="1:12" s="15" customFormat="1" ht="22.5">
      <c r="A19" s="253" t="s">
        <v>410</v>
      </c>
      <c r="B19" s="136" t="s">
        <v>195</v>
      </c>
      <c r="C19" s="136" t="s">
        <v>195</v>
      </c>
      <c r="D19" s="193">
        <v>4178</v>
      </c>
      <c r="E19" s="261">
        <v>498</v>
      </c>
      <c r="F19" s="1"/>
      <c r="G19" s="1"/>
      <c r="H19" s="1"/>
      <c r="I19" s="1"/>
      <c r="J19" s="1"/>
      <c r="K19" s="1"/>
      <c r="L19" s="1"/>
    </row>
    <row r="20" spans="1:12" s="15" customFormat="1" ht="12.75">
      <c r="A20" s="258" t="s">
        <v>411</v>
      </c>
      <c r="B20" s="136" t="s">
        <v>195</v>
      </c>
      <c r="C20" s="136" t="s">
        <v>195</v>
      </c>
      <c r="D20" s="107">
        <f>D18-D19</f>
        <v>7575</v>
      </c>
      <c r="E20" s="260">
        <f>E18-E19</f>
        <v>2900</v>
      </c>
      <c r="F20" s="1"/>
      <c r="G20" s="1"/>
      <c r="H20" s="1"/>
      <c r="I20" s="1"/>
      <c r="J20" s="1"/>
      <c r="K20" s="1"/>
      <c r="L20" s="1"/>
    </row>
    <row r="21" spans="1:12" s="15" customFormat="1" ht="12.75">
      <c r="A21" s="255" t="s">
        <v>412</v>
      </c>
      <c r="B21" s="68">
        <f>B13-B14</f>
        <v>-26842</v>
      </c>
      <c r="C21" s="68">
        <f>C13-C14</f>
        <v>8041</v>
      </c>
      <c r="D21" s="221">
        <f>D13-D14</f>
        <v>-21782</v>
      </c>
      <c r="E21" s="256">
        <f>E13-E14</f>
        <v>-13904</v>
      </c>
      <c r="F21" s="1"/>
      <c r="G21" s="1"/>
      <c r="H21" s="1"/>
      <c r="I21" s="1"/>
      <c r="J21" s="1"/>
      <c r="K21" s="1"/>
      <c r="L21" s="1"/>
    </row>
    <row r="22" spans="1:12" s="15" customFormat="1" ht="12.75">
      <c r="A22" s="59" t="s">
        <v>413</v>
      </c>
      <c r="B22" s="221">
        <f>B23+B39</f>
        <v>26842</v>
      </c>
      <c r="C22" s="68">
        <f>C23+C39</f>
        <v>-8041</v>
      </c>
      <c r="D22" s="221">
        <f>D23+D39</f>
        <v>21782</v>
      </c>
      <c r="E22" s="262">
        <f>E23+E39</f>
        <v>13904</v>
      </c>
      <c r="F22" s="1"/>
      <c r="G22" s="1"/>
      <c r="H22" s="1"/>
      <c r="I22" s="1"/>
      <c r="J22" s="1"/>
      <c r="K22" s="1"/>
      <c r="L22" s="1"/>
    </row>
    <row r="23" spans="1:12" s="15" customFormat="1" ht="12.75">
      <c r="A23" s="59" t="s">
        <v>414</v>
      </c>
      <c r="B23" s="221">
        <f>B24+B29+B34+B38</f>
        <v>28468</v>
      </c>
      <c r="C23" s="68">
        <f>C24+C29+C34+C38</f>
        <v>-8041</v>
      </c>
      <c r="D23" s="68">
        <f>D24+D29+D34+D38</f>
        <v>23408</v>
      </c>
      <c r="E23" s="256">
        <f>E24+E29+E34+E38</f>
        <v>13302</v>
      </c>
      <c r="F23" s="1"/>
      <c r="G23" s="1"/>
      <c r="H23" s="1"/>
      <c r="I23" s="1"/>
      <c r="J23" s="1"/>
      <c r="K23" s="1"/>
      <c r="L23" s="1"/>
    </row>
    <row r="24" spans="1:12" s="19" customFormat="1" ht="12.75">
      <c r="A24" s="263" t="s">
        <v>415</v>
      </c>
      <c r="B24" s="71">
        <f>B25+B26</f>
        <v>-1165</v>
      </c>
      <c r="C24" s="71">
        <f>C25+C26</f>
        <v>-3344</v>
      </c>
      <c r="D24" s="71">
        <f>D25+D28</f>
        <v>-1051</v>
      </c>
      <c r="E24" s="264">
        <f>E25+E28</f>
        <v>-840</v>
      </c>
      <c r="F24" s="1"/>
      <c r="G24" s="1"/>
      <c r="H24" s="1"/>
      <c r="I24" s="1"/>
      <c r="J24" s="1"/>
      <c r="K24" s="1"/>
      <c r="L24" s="1"/>
    </row>
    <row r="25" spans="1:12" s="19" customFormat="1" ht="22.5">
      <c r="A25" s="253" t="s">
        <v>416</v>
      </c>
      <c r="B25" s="193"/>
      <c r="C25" s="79">
        <v>114</v>
      </c>
      <c r="D25" s="193">
        <f>B25+C25</f>
        <v>114</v>
      </c>
      <c r="E25" s="261">
        <v>324</v>
      </c>
      <c r="F25" s="153"/>
      <c r="G25" s="153"/>
      <c r="H25" s="153"/>
      <c r="I25" s="153"/>
      <c r="J25" s="153"/>
      <c r="K25" s="153"/>
      <c r="L25" s="153"/>
    </row>
    <row r="26" spans="1:12" s="265" customFormat="1" ht="12.75">
      <c r="A26" s="253" t="s">
        <v>417</v>
      </c>
      <c r="B26" s="193">
        <v>-1165</v>
      </c>
      <c r="C26" s="79">
        <v>-3458</v>
      </c>
      <c r="D26" s="193">
        <f>B26+C26</f>
        <v>-4623</v>
      </c>
      <c r="E26" s="261">
        <f>-2006-28</f>
        <v>-2034</v>
      </c>
      <c r="F26" s="153"/>
      <c r="G26" s="153"/>
      <c r="H26" s="153"/>
      <c r="I26" s="153"/>
      <c r="J26" s="153"/>
      <c r="K26" s="153"/>
      <c r="L26" s="153"/>
    </row>
    <row r="27" spans="1:12" s="19" customFormat="1" ht="22.5">
      <c r="A27" s="266" t="s">
        <v>418</v>
      </c>
      <c r="B27" s="136" t="s">
        <v>195</v>
      </c>
      <c r="C27" s="71" t="s">
        <v>195</v>
      </c>
      <c r="D27" s="107">
        <v>-3458</v>
      </c>
      <c r="E27" s="260">
        <v>-870</v>
      </c>
      <c r="F27" s="1"/>
      <c r="G27" s="1"/>
      <c r="H27" s="1"/>
      <c r="I27" s="1"/>
      <c r="J27" s="1"/>
      <c r="K27" s="1"/>
      <c r="L27" s="1"/>
    </row>
    <row r="28" spans="1:12" s="19" customFormat="1" ht="12.75">
      <c r="A28" s="253" t="s">
        <v>419</v>
      </c>
      <c r="B28" s="136" t="s">
        <v>195</v>
      </c>
      <c r="C28" s="71" t="s">
        <v>195</v>
      </c>
      <c r="D28" s="107">
        <f>D26-D27</f>
        <v>-1165</v>
      </c>
      <c r="E28" s="260">
        <f>E26-E27</f>
        <v>-1164</v>
      </c>
      <c r="F28" s="1"/>
      <c r="G28" s="1"/>
      <c r="H28" s="1"/>
      <c r="I28" s="1"/>
      <c r="J28" s="1"/>
      <c r="K28" s="1"/>
      <c r="L28" s="1"/>
    </row>
    <row r="29" spans="1:12" s="19" customFormat="1" ht="12.75">
      <c r="A29" s="267" t="s">
        <v>420</v>
      </c>
      <c r="B29" s="107">
        <f>SUM(B30:B33)</f>
        <v>4916</v>
      </c>
      <c r="C29" s="71">
        <f>SUM(C30:C33)</f>
        <v>0</v>
      </c>
      <c r="D29" s="107">
        <f aca="true" t="shared" si="0" ref="D29:D39">B29+C29</f>
        <v>4916</v>
      </c>
      <c r="E29" s="264">
        <f>SUM(E30:E33)</f>
        <v>21934</v>
      </c>
      <c r="F29" s="1"/>
      <c r="G29" s="1"/>
      <c r="H29" s="1"/>
      <c r="I29" s="1"/>
      <c r="J29" s="1"/>
      <c r="K29" s="1"/>
      <c r="L29" s="1"/>
    </row>
    <row r="30" spans="1:12" s="19" customFormat="1" ht="12.75">
      <c r="A30" s="253" t="s">
        <v>421</v>
      </c>
      <c r="B30" s="193"/>
      <c r="C30" s="71"/>
      <c r="D30" s="193">
        <f t="shared" si="0"/>
        <v>0</v>
      </c>
      <c r="E30" s="261"/>
      <c r="F30" s="1"/>
      <c r="G30" s="1"/>
      <c r="H30" s="1"/>
      <c r="I30" s="1"/>
      <c r="J30" s="1"/>
      <c r="K30" s="1"/>
      <c r="L30" s="1"/>
    </row>
    <row r="31" spans="1:12" s="19" customFormat="1" ht="12.75">
      <c r="A31" s="253" t="s">
        <v>422</v>
      </c>
      <c r="B31" s="193">
        <v>-12833</v>
      </c>
      <c r="C31" s="71"/>
      <c r="D31" s="193">
        <f t="shared" si="0"/>
        <v>-12833</v>
      </c>
      <c r="E31" s="261">
        <v>9625</v>
      </c>
      <c r="F31" s="1"/>
      <c r="G31" s="1"/>
      <c r="H31" s="1"/>
      <c r="I31" s="1"/>
      <c r="J31" s="1"/>
      <c r="K31" s="1"/>
      <c r="L31" s="1"/>
    </row>
    <row r="32" spans="1:12" s="19" customFormat="1" ht="22.5">
      <c r="A32" s="253" t="s">
        <v>423</v>
      </c>
      <c r="B32" s="193">
        <v>-62</v>
      </c>
      <c r="C32" s="71"/>
      <c r="D32" s="193">
        <f t="shared" si="0"/>
        <v>-62</v>
      </c>
      <c r="E32" s="261">
        <v>12973</v>
      </c>
      <c r="F32" s="1"/>
      <c r="G32" s="1"/>
      <c r="H32" s="1"/>
      <c r="I32" s="1"/>
      <c r="J32" s="1"/>
      <c r="K32" s="1"/>
      <c r="L32" s="1"/>
    </row>
    <row r="33" spans="1:12" s="19" customFormat="1" ht="12.75">
      <c r="A33" s="253" t="s">
        <v>424</v>
      </c>
      <c r="B33" s="193">
        <v>17811</v>
      </c>
      <c r="C33" s="71"/>
      <c r="D33" s="193">
        <f t="shared" si="0"/>
        <v>17811</v>
      </c>
      <c r="E33" s="261">
        <v>-664</v>
      </c>
      <c r="F33" s="1"/>
      <c r="G33" s="1"/>
      <c r="H33" s="1"/>
      <c r="I33" s="1"/>
      <c r="J33" s="1"/>
      <c r="K33" s="1"/>
      <c r="L33" s="1"/>
    </row>
    <row r="34" spans="1:12" s="19" customFormat="1" ht="12.75">
      <c r="A34" s="268" t="s">
        <v>425</v>
      </c>
      <c r="B34" s="193">
        <f>SUM(B35:B37)</f>
        <v>24717</v>
      </c>
      <c r="C34" s="79">
        <f>SUM(C35:C37)</f>
        <v>-5274</v>
      </c>
      <c r="D34" s="107">
        <f t="shared" si="0"/>
        <v>19443</v>
      </c>
      <c r="E34" s="269">
        <v>-7854</v>
      </c>
      <c r="F34" s="1"/>
      <c r="G34" s="1"/>
      <c r="H34" s="1"/>
      <c r="I34" s="1"/>
      <c r="J34" s="1"/>
      <c r="K34" s="1"/>
      <c r="L34" s="1"/>
    </row>
    <row r="35" spans="1:12" s="19" customFormat="1" ht="12.75">
      <c r="A35" s="140" t="s">
        <v>426</v>
      </c>
      <c r="B35" s="193"/>
      <c r="C35" s="79">
        <v>-17</v>
      </c>
      <c r="D35" s="193">
        <f t="shared" si="0"/>
        <v>-17</v>
      </c>
      <c r="E35" s="261">
        <v>-31</v>
      </c>
      <c r="F35" s="1"/>
      <c r="G35" s="1"/>
      <c r="H35" s="1"/>
      <c r="I35" s="1"/>
      <c r="J35" s="1"/>
      <c r="K35" s="1"/>
      <c r="L35" s="1"/>
    </row>
    <row r="36" spans="1:12" s="19" customFormat="1" ht="12.75">
      <c r="A36" s="140" t="s">
        <v>422</v>
      </c>
      <c r="B36" s="193">
        <v>19691</v>
      </c>
      <c r="C36" s="71"/>
      <c r="D36" s="193">
        <f t="shared" si="0"/>
        <v>19691</v>
      </c>
      <c r="E36" s="261">
        <v>170</v>
      </c>
      <c r="F36" s="1"/>
      <c r="G36" s="1"/>
      <c r="H36" s="1"/>
      <c r="I36" s="1"/>
      <c r="J36" s="1"/>
      <c r="K36" s="1"/>
      <c r="L36" s="1"/>
    </row>
    <row r="37" spans="1:12" s="19" customFormat="1" ht="22.5">
      <c r="A37" s="253" t="s">
        <v>423</v>
      </c>
      <c r="B37" s="193">
        <v>5026</v>
      </c>
      <c r="C37" s="79">
        <v>-5257</v>
      </c>
      <c r="D37" s="193">
        <f t="shared" si="0"/>
        <v>-231</v>
      </c>
      <c r="E37" s="261">
        <v>-7802</v>
      </c>
      <c r="F37" s="1"/>
      <c r="G37" s="1"/>
      <c r="H37" s="1"/>
      <c r="I37" s="1"/>
      <c r="J37" s="1"/>
      <c r="K37" s="1"/>
      <c r="L37" s="1"/>
    </row>
    <row r="38" spans="1:12" s="19" customFormat="1" ht="12.75">
      <c r="A38" s="268" t="s">
        <v>427</v>
      </c>
      <c r="B38" s="221"/>
      <c r="C38" s="71">
        <v>577</v>
      </c>
      <c r="D38" s="107">
        <v>100</v>
      </c>
      <c r="E38" s="260">
        <v>62</v>
      </c>
      <c r="F38" s="1"/>
      <c r="G38" s="1"/>
      <c r="H38" s="1"/>
      <c r="I38" s="1"/>
      <c r="J38" s="1"/>
      <c r="K38" s="1"/>
      <c r="L38" s="1"/>
    </row>
    <row r="39" spans="1:12" s="19" customFormat="1" ht="12.75">
      <c r="A39" s="9" t="s">
        <v>428</v>
      </c>
      <c r="B39" s="221">
        <v>-1626</v>
      </c>
      <c r="C39" s="68"/>
      <c r="D39" s="221">
        <f t="shared" si="0"/>
        <v>-1626</v>
      </c>
      <c r="E39" s="256">
        <v>602</v>
      </c>
      <c r="F39" s="1"/>
      <c r="G39" s="1"/>
      <c r="H39" s="1"/>
      <c r="I39" s="1"/>
      <c r="J39" s="1"/>
      <c r="K39" s="1"/>
      <c r="L39" s="1"/>
    </row>
    <row r="40" spans="1:12" ht="12.75">
      <c r="A40" s="162" t="s">
        <v>429</v>
      </c>
      <c r="B40" s="270"/>
      <c r="C40" s="99"/>
      <c r="D40" s="100"/>
      <c r="E40" s="250"/>
      <c r="F40" s="1"/>
      <c r="G40" s="1"/>
      <c r="H40" s="1"/>
      <c r="I40" s="1"/>
      <c r="J40" s="1"/>
      <c r="K40" s="1"/>
      <c r="L40" s="1"/>
    </row>
    <row r="41" spans="1:12" ht="12.75">
      <c r="A41" s="3"/>
      <c r="B41" s="271"/>
      <c r="C41" s="99"/>
      <c r="D41" s="272"/>
      <c r="E41" s="273"/>
      <c r="F41" s="1"/>
      <c r="G41" s="1"/>
      <c r="H41" s="1"/>
      <c r="I41" s="1"/>
      <c r="J41" s="1"/>
      <c r="K41" s="1"/>
      <c r="L41" s="1"/>
    </row>
    <row r="42" spans="1:12" ht="12.75">
      <c r="A42" s="279"/>
      <c r="B42" s="279"/>
      <c r="C42" s="279"/>
      <c r="D42" s="279"/>
      <c r="E42" s="250"/>
      <c r="F42" s="1"/>
      <c r="G42" s="1"/>
      <c r="H42" s="1"/>
      <c r="I42" s="1"/>
      <c r="J42" s="1"/>
      <c r="K42" s="1"/>
      <c r="L42" s="1"/>
    </row>
    <row r="43" spans="1:12" ht="12.75">
      <c r="A43" s="279"/>
      <c r="B43" s="279"/>
      <c r="C43" s="279"/>
      <c r="D43" s="279"/>
      <c r="E43" s="250"/>
      <c r="F43" s="1"/>
      <c r="G43" s="1"/>
      <c r="H43" s="1"/>
      <c r="I43" s="1"/>
      <c r="J43" s="1"/>
      <c r="K43" s="1"/>
      <c r="L43" s="1"/>
    </row>
    <row r="44" spans="1:12" ht="12.75">
      <c r="A44" s="279" t="s">
        <v>430</v>
      </c>
      <c r="B44" s="279"/>
      <c r="C44" s="279"/>
      <c r="D44" s="279"/>
      <c r="E44" s="250"/>
      <c r="F44" s="1"/>
      <c r="G44" s="1"/>
      <c r="H44" s="1"/>
      <c r="I44" s="1"/>
      <c r="J44" s="1"/>
      <c r="K44" s="1"/>
      <c r="L44" s="1"/>
    </row>
    <row r="45" spans="3:12" s="6" customFormat="1" ht="11.25">
      <c r="C45" s="93"/>
      <c r="D45" s="274"/>
      <c r="E45" s="275"/>
      <c r="F45" s="274"/>
      <c r="G45" s="274"/>
      <c r="H45" s="274"/>
      <c r="I45" s="274"/>
      <c r="J45" s="274"/>
      <c r="K45" s="274"/>
      <c r="L45" s="274"/>
    </row>
    <row r="46" spans="3:5" s="6" customFormat="1" ht="11.25">
      <c r="C46" s="162"/>
      <c r="E46" s="125"/>
    </row>
    <row r="47" spans="1:12" ht="12.75">
      <c r="A47" s="6" t="s">
        <v>431</v>
      </c>
      <c r="B47" s="270"/>
      <c r="C47" s="99"/>
      <c r="D47" s="100"/>
      <c r="E47" s="250"/>
      <c r="F47" s="1"/>
      <c r="G47" s="1"/>
      <c r="H47" s="1"/>
      <c r="I47" s="1"/>
      <c r="J47" s="1"/>
      <c r="K47" s="1"/>
      <c r="L47" s="1"/>
    </row>
    <row r="48" spans="1:12" ht="12.75">
      <c r="A48" s="6" t="s">
        <v>91</v>
      </c>
      <c r="B48" s="270"/>
      <c r="C48" s="99"/>
      <c r="D48" s="100"/>
      <c r="E48" s="250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99"/>
      <c r="D49" s="1"/>
      <c r="E49" s="250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99"/>
      <c r="D50" s="276"/>
      <c r="E50" s="277"/>
      <c r="F50" s="276"/>
      <c r="G50" s="276"/>
      <c r="H50" s="276"/>
      <c r="I50" s="276"/>
      <c r="J50" s="276"/>
      <c r="K50" s="276"/>
      <c r="L50" s="276"/>
    </row>
  </sheetData>
  <mergeCells count="4">
    <mergeCell ref="A1:E2"/>
    <mergeCell ref="A42:D42"/>
    <mergeCell ref="A43:D43"/>
    <mergeCell ref="A44:D4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L262"/>
  <sheetViews>
    <sheetView workbookViewId="0" topLeftCell="G4">
      <selection activeCell="I16" sqref="I16"/>
    </sheetView>
  </sheetViews>
  <sheetFormatPr defaultColWidth="9.140625" defaultRowHeight="12.75"/>
  <cols>
    <col min="1" max="1" width="40.421875" style="37" hidden="1" customWidth="1"/>
    <col min="2" max="2" width="10.421875" style="37" hidden="1" customWidth="1"/>
    <col min="3" max="3" width="15.00390625" style="37" hidden="1" customWidth="1"/>
    <col min="4" max="4" width="13.7109375" style="37" hidden="1" customWidth="1"/>
    <col min="5" max="5" width="11.28125" style="37" hidden="1" customWidth="1"/>
    <col min="6" max="6" width="12.421875" style="37" hidden="1" customWidth="1"/>
    <col min="7" max="7" width="40.8515625" style="37" customWidth="1"/>
    <col min="8" max="8" width="8.7109375" style="37" customWidth="1"/>
    <col min="9" max="9" width="12.00390625" style="37" customWidth="1"/>
    <col min="10" max="10" width="9.57421875" style="37" customWidth="1"/>
    <col min="11" max="11" width="8.28125" style="37" customWidth="1"/>
    <col min="12" max="12" width="10.8515625" style="37" customWidth="1"/>
    <col min="13" max="16384" width="9.140625" style="37" customWidth="1"/>
  </cols>
  <sheetData>
    <row r="1" spans="3:10" ht="12.75">
      <c r="C1" s="1"/>
      <c r="D1" s="1"/>
      <c r="I1" s="1"/>
      <c r="J1" s="1"/>
    </row>
    <row r="2" spans="1:12" ht="12.75">
      <c r="A2" s="1" t="s">
        <v>383</v>
      </c>
      <c r="C2" s="1"/>
      <c r="D2" s="1"/>
      <c r="E2" s="1"/>
      <c r="F2" s="232" t="s">
        <v>384</v>
      </c>
      <c r="G2" s="1" t="s">
        <v>383</v>
      </c>
      <c r="I2" s="1"/>
      <c r="J2" s="1"/>
      <c r="K2" s="1"/>
      <c r="L2" s="185" t="s">
        <v>384</v>
      </c>
    </row>
    <row r="3" spans="1:12" ht="15.75">
      <c r="A3" s="46" t="s">
        <v>385</v>
      </c>
      <c r="G3" s="280" t="s">
        <v>385</v>
      </c>
      <c r="H3" s="280"/>
      <c r="I3" s="280"/>
      <c r="J3" s="280"/>
      <c r="K3" s="280"/>
      <c r="L3" s="280"/>
    </row>
    <row r="4" spans="1:7" ht="15.75">
      <c r="A4" s="46" t="s">
        <v>386</v>
      </c>
      <c r="G4" s="46" t="s">
        <v>387</v>
      </c>
    </row>
    <row r="7" spans="6:12" ht="12">
      <c r="F7" s="245"/>
      <c r="L7" s="245"/>
    </row>
    <row r="8" spans="4:12" ht="12.75">
      <c r="D8" s="1"/>
      <c r="F8" s="35" t="s">
        <v>97</v>
      </c>
      <c r="J8" s="1"/>
      <c r="L8" s="233" t="s">
        <v>97</v>
      </c>
    </row>
    <row r="9" spans="1:12" ht="60" customHeight="1">
      <c r="A9" s="235" t="s">
        <v>5</v>
      </c>
      <c r="B9" s="236" t="s">
        <v>359</v>
      </c>
      <c r="C9" s="236" t="s">
        <v>6</v>
      </c>
      <c r="D9" s="236" t="s">
        <v>7</v>
      </c>
      <c r="E9" s="236" t="s">
        <v>360</v>
      </c>
      <c r="F9" s="236" t="s">
        <v>388</v>
      </c>
      <c r="G9" s="235" t="s">
        <v>5</v>
      </c>
      <c r="H9" s="236" t="s">
        <v>359</v>
      </c>
      <c r="I9" s="236" t="s">
        <v>6</v>
      </c>
      <c r="J9" s="236" t="s">
        <v>7</v>
      </c>
      <c r="K9" s="236" t="s">
        <v>360</v>
      </c>
      <c r="L9" s="236" t="s">
        <v>388</v>
      </c>
    </row>
    <row r="10" spans="1:12" ht="12" customHeight="1">
      <c r="A10" s="54">
        <v>1</v>
      </c>
      <c r="B10" s="54">
        <v>2</v>
      </c>
      <c r="C10" s="7">
        <v>3</v>
      </c>
      <c r="D10" s="7">
        <v>4</v>
      </c>
      <c r="E10" s="7">
        <v>5</v>
      </c>
      <c r="F10" s="55">
        <v>6</v>
      </c>
      <c r="G10" s="54">
        <v>1</v>
      </c>
      <c r="H10" s="54">
        <v>2</v>
      </c>
      <c r="I10" s="7">
        <v>3</v>
      </c>
      <c r="J10" s="7">
        <v>4</v>
      </c>
      <c r="K10" s="7">
        <v>5</v>
      </c>
      <c r="L10" s="55">
        <v>6</v>
      </c>
    </row>
    <row r="11" spans="1:12" ht="18" customHeight="1">
      <c r="A11" s="237" t="s">
        <v>241</v>
      </c>
      <c r="B11" s="132"/>
      <c r="C11" s="109">
        <f>SUM(C12:C25)</f>
        <v>870883731</v>
      </c>
      <c r="D11" s="109">
        <f>SUM(D12:D25)</f>
        <v>235604536</v>
      </c>
      <c r="E11" s="238">
        <f>IF(ISERROR(D11/C11)," ",(D11/C11))</f>
        <v>0.27053500669884484</v>
      </c>
      <c r="F11" s="109">
        <f>SUM(F12:F25)</f>
        <v>2523816</v>
      </c>
      <c r="G11" s="237" t="s">
        <v>241</v>
      </c>
      <c r="H11" s="132"/>
      <c r="I11" s="197">
        <v>870884</v>
      </c>
      <c r="J11" s="197">
        <v>235605</v>
      </c>
      <c r="K11" s="11">
        <v>0.2705354559275403</v>
      </c>
      <c r="L11" s="197">
        <v>2524</v>
      </c>
    </row>
    <row r="12" spans="1:12" ht="18" customHeight="1">
      <c r="A12" s="167" t="s">
        <v>361</v>
      </c>
      <c r="B12" s="240">
        <v>1</v>
      </c>
      <c r="C12" s="241">
        <v>132568</v>
      </c>
      <c r="D12" s="241">
        <v>2845</v>
      </c>
      <c r="E12" s="242">
        <f aca="true" t="shared" si="0" ref="E12:E25">IF(ISERROR(D12/C12)," ",(D12/C12))</f>
        <v>0.021460684328042965</v>
      </c>
      <c r="F12" s="246">
        <f>930548+1181+1373290</f>
        <v>2305019</v>
      </c>
      <c r="G12" s="130" t="s">
        <v>361</v>
      </c>
      <c r="H12" s="243">
        <v>1</v>
      </c>
      <c r="I12" s="154">
        <v>133</v>
      </c>
      <c r="J12" s="154">
        <v>3</v>
      </c>
      <c r="K12" s="17">
        <v>0.022556390977443608</v>
      </c>
      <c r="L12" s="154">
        <v>2305</v>
      </c>
    </row>
    <row r="13" spans="1:12" ht="18.75" customHeight="1">
      <c r="A13" s="19" t="s">
        <v>362</v>
      </c>
      <c r="B13" s="240">
        <v>2</v>
      </c>
      <c r="C13" s="241"/>
      <c r="D13" s="241"/>
      <c r="E13" s="242" t="str">
        <f t="shared" si="0"/>
        <v> </v>
      </c>
      <c r="F13" s="19">
        <v>1539</v>
      </c>
      <c r="G13" s="18" t="s">
        <v>362</v>
      </c>
      <c r="H13" s="243">
        <v>2</v>
      </c>
      <c r="I13" s="154">
        <v>0</v>
      </c>
      <c r="J13" s="154">
        <v>0</v>
      </c>
      <c r="K13" s="17" t="s">
        <v>92</v>
      </c>
      <c r="L13" s="154">
        <v>2</v>
      </c>
    </row>
    <row r="14" spans="1:12" ht="17.25" customHeight="1">
      <c r="A14" s="19" t="s">
        <v>363</v>
      </c>
      <c r="B14" s="240">
        <v>3</v>
      </c>
      <c r="C14" s="241"/>
      <c r="D14" s="241"/>
      <c r="E14" s="242" t="str">
        <f t="shared" si="0"/>
        <v> </v>
      </c>
      <c r="F14" s="19"/>
      <c r="G14" s="18" t="s">
        <v>363</v>
      </c>
      <c r="H14" s="243">
        <v>3</v>
      </c>
      <c r="I14" s="154">
        <v>0</v>
      </c>
      <c r="J14" s="154">
        <v>0</v>
      </c>
      <c r="K14" s="17" t="s">
        <v>92</v>
      </c>
      <c r="L14" s="154">
        <v>0</v>
      </c>
    </row>
    <row r="15" spans="1:12" ht="16.5" customHeight="1">
      <c r="A15" s="19" t="s">
        <v>364</v>
      </c>
      <c r="B15" s="240">
        <v>4</v>
      </c>
      <c r="C15" s="241">
        <v>717950</v>
      </c>
      <c r="D15" s="241"/>
      <c r="E15" s="242">
        <f t="shared" si="0"/>
        <v>0</v>
      </c>
      <c r="F15" s="19">
        <v>49735</v>
      </c>
      <c r="G15" s="18" t="s">
        <v>364</v>
      </c>
      <c r="H15" s="243">
        <v>4</v>
      </c>
      <c r="I15" s="154">
        <v>718</v>
      </c>
      <c r="J15" s="154">
        <v>0</v>
      </c>
      <c r="K15" s="17">
        <v>0</v>
      </c>
      <c r="L15" s="154">
        <v>49</v>
      </c>
    </row>
    <row r="16" spans="1:12" ht="18.75" customHeight="1">
      <c r="A16" s="19" t="s">
        <v>365</v>
      </c>
      <c r="B16" s="240">
        <v>5</v>
      </c>
      <c r="C16" s="241">
        <v>147053440</v>
      </c>
      <c r="D16" s="241">
        <v>35592239</v>
      </c>
      <c r="E16" s="242">
        <f t="shared" si="0"/>
        <v>0.24203608565702373</v>
      </c>
      <c r="F16" s="19"/>
      <c r="G16" s="18" t="s">
        <v>365</v>
      </c>
      <c r="H16" s="243">
        <v>5</v>
      </c>
      <c r="I16" s="154">
        <v>147053</v>
      </c>
      <c r="J16" s="154">
        <v>35592</v>
      </c>
      <c r="K16" s="17">
        <v>0.2420351845933099</v>
      </c>
      <c r="L16" s="154">
        <v>0</v>
      </c>
    </row>
    <row r="17" spans="1:12" ht="18" customHeight="1">
      <c r="A17" s="19" t="s">
        <v>366</v>
      </c>
      <c r="B17" s="240">
        <v>6</v>
      </c>
      <c r="C17" s="241">
        <v>510061089</v>
      </c>
      <c r="D17" s="241">
        <v>167860186</v>
      </c>
      <c r="E17" s="242">
        <f t="shared" si="0"/>
        <v>0.3290981994511642</v>
      </c>
      <c r="F17" s="19">
        <v>34306</v>
      </c>
      <c r="G17" s="18" t="s">
        <v>366</v>
      </c>
      <c r="H17" s="243">
        <v>6</v>
      </c>
      <c r="I17" s="154">
        <v>510061</v>
      </c>
      <c r="J17" s="154">
        <v>167860</v>
      </c>
      <c r="K17" s="17">
        <v>0.3290978922128922</v>
      </c>
      <c r="L17" s="154">
        <v>34</v>
      </c>
    </row>
    <row r="18" spans="1:12" ht="24" customHeight="1">
      <c r="A18" s="20" t="s">
        <v>367</v>
      </c>
      <c r="B18" s="240">
        <v>7</v>
      </c>
      <c r="C18" s="241">
        <v>10127000</v>
      </c>
      <c r="D18" s="241">
        <f>2268888+248755</f>
        <v>2517643</v>
      </c>
      <c r="E18" s="242">
        <f t="shared" si="0"/>
        <v>0.24860699121161253</v>
      </c>
      <c r="F18" s="19">
        <f>1249+5327</f>
        <v>6576</v>
      </c>
      <c r="G18" s="77" t="s">
        <v>367</v>
      </c>
      <c r="H18" s="243">
        <v>7</v>
      </c>
      <c r="I18" s="154">
        <v>10127</v>
      </c>
      <c r="J18" s="154">
        <v>2518</v>
      </c>
      <c r="K18" s="17">
        <v>0.2486422435074553</v>
      </c>
      <c r="L18" s="154">
        <v>7</v>
      </c>
    </row>
    <row r="19" spans="1:12" ht="15.75" customHeight="1">
      <c r="A19" s="19" t="s">
        <v>368</v>
      </c>
      <c r="B19" s="240">
        <v>8</v>
      </c>
      <c r="C19" s="241">
        <v>4225000</v>
      </c>
      <c r="D19" s="241">
        <f>599500+50679+680641</f>
        <v>1330820</v>
      </c>
      <c r="E19" s="242">
        <f t="shared" si="0"/>
        <v>0.31498698224852073</v>
      </c>
      <c r="F19" s="19">
        <f>3816</f>
        <v>3816</v>
      </c>
      <c r="G19" s="18" t="s">
        <v>368</v>
      </c>
      <c r="H19" s="243">
        <v>8</v>
      </c>
      <c r="I19" s="154">
        <v>4225</v>
      </c>
      <c r="J19" s="154">
        <v>1331</v>
      </c>
      <c r="K19" s="17">
        <v>0.31502958579881657</v>
      </c>
      <c r="L19" s="154">
        <v>4</v>
      </c>
    </row>
    <row r="20" spans="1:12" ht="20.25" customHeight="1">
      <c r="A20" s="19" t="s">
        <v>369</v>
      </c>
      <c r="B20" s="240">
        <v>9</v>
      </c>
      <c r="C20" s="241"/>
      <c r="D20" s="241"/>
      <c r="E20" s="242" t="str">
        <f t="shared" si="0"/>
        <v> </v>
      </c>
      <c r="F20" s="19"/>
      <c r="G20" s="18" t="s">
        <v>369</v>
      </c>
      <c r="H20" s="243">
        <v>9</v>
      </c>
      <c r="I20" s="154">
        <v>0</v>
      </c>
      <c r="J20" s="154">
        <v>0</v>
      </c>
      <c r="K20" s="17" t="s">
        <v>92</v>
      </c>
      <c r="L20" s="154">
        <v>0</v>
      </c>
    </row>
    <row r="21" spans="1:12" ht="24.75" customHeight="1">
      <c r="A21" s="20" t="s">
        <v>370</v>
      </c>
      <c r="B21" s="240">
        <v>10</v>
      </c>
      <c r="C21" s="241">
        <v>24600000</v>
      </c>
      <c r="D21" s="241">
        <f>210996+5796077</f>
        <v>6007073</v>
      </c>
      <c r="E21" s="242">
        <f t="shared" si="0"/>
        <v>0.2441899593495935</v>
      </c>
      <c r="F21" s="19">
        <f>4586+117288</f>
        <v>121874</v>
      </c>
      <c r="G21" s="77" t="s">
        <v>370</v>
      </c>
      <c r="H21" s="243">
        <v>10</v>
      </c>
      <c r="I21" s="154">
        <v>24600</v>
      </c>
      <c r="J21" s="154">
        <v>6007</v>
      </c>
      <c r="K21" s="17">
        <v>0.2441869918699187</v>
      </c>
      <c r="L21" s="154">
        <v>122</v>
      </c>
    </row>
    <row r="22" spans="1:12" ht="27.75" customHeight="1">
      <c r="A22" s="20" t="s">
        <v>371</v>
      </c>
      <c r="B22" s="240">
        <v>11</v>
      </c>
      <c r="C22" s="241"/>
      <c r="D22" s="241"/>
      <c r="E22" s="242" t="str">
        <f t="shared" si="0"/>
        <v> </v>
      </c>
      <c r="F22" s="19"/>
      <c r="G22" s="77" t="s">
        <v>371</v>
      </c>
      <c r="H22" s="243">
        <v>11</v>
      </c>
      <c r="I22" s="154">
        <v>0</v>
      </c>
      <c r="J22" s="154">
        <v>0</v>
      </c>
      <c r="K22" s="17" t="s">
        <v>92</v>
      </c>
      <c r="L22" s="154">
        <v>0</v>
      </c>
    </row>
    <row r="23" spans="1:12" ht="18" customHeight="1">
      <c r="A23" s="19" t="s">
        <v>372</v>
      </c>
      <c r="B23" s="240">
        <v>12</v>
      </c>
      <c r="C23" s="241">
        <v>122569984</v>
      </c>
      <c r="D23" s="241">
        <f>177501+576548+20645482</f>
        <v>21399531</v>
      </c>
      <c r="E23" s="242">
        <f t="shared" si="0"/>
        <v>0.17459030589414126</v>
      </c>
      <c r="F23" s="19"/>
      <c r="G23" s="18" t="s">
        <v>372</v>
      </c>
      <c r="H23" s="243">
        <v>12</v>
      </c>
      <c r="I23" s="154">
        <v>122570</v>
      </c>
      <c r="J23" s="154">
        <v>21400</v>
      </c>
      <c r="K23" s="17">
        <v>0.17459410948845558</v>
      </c>
      <c r="L23" s="154">
        <v>0</v>
      </c>
    </row>
    <row r="24" spans="1:12" ht="18.75" customHeight="1">
      <c r="A24" s="19" t="s">
        <v>373</v>
      </c>
      <c r="B24" s="240">
        <v>13</v>
      </c>
      <c r="C24" s="241">
        <v>51396700</v>
      </c>
      <c r="D24" s="241">
        <f>669885+195514+28800</f>
        <v>894199</v>
      </c>
      <c r="E24" s="242">
        <f t="shared" si="0"/>
        <v>0.01739798469551547</v>
      </c>
      <c r="F24" s="19">
        <v>951</v>
      </c>
      <c r="G24" s="18" t="s">
        <v>373</v>
      </c>
      <c r="H24" s="243">
        <v>13</v>
      </c>
      <c r="I24" s="154">
        <v>51397</v>
      </c>
      <c r="J24" s="154">
        <v>894</v>
      </c>
      <c r="K24" s="17">
        <v>0.01739401132361811</v>
      </c>
      <c r="L24" s="154">
        <v>1</v>
      </c>
    </row>
    <row r="25" spans="1:12" ht="24" customHeight="1">
      <c r="A25" s="20" t="s">
        <v>374</v>
      </c>
      <c r="B25" s="240">
        <v>14</v>
      </c>
      <c r="C25" s="241"/>
      <c r="D25" s="241"/>
      <c r="E25" s="242" t="str">
        <f t="shared" si="0"/>
        <v> </v>
      </c>
      <c r="F25" s="19"/>
      <c r="G25" s="77" t="s">
        <v>374</v>
      </c>
      <c r="H25" s="243">
        <v>14</v>
      </c>
      <c r="I25" s="154">
        <v>0</v>
      </c>
      <c r="J25" s="154">
        <v>0</v>
      </c>
      <c r="K25" s="17" t="s">
        <v>92</v>
      </c>
      <c r="L25" s="154">
        <v>0</v>
      </c>
    </row>
    <row r="26" spans="2:11" ht="12.75">
      <c r="B26" s="209"/>
      <c r="C26" s="100"/>
      <c r="D26" s="100"/>
      <c r="E26" s="98"/>
      <c r="H26" s="209"/>
      <c r="I26" s="100"/>
      <c r="J26" s="100"/>
      <c r="K26" s="98"/>
    </row>
    <row r="27" spans="1:11" ht="14.25">
      <c r="A27" s="50"/>
      <c r="B27" s="244"/>
      <c r="C27" s="100"/>
      <c r="D27" s="100"/>
      <c r="E27" s="98"/>
      <c r="G27" s="50"/>
      <c r="H27" s="244"/>
      <c r="I27" s="100"/>
      <c r="J27" s="100"/>
      <c r="K27" s="98"/>
    </row>
    <row r="28" spans="1:11" ht="14.25">
      <c r="A28" s="50"/>
      <c r="B28" s="244"/>
      <c r="C28" s="100"/>
      <c r="D28" s="100"/>
      <c r="E28" s="98"/>
      <c r="G28" s="50"/>
      <c r="H28" s="244"/>
      <c r="I28" s="100"/>
      <c r="J28" s="100"/>
      <c r="K28" s="98"/>
    </row>
    <row r="29" spans="1:11" ht="14.25">
      <c r="A29" s="50"/>
      <c r="B29" s="244"/>
      <c r="C29" s="100"/>
      <c r="D29" s="100"/>
      <c r="E29" s="98"/>
      <c r="G29" s="50"/>
      <c r="H29" s="244"/>
      <c r="I29" s="100"/>
      <c r="J29" s="100"/>
      <c r="K29" s="98"/>
    </row>
    <row r="30" spans="1:11" ht="14.25">
      <c r="A30" s="50"/>
      <c r="B30" s="244"/>
      <c r="C30" s="100"/>
      <c r="D30" s="100"/>
      <c r="E30" s="98"/>
      <c r="G30" s="50"/>
      <c r="H30" s="244"/>
      <c r="I30" s="100"/>
      <c r="J30" s="100"/>
      <c r="K30" s="98"/>
    </row>
    <row r="31" spans="1:11" ht="14.25">
      <c r="A31" s="50"/>
      <c r="B31" s="244"/>
      <c r="C31" s="100"/>
      <c r="D31" s="100"/>
      <c r="E31" s="98"/>
      <c r="G31" s="50"/>
      <c r="H31" s="244"/>
      <c r="I31" s="100"/>
      <c r="J31" s="100"/>
      <c r="K31" s="98"/>
    </row>
    <row r="32" spans="1:11" ht="14.25">
      <c r="A32" s="50"/>
      <c r="B32" s="244"/>
      <c r="C32" s="100"/>
      <c r="D32" s="100"/>
      <c r="E32" s="98"/>
      <c r="G32" s="50"/>
      <c r="H32" s="244"/>
      <c r="I32" s="100"/>
      <c r="J32" s="100"/>
      <c r="K32" s="98"/>
    </row>
    <row r="33" spans="1:11" ht="14.25">
      <c r="A33" s="50"/>
      <c r="B33" s="244"/>
      <c r="C33" s="100"/>
      <c r="D33" s="100"/>
      <c r="E33" s="98"/>
      <c r="G33" s="50"/>
      <c r="H33" s="244"/>
      <c r="I33" s="100"/>
      <c r="J33" s="100"/>
      <c r="K33" s="98"/>
    </row>
    <row r="34" spans="1:11" ht="15.75" customHeight="1">
      <c r="A34" s="37" t="s">
        <v>389</v>
      </c>
      <c r="B34" s="209"/>
      <c r="C34" s="96" t="s">
        <v>378</v>
      </c>
      <c r="D34" s="96"/>
      <c r="E34" s="98"/>
      <c r="G34" s="37" t="s">
        <v>389</v>
      </c>
      <c r="H34" s="209"/>
      <c r="I34" s="96" t="s">
        <v>380</v>
      </c>
      <c r="J34" s="96"/>
      <c r="K34" s="98"/>
    </row>
    <row r="35" spans="2:11" ht="12">
      <c r="B35" s="209"/>
      <c r="C35" s="96"/>
      <c r="D35" s="96"/>
      <c r="E35" s="98"/>
      <c r="H35" s="209"/>
      <c r="I35" s="96"/>
      <c r="J35" s="96"/>
      <c r="K35" s="98"/>
    </row>
    <row r="36" spans="3:11" ht="15.75" customHeight="1">
      <c r="C36" s="96"/>
      <c r="D36" s="96"/>
      <c r="E36" s="95"/>
      <c r="I36" s="96"/>
      <c r="J36" s="96"/>
      <c r="K36" s="95"/>
    </row>
    <row r="37" spans="3:11" ht="12.75">
      <c r="C37" s="100"/>
      <c r="D37" s="100"/>
      <c r="E37" s="98"/>
      <c r="I37" s="100"/>
      <c r="J37" s="100"/>
      <c r="K37" s="98"/>
    </row>
    <row r="38" spans="3:11" ht="12.75">
      <c r="C38" s="100"/>
      <c r="D38" s="100"/>
      <c r="E38" s="98"/>
      <c r="I38" s="100"/>
      <c r="J38" s="100"/>
      <c r="K38" s="98"/>
    </row>
    <row r="39" spans="3:11" ht="12.75">
      <c r="C39" s="100"/>
      <c r="D39" s="100"/>
      <c r="E39" s="98"/>
      <c r="I39" s="100"/>
      <c r="J39" s="100"/>
      <c r="K39" s="98"/>
    </row>
    <row r="40" spans="1:11" ht="12.75">
      <c r="A40" s="37" t="s">
        <v>381</v>
      </c>
      <c r="C40" s="100"/>
      <c r="D40" s="100"/>
      <c r="E40" s="98"/>
      <c r="G40" s="37" t="s">
        <v>381</v>
      </c>
      <c r="I40" s="100"/>
      <c r="J40" s="100"/>
      <c r="K40" s="98"/>
    </row>
    <row r="41" spans="1:11" ht="12.75">
      <c r="A41" s="37" t="s">
        <v>91</v>
      </c>
      <c r="C41" s="100"/>
      <c r="D41" s="100"/>
      <c r="E41" s="98"/>
      <c r="G41" s="37" t="s">
        <v>91</v>
      </c>
      <c r="I41" s="100"/>
      <c r="J41" s="100"/>
      <c r="K41" s="98"/>
    </row>
    <row r="42" spans="3:11" ht="12.75">
      <c r="C42" s="100"/>
      <c r="D42" s="100"/>
      <c r="E42" s="98"/>
      <c r="I42" s="100"/>
      <c r="J42" s="100"/>
      <c r="K42" s="98"/>
    </row>
    <row r="43" spans="3:11" ht="12.75">
      <c r="C43" s="100"/>
      <c r="D43" s="100"/>
      <c r="E43" s="98"/>
      <c r="I43" s="100"/>
      <c r="J43" s="100"/>
      <c r="K43" s="98"/>
    </row>
    <row r="44" spans="3:11" ht="12.75">
      <c r="C44" s="100"/>
      <c r="D44" s="100"/>
      <c r="E44" s="98"/>
      <c r="I44" s="100"/>
      <c r="J44" s="100"/>
      <c r="K44" s="98"/>
    </row>
    <row r="45" spans="1:11" ht="14.25">
      <c r="A45" s="50"/>
      <c r="B45" s="50"/>
      <c r="C45" s="100"/>
      <c r="D45" s="100"/>
      <c r="E45" s="98"/>
      <c r="G45" s="50"/>
      <c r="H45" s="50"/>
      <c r="I45" s="100"/>
      <c r="J45" s="100"/>
      <c r="K45" s="98"/>
    </row>
    <row r="46" spans="3:11" ht="12.75">
      <c r="C46" s="100"/>
      <c r="D46" s="100"/>
      <c r="E46" s="98"/>
      <c r="I46" s="100"/>
      <c r="J46" s="100"/>
      <c r="K46" s="98"/>
    </row>
    <row r="47" spans="3:11" ht="12.75">
      <c r="C47" s="100"/>
      <c r="D47" s="100"/>
      <c r="E47" s="98"/>
      <c r="I47" s="100"/>
      <c r="J47" s="100"/>
      <c r="K47" s="98"/>
    </row>
    <row r="48" spans="3:11" ht="12.75">
      <c r="C48" s="100"/>
      <c r="D48" s="100"/>
      <c r="E48" s="98"/>
      <c r="I48" s="100"/>
      <c r="J48" s="100"/>
      <c r="K48" s="98"/>
    </row>
    <row r="49" spans="3:11" ht="12.75">
      <c r="C49" s="100"/>
      <c r="D49" s="100"/>
      <c r="E49" s="98"/>
      <c r="I49" s="100"/>
      <c r="J49" s="100"/>
      <c r="K49" s="98"/>
    </row>
    <row r="50" spans="3:11" ht="12.75">
      <c r="C50" s="100"/>
      <c r="D50" s="100"/>
      <c r="E50" s="98"/>
      <c r="I50" s="100"/>
      <c r="J50" s="100"/>
      <c r="K50" s="98"/>
    </row>
    <row r="51" spans="3:11" ht="12.75">
      <c r="C51" s="96"/>
      <c r="D51" s="100"/>
      <c r="E51" s="98"/>
      <c r="I51" s="96"/>
      <c r="J51" s="100"/>
      <c r="K51" s="98"/>
    </row>
    <row r="52" spans="3:11" ht="12.75">
      <c r="C52" s="96"/>
      <c r="D52" s="100"/>
      <c r="E52" s="98"/>
      <c r="I52" s="96"/>
      <c r="J52" s="100"/>
      <c r="K52" s="98"/>
    </row>
    <row r="53" spans="3:11" ht="12.75">
      <c r="C53" s="96"/>
      <c r="D53" s="100"/>
      <c r="E53" s="98"/>
      <c r="I53" s="96"/>
      <c r="J53" s="100"/>
      <c r="K53" s="98"/>
    </row>
    <row r="54" spans="3:11" ht="12.75">
      <c r="C54" s="96"/>
      <c r="D54" s="1"/>
      <c r="E54" s="98"/>
      <c r="I54" s="96"/>
      <c r="J54" s="1"/>
      <c r="K54" s="98"/>
    </row>
    <row r="55" spans="3:11" ht="12.75">
      <c r="C55" s="96"/>
      <c r="D55" s="1"/>
      <c r="E55" s="98"/>
      <c r="I55" s="96"/>
      <c r="J55" s="1"/>
      <c r="K55" s="98"/>
    </row>
    <row r="56" spans="3:11" ht="12.75">
      <c r="C56" s="96"/>
      <c r="D56" s="1"/>
      <c r="E56" s="98"/>
      <c r="I56" s="96"/>
      <c r="J56" s="1"/>
      <c r="K56" s="98"/>
    </row>
    <row r="57" spans="3:11" ht="12.75">
      <c r="C57" s="96"/>
      <c r="D57" s="1"/>
      <c r="E57" s="98"/>
      <c r="I57" s="96"/>
      <c r="J57" s="1"/>
      <c r="K57" s="98"/>
    </row>
    <row r="58" spans="3:11" ht="12.75">
      <c r="C58" s="96"/>
      <c r="D58" s="1"/>
      <c r="E58" s="98"/>
      <c r="I58" s="96"/>
      <c r="J58" s="1"/>
      <c r="K58" s="98"/>
    </row>
    <row r="59" spans="3:11" ht="12.75">
      <c r="C59" s="96"/>
      <c r="D59" s="1"/>
      <c r="E59" s="98"/>
      <c r="I59" s="96"/>
      <c r="J59" s="1"/>
      <c r="K59" s="98"/>
    </row>
    <row r="60" spans="3:11" ht="12.75">
      <c r="C60" s="96"/>
      <c r="D60" s="1"/>
      <c r="E60" s="98"/>
      <c r="I60" s="96"/>
      <c r="J60" s="1"/>
      <c r="K60" s="98"/>
    </row>
    <row r="61" spans="3:11" ht="12.75">
      <c r="C61" s="96"/>
      <c r="D61" s="1"/>
      <c r="E61" s="98"/>
      <c r="I61" s="96"/>
      <c r="J61" s="1"/>
      <c r="K61" s="98"/>
    </row>
    <row r="62" spans="3:11" ht="12.75">
      <c r="C62" s="96"/>
      <c r="D62" s="1"/>
      <c r="E62" s="98"/>
      <c r="I62" s="96"/>
      <c r="J62" s="1"/>
      <c r="K62" s="98"/>
    </row>
    <row r="63" spans="3:11" ht="12.75">
      <c r="C63" s="96"/>
      <c r="D63" s="1"/>
      <c r="E63" s="98"/>
      <c r="I63" s="96"/>
      <c r="J63" s="1"/>
      <c r="K63" s="98"/>
    </row>
    <row r="64" spans="3:11" ht="12.75">
      <c r="C64" s="96"/>
      <c r="D64" s="1"/>
      <c r="E64" s="98"/>
      <c r="I64" s="96"/>
      <c r="J64" s="1"/>
      <c r="K64" s="98"/>
    </row>
    <row r="65" spans="3:11" ht="12.75">
      <c r="C65" s="96"/>
      <c r="D65" s="1"/>
      <c r="E65" s="98"/>
      <c r="I65" s="96"/>
      <c r="J65" s="1"/>
      <c r="K65" s="98"/>
    </row>
    <row r="66" spans="3:11" ht="12.75">
      <c r="C66" s="96"/>
      <c r="D66" s="1"/>
      <c r="E66" s="98"/>
      <c r="I66" s="96"/>
      <c r="J66" s="1"/>
      <c r="K66" s="98"/>
    </row>
    <row r="67" spans="3:11" ht="12.75">
      <c r="C67" s="96"/>
      <c r="D67" s="1"/>
      <c r="E67" s="98"/>
      <c r="I67" s="96"/>
      <c r="J67" s="1"/>
      <c r="K67" s="98"/>
    </row>
    <row r="68" spans="3:11" ht="12.75">
      <c r="C68" s="96"/>
      <c r="D68" s="1"/>
      <c r="E68" s="98"/>
      <c r="I68" s="96"/>
      <c r="J68" s="1"/>
      <c r="K68" s="98"/>
    </row>
    <row r="69" spans="3:11" ht="12.75">
      <c r="C69" s="96"/>
      <c r="D69" s="1"/>
      <c r="E69" s="98"/>
      <c r="I69" s="96"/>
      <c r="J69" s="1"/>
      <c r="K69" s="98"/>
    </row>
    <row r="70" spans="3:11" ht="12.75">
      <c r="C70" s="96"/>
      <c r="D70" s="1"/>
      <c r="E70" s="98"/>
      <c r="I70" s="96"/>
      <c r="J70" s="1"/>
      <c r="K70" s="98"/>
    </row>
    <row r="71" spans="3:11" ht="12.75">
      <c r="C71" s="96"/>
      <c r="D71" s="1"/>
      <c r="E71" s="98"/>
      <c r="I71" s="96"/>
      <c r="J71" s="1"/>
      <c r="K71" s="98"/>
    </row>
    <row r="72" spans="3:11" ht="12.75">
      <c r="C72" s="96"/>
      <c r="D72" s="1"/>
      <c r="E72" s="98"/>
      <c r="I72" s="96"/>
      <c r="J72" s="1"/>
      <c r="K72" s="98"/>
    </row>
    <row r="73" spans="3:11" ht="12.75">
      <c r="C73" s="96"/>
      <c r="D73" s="1"/>
      <c r="E73" s="98"/>
      <c r="I73" s="96"/>
      <c r="J73" s="1"/>
      <c r="K73" s="98"/>
    </row>
    <row r="74" spans="3:11" ht="12">
      <c r="C74" s="96"/>
      <c r="E74" s="98"/>
      <c r="I74" s="96"/>
      <c r="K74" s="98"/>
    </row>
    <row r="75" spans="3:11" ht="12">
      <c r="C75" s="96"/>
      <c r="E75" s="98"/>
      <c r="I75" s="96"/>
      <c r="K75" s="98"/>
    </row>
    <row r="76" spans="3:11" ht="12">
      <c r="C76" s="96"/>
      <c r="E76" s="98"/>
      <c r="I76" s="96"/>
      <c r="K76" s="98"/>
    </row>
    <row r="77" spans="3:11" ht="12">
      <c r="C77" s="96"/>
      <c r="E77" s="98"/>
      <c r="I77" s="96"/>
      <c r="K77" s="98"/>
    </row>
    <row r="78" spans="3:11" ht="12">
      <c r="C78" s="96"/>
      <c r="E78" s="98"/>
      <c r="I78" s="96"/>
      <c r="K78" s="98"/>
    </row>
    <row r="79" spans="3:11" ht="12">
      <c r="C79" s="96"/>
      <c r="E79" s="98"/>
      <c r="I79" s="96"/>
      <c r="K79" s="98"/>
    </row>
    <row r="80" spans="3:11" ht="12">
      <c r="C80" s="96"/>
      <c r="E80" s="98"/>
      <c r="I80" s="96"/>
      <c r="K80" s="98"/>
    </row>
    <row r="81" spans="2:10" ht="12">
      <c r="B81" s="96"/>
      <c r="D81" s="98"/>
      <c r="H81" s="96"/>
      <c r="J81" s="98"/>
    </row>
    <row r="82" spans="2:10" ht="12">
      <c r="B82" s="96"/>
      <c r="D82" s="98"/>
      <c r="H82" s="96"/>
      <c r="J82" s="98"/>
    </row>
    <row r="83" spans="2:10" ht="12">
      <c r="B83" s="96"/>
      <c r="D83" s="98"/>
      <c r="H83" s="96"/>
      <c r="J83" s="98"/>
    </row>
    <row r="84" spans="2:10" ht="12">
      <c r="B84" s="96"/>
      <c r="D84" s="98"/>
      <c r="H84" s="96"/>
      <c r="J84" s="98"/>
    </row>
    <row r="85" spans="2:10" ht="12">
      <c r="B85" s="96"/>
      <c r="D85" s="98"/>
      <c r="H85" s="96"/>
      <c r="J85" s="98"/>
    </row>
    <row r="86" spans="2:10" ht="12">
      <c r="B86" s="96"/>
      <c r="D86" s="98"/>
      <c r="H86" s="96"/>
      <c r="J86" s="98"/>
    </row>
    <row r="87" spans="2:10" ht="12">
      <c r="B87" s="96"/>
      <c r="D87" s="98"/>
      <c r="H87" s="96"/>
      <c r="J87" s="98"/>
    </row>
    <row r="88" spans="2:10" ht="12">
      <c r="B88" s="96"/>
      <c r="D88" s="98"/>
      <c r="H88" s="96"/>
      <c r="J88" s="98"/>
    </row>
    <row r="89" spans="2:10" ht="12">
      <c r="B89" s="96"/>
      <c r="D89" s="98"/>
      <c r="H89" s="96"/>
      <c r="J89" s="98"/>
    </row>
    <row r="90" spans="2:10" ht="12">
      <c r="B90" s="96"/>
      <c r="D90" s="98"/>
      <c r="H90" s="96"/>
      <c r="J90" s="98"/>
    </row>
    <row r="91" spans="2:10" ht="12">
      <c r="B91" s="96"/>
      <c r="D91" s="98"/>
      <c r="H91" s="96"/>
      <c r="J91" s="98"/>
    </row>
    <row r="92" spans="2:10" ht="12">
      <c r="B92" s="96"/>
      <c r="D92" s="98"/>
      <c r="H92" s="96"/>
      <c r="J92" s="98"/>
    </row>
    <row r="93" spans="2:10" ht="12">
      <c r="B93" s="96"/>
      <c r="D93" s="98"/>
      <c r="H93" s="96"/>
      <c r="J93" s="98"/>
    </row>
    <row r="94" spans="2:10" ht="12">
      <c r="B94" s="96"/>
      <c r="D94" s="98"/>
      <c r="H94" s="96"/>
      <c r="J94" s="98"/>
    </row>
    <row r="95" spans="2:10" ht="12">
      <c r="B95" s="96"/>
      <c r="D95" s="98"/>
      <c r="H95" s="96"/>
      <c r="J95" s="98"/>
    </row>
    <row r="96" spans="2:10" ht="12">
      <c r="B96" s="96"/>
      <c r="D96" s="98"/>
      <c r="H96" s="96"/>
      <c r="J96" s="98"/>
    </row>
    <row r="97" spans="2:10" ht="12">
      <c r="B97" s="96"/>
      <c r="D97" s="98"/>
      <c r="H97" s="96"/>
      <c r="J97" s="98"/>
    </row>
    <row r="98" spans="2:10" ht="12">
      <c r="B98" s="96"/>
      <c r="D98" s="98"/>
      <c r="H98" s="96"/>
      <c r="J98" s="98"/>
    </row>
    <row r="99" spans="2:10" ht="12">
      <c r="B99" s="96"/>
      <c r="D99" s="98"/>
      <c r="H99" s="96"/>
      <c r="J99" s="98"/>
    </row>
    <row r="100" spans="2:10" ht="12">
      <c r="B100" s="96"/>
      <c r="D100" s="98"/>
      <c r="H100" s="96"/>
      <c r="J100" s="98"/>
    </row>
    <row r="101" spans="2:8" ht="12">
      <c r="B101" s="96"/>
      <c r="H101" s="96"/>
    </row>
    <row r="102" spans="2:8" ht="12">
      <c r="B102" s="96"/>
      <c r="H102" s="96"/>
    </row>
    <row r="103" spans="2:8" ht="12">
      <c r="B103" s="96"/>
      <c r="H103" s="96"/>
    </row>
    <row r="104" spans="2:8" ht="12">
      <c r="B104" s="96"/>
      <c r="H104" s="96"/>
    </row>
    <row r="105" spans="2:8" ht="12">
      <c r="B105" s="96"/>
      <c r="H105" s="96"/>
    </row>
    <row r="106" spans="2:8" ht="12">
      <c r="B106" s="96"/>
      <c r="H106" s="96"/>
    </row>
    <row r="107" spans="2:8" ht="12">
      <c r="B107" s="96"/>
      <c r="H107" s="96"/>
    </row>
    <row r="108" spans="2:8" ht="12">
      <c r="B108" s="96"/>
      <c r="H108" s="96"/>
    </row>
    <row r="109" spans="2:8" ht="12">
      <c r="B109" s="96"/>
      <c r="H109" s="96"/>
    </row>
    <row r="236" spans="1:12" ht="12">
      <c r="A236" s="247"/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</row>
    <row r="237" spans="1:12" ht="12">
      <c r="A237" s="247"/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</row>
    <row r="238" spans="1:12" ht="12">
      <c r="A238" s="247"/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</row>
    <row r="239" spans="1:12" ht="12">
      <c r="A239" s="247"/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</row>
    <row r="240" spans="1:12" ht="12">
      <c r="A240" s="247"/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</row>
    <row r="241" spans="1:12" ht="12">
      <c r="A241" s="247"/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</row>
    <row r="242" spans="1:12" ht="12">
      <c r="A242" s="247"/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</row>
    <row r="243" spans="1:12" ht="12">
      <c r="A243" s="247"/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</row>
    <row r="244" spans="1:12" ht="12">
      <c r="A244" s="247"/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</row>
    <row r="245" spans="1:12" ht="12">
      <c r="A245" s="247"/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</row>
    <row r="246" spans="1:12" ht="12">
      <c r="A246" s="247"/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</row>
    <row r="247" spans="1:12" ht="12">
      <c r="A247" s="247"/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</row>
    <row r="248" spans="1:12" ht="12">
      <c r="A248" s="247"/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47"/>
    </row>
    <row r="249" spans="1:12" ht="12">
      <c r="A249" s="247"/>
      <c r="B249" s="247"/>
      <c r="C249" s="247"/>
      <c r="D249" s="247"/>
      <c r="E249" s="247"/>
      <c r="F249" s="247"/>
      <c r="G249" s="247"/>
      <c r="H249" s="247"/>
      <c r="I249" s="247"/>
      <c r="J249" s="247"/>
      <c r="K249" s="247"/>
      <c r="L249" s="247"/>
    </row>
    <row r="250" spans="1:12" ht="12">
      <c r="A250" s="247"/>
      <c r="B250" s="247"/>
      <c r="C250" s="247"/>
      <c r="D250" s="247"/>
      <c r="E250" s="247"/>
      <c r="F250" s="247"/>
      <c r="G250" s="247"/>
      <c r="H250" s="247"/>
      <c r="I250" s="247"/>
      <c r="J250" s="247"/>
      <c r="K250" s="247"/>
      <c r="L250" s="247"/>
    </row>
    <row r="251" spans="1:12" ht="12">
      <c r="A251" s="247"/>
      <c r="B251" s="247"/>
      <c r="C251" s="247"/>
      <c r="D251" s="247"/>
      <c r="E251" s="247"/>
      <c r="F251" s="247"/>
      <c r="G251" s="247"/>
      <c r="H251" s="247"/>
      <c r="I251" s="247"/>
      <c r="J251" s="247"/>
      <c r="K251" s="247"/>
      <c r="L251" s="247"/>
    </row>
    <row r="252" spans="1:12" ht="12">
      <c r="A252" s="247"/>
      <c r="B252" s="247"/>
      <c r="C252" s="247"/>
      <c r="D252" s="247"/>
      <c r="E252" s="247"/>
      <c r="F252" s="247"/>
      <c r="G252" s="247"/>
      <c r="H252" s="247"/>
      <c r="I252" s="247"/>
      <c r="J252" s="247"/>
      <c r="K252" s="247"/>
      <c r="L252" s="247"/>
    </row>
    <row r="253" spans="1:12" ht="12">
      <c r="A253" s="247"/>
      <c r="B253" s="247"/>
      <c r="C253" s="247"/>
      <c r="D253" s="247"/>
      <c r="E253" s="247"/>
      <c r="F253" s="247"/>
      <c r="G253" s="247"/>
      <c r="H253" s="247"/>
      <c r="I253" s="247"/>
      <c r="J253" s="247"/>
      <c r="K253" s="247"/>
      <c r="L253" s="247"/>
    </row>
    <row r="254" spans="1:12" ht="12">
      <c r="A254" s="247"/>
      <c r="B254" s="247"/>
      <c r="C254" s="247"/>
      <c r="D254" s="247"/>
      <c r="E254" s="247"/>
      <c r="F254" s="247"/>
      <c r="G254" s="247"/>
      <c r="H254" s="247"/>
      <c r="I254" s="247"/>
      <c r="J254" s="247"/>
      <c r="K254" s="247"/>
      <c r="L254" s="247"/>
    </row>
    <row r="255" spans="1:12" ht="12">
      <c r="A255" s="247"/>
      <c r="B255" s="247"/>
      <c r="C255" s="247"/>
      <c r="D255" s="247"/>
      <c r="E255" s="247"/>
      <c r="F255" s="247"/>
      <c r="G255" s="247"/>
      <c r="H255" s="247"/>
      <c r="I255" s="247"/>
      <c r="J255" s="247"/>
      <c r="K255" s="247"/>
      <c r="L255" s="247"/>
    </row>
    <row r="256" spans="1:12" ht="12">
      <c r="A256" s="247"/>
      <c r="B256" s="247"/>
      <c r="C256" s="247"/>
      <c r="D256" s="247"/>
      <c r="E256" s="247"/>
      <c r="F256" s="247"/>
      <c r="G256" s="247"/>
      <c r="H256" s="247"/>
      <c r="I256" s="247"/>
      <c r="J256" s="247"/>
      <c r="K256" s="247"/>
      <c r="L256" s="247"/>
    </row>
    <row r="257" spans="1:12" ht="12">
      <c r="A257" s="247"/>
      <c r="B257" s="247"/>
      <c r="C257" s="247"/>
      <c r="D257" s="247"/>
      <c r="E257" s="247"/>
      <c r="F257" s="247"/>
      <c r="G257" s="247"/>
      <c r="H257" s="247"/>
      <c r="I257" s="247"/>
      <c r="J257" s="247"/>
      <c r="K257" s="247"/>
      <c r="L257" s="247"/>
    </row>
    <row r="258" spans="1:12" ht="12">
      <c r="A258" s="247"/>
      <c r="B258" s="247"/>
      <c r="C258" s="247"/>
      <c r="D258" s="247"/>
      <c r="E258" s="247"/>
      <c r="F258" s="247"/>
      <c r="G258" s="247"/>
      <c r="H258" s="247"/>
      <c r="I258" s="247"/>
      <c r="J258" s="247"/>
      <c r="K258" s="247"/>
      <c r="L258" s="247"/>
    </row>
    <row r="259" spans="1:12" ht="12">
      <c r="A259" s="247"/>
      <c r="B259" s="247"/>
      <c r="C259" s="247"/>
      <c r="D259" s="247"/>
      <c r="E259" s="247"/>
      <c r="F259" s="247"/>
      <c r="G259" s="247"/>
      <c r="H259" s="247"/>
      <c r="I259" s="247"/>
      <c r="J259" s="247"/>
      <c r="K259" s="247"/>
      <c r="L259" s="247"/>
    </row>
    <row r="260" spans="1:12" ht="12">
      <c r="A260" s="247"/>
      <c r="B260" s="247"/>
      <c r="C260" s="247"/>
      <c r="D260" s="247"/>
      <c r="E260" s="247"/>
      <c r="F260" s="247"/>
      <c r="G260" s="247"/>
      <c r="H260" s="247"/>
      <c r="I260" s="247"/>
      <c r="J260" s="247"/>
      <c r="K260" s="247"/>
      <c r="L260" s="247"/>
    </row>
    <row r="261" spans="1:12" ht="12">
      <c r="A261" s="247"/>
      <c r="B261" s="247"/>
      <c r="C261" s="247"/>
      <c r="D261" s="247"/>
      <c r="E261" s="247"/>
      <c r="F261" s="247"/>
      <c r="G261" s="247"/>
      <c r="H261" s="247"/>
      <c r="I261" s="247"/>
      <c r="J261" s="247"/>
      <c r="K261" s="247"/>
      <c r="L261" s="247"/>
    </row>
    <row r="262" spans="1:12" ht="12">
      <c r="A262" s="247"/>
      <c r="B262" s="247"/>
      <c r="C262" s="247"/>
      <c r="D262" s="247"/>
      <c r="E262" s="247"/>
      <c r="F262" s="247"/>
      <c r="G262" s="247"/>
      <c r="H262" s="247"/>
      <c r="I262" s="247"/>
      <c r="J262" s="247"/>
      <c r="K262" s="247"/>
      <c r="L262" s="247"/>
    </row>
  </sheetData>
  <mergeCells count="1">
    <mergeCell ref="G3:L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E125"/>
  <sheetViews>
    <sheetView workbookViewId="0" topLeftCell="A1">
      <selection activeCell="E1" sqref="E1"/>
    </sheetView>
  </sheetViews>
  <sheetFormatPr defaultColWidth="9.140625" defaultRowHeight="12.75"/>
  <cols>
    <col min="1" max="1" width="58.57421875" style="284" customWidth="1"/>
    <col min="2" max="2" width="9.8515625" style="284" customWidth="1"/>
    <col min="3" max="3" width="11.00390625" style="284" customWidth="1"/>
    <col min="4" max="4" width="10.421875" style="284" customWidth="1"/>
    <col min="5" max="5" width="11.140625" style="284" customWidth="1"/>
    <col min="6" max="16384" width="8.00390625" style="284" customWidth="1"/>
  </cols>
  <sheetData>
    <row r="1" spans="1:5" ht="12.75">
      <c r="A1" s="282" t="s">
        <v>1</v>
      </c>
      <c r="B1" s="282"/>
      <c r="C1" s="282"/>
      <c r="D1" s="282"/>
      <c r="E1" s="283" t="s">
        <v>432</v>
      </c>
    </row>
    <row r="2" spans="1:5" ht="12.75">
      <c r="A2" s="285"/>
      <c r="B2" s="285"/>
      <c r="C2" s="285"/>
      <c r="D2" s="285"/>
      <c r="E2" s="285"/>
    </row>
    <row r="3" spans="1:5" ht="18">
      <c r="A3" s="286" t="s">
        <v>433</v>
      </c>
      <c r="B3" s="287"/>
      <c r="C3" s="282"/>
      <c r="D3" s="282"/>
      <c r="E3" s="282"/>
    </row>
    <row r="4" spans="1:5" ht="18">
      <c r="A4" s="286" t="s">
        <v>434</v>
      </c>
      <c r="B4" s="287"/>
      <c r="C4" s="282"/>
      <c r="D4" s="282"/>
      <c r="E4" s="282"/>
    </row>
    <row r="5" spans="1:5" ht="18">
      <c r="A5" s="287"/>
      <c r="B5" s="287"/>
      <c r="C5" s="282"/>
      <c r="D5" s="288"/>
      <c r="E5" s="288" t="s">
        <v>4</v>
      </c>
    </row>
    <row r="6" spans="1:5" ht="35.25" customHeight="1">
      <c r="A6" s="289" t="s">
        <v>5</v>
      </c>
      <c r="B6" s="289" t="s">
        <v>435</v>
      </c>
      <c r="C6" s="289" t="s">
        <v>7</v>
      </c>
      <c r="D6" s="289" t="s">
        <v>8</v>
      </c>
      <c r="E6" s="289" t="s">
        <v>310</v>
      </c>
    </row>
    <row r="7" spans="1:5" s="290" customFormat="1" ht="12.75" customHeight="1">
      <c r="A7" s="289">
        <v>1</v>
      </c>
      <c r="B7" s="289">
        <v>2</v>
      </c>
      <c r="C7" s="289">
        <v>3</v>
      </c>
      <c r="D7" s="289">
        <v>4</v>
      </c>
      <c r="E7" s="289">
        <v>5</v>
      </c>
    </row>
    <row r="8" spans="1:5" ht="16.5" customHeight="1">
      <c r="A8" s="291" t="s">
        <v>436</v>
      </c>
      <c r="B8" s="292"/>
      <c r="C8" s="293">
        <v>131581</v>
      </c>
      <c r="D8" s="294"/>
      <c r="E8" s="293">
        <v>38285</v>
      </c>
    </row>
    <row r="9" spans="1:5" ht="12">
      <c r="A9" s="234" t="s">
        <v>437</v>
      </c>
      <c r="B9" s="295"/>
      <c r="C9" s="293">
        <v>129423</v>
      </c>
      <c r="D9" s="293"/>
      <c r="E9" s="293">
        <v>37578</v>
      </c>
    </row>
    <row r="10" spans="1:5" ht="12">
      <c r="A10" s="234" t="s">
        <v>438</v>
      </c>
      <c r="B10" s="295"/>
      <c r="C10" s="293">
        <v>74007</v>
      </c>
      <c r="D10" s="296"/>
      <c r="E10" s="293">
        <v>21921</v>
      </c>
    </row>
    <row r="11" spans="1:5" ht="12">
      <c r="A11" s="234" t="s">
        <v>439</v>
      </c>
      <c r="B11" s="295"/>
      <c r="C11" s="293">
        <v>5873</v>
      </c>
      <c r="D11" s="293"/>
      <c r="E11" s="293">
        <v>1511</v>
      </c>
    </row>
    <row r="12" spans="1:5" ht="12">
      <c r="A12" s="234" t="s">
        <v>440</v>
      </c>
      <c r="B12" s="295"/>
      <c r="C12" s="293">
        <v>9045</v>
      </c>
      <c r="D12" s="293"/>
      <c r="E12" s="293">
        <v>2187</v>
      </c>
    </row>
    <row r="13" spans="1:5" ht="12">
      <c r="A13" s="234" t="s">
        <v>441</v>
      </c>
      <c r="B13" s="295"/>
      <c r="C13" s="293">
        <v>40498</v>
      </c>
      <c r="D13" s="293"/>
      <c r="E13" s="293">
        <v>11959</v>
      </c>
    </row>
    <row r="14" spans="1:5" ht="12">
      <c r="A14" s="297" t="s">
        <v>442</v>
      </c>
      <c r="B14" s="295"/>
      <c r="C14" s="293">
        <v>1228</v>
      </c>
      <c r="D14" s="293"/>
      <c r="E14" s="293">
        <v>507</v>
      </c>
    </row>
    <row r="15" spans="1:5" ht="22.5">
      <c r="A15" s="297" t="s">
        <v>443</v>
      </c>
      <c r="B15" s="295"/>
      <c r="C15" s="293">
        <v>7944</v>
      </c>
      <c r="D15" s="293"/>
      <c r="E15" s="293">
        <v>1869</v>
      </c>
    </row>
    <row r="16" spans="1:5" ht="19.5" customHeight="1">
      <c r="A16" s="291" t="s">
        <v>444</v>
      </c>
      <c r="B16" s="292"/>
      <c r="C16" s="293">
        <v>120251</v>
      </c>
      <c r="D16" s="294"/>
      <c r="E16" s="293">
        <v>35202</v>
      </c>
    </row>
    <row r="17" spans="1:5" ht="12.75">
      <c r="A17" s="234" t="s">
        <v>445</v>
      </c>
      <c r="B17" s="292"/>
      <c r="C17" s="293">
        <v>11330</v>
      </c>
      <c r="D17" s="293"/>
      <c r="E17" s="293">
        <v>3083</v>
      </c>
    </row>
    <row r="18" spans="1:5" ht="12.75">
      <c r="A18" s="234" t="s">
        <v>446</v>
      </c>
      <c r="B18" s="292"/>
      <c r="C18" s="293">
        <v>10425</v>
      </c>
      <c r="D18" s="294"/>
      <c r="E18" s="293">
        <v>2784</v>
      </c>
    </row>
    <row r="19" spans="1:5" ht="12">
      <c r="A19" s="234" t="s">
        <v>447</v>
      </c>
      <c r="B19" s="295"/>
      <c r="C19" s="293">
        <v>905</v>
      </c>
      <c r="D19" s="296"/>
      <c r="E19" s="293">
        <v>299</v>
      </c>
    </row>
    <row r="20" spans="1:5" ht="23.25" customHeight="1">
      <c r="A20" s="291" t="s">
        <v>448</v>
      </c>
      <c r="B20" s="292"/>
      <c r="C20" s="293">
        <v>11330</v>
      </c>
      <c r="D20" s="293"/>
      <c r="E20" s="293">
        <v>3083</v>
      </c>
    </row>
    <row r="21" spans="1:5" ht="35.25" customHeight="1">
      <c r="A21" s="291" t="s">
        <v>449</v>
      </c>
      <c r="B21" s="292"/>
      <c r="C21" s="293">
        <f>SUM(C22:C24)</f>
        <v>124192</v>
      </c>
      <c r="D21" s="293"/>
      <c r="E21" s="293">
        <f>SUM(E22:E24)</f>
        <v>34031</v>
      </c>
    </row>
    <row r="22" spans="1:5" ht="34.5" customHeight="1">
      <c r="A22" s="298" t="s">
        <v>450</v>
      </c>
      <c r="B22" s="295"/>
      <c r="C22" s="293">
        <f>9301+100937</f>
        <v>110238</v>
      </c>
      <c r="D22" s="293"/>
      <c r="E22" s="293">
        <f>2576+26533</f>
        <v>29109</v>
      </c>
    </row>
    <row r="23" spans="1:5" ht="30.75" customHeight="1">
      <c r="A23" s="298" t="s">
        <v>451</v>
      </c>
      <c r="B23" s="295"/>
      <c r="C23" s="293">
        <f>2685+4226</f>
        <v>6911</v>
      </c>
      <c r="D23" s="293"/>
      <c r="E23" s="293">
        <f>1765+1063</f>
        <v>2828</v>
      </c>
    </row>
    <row r="24" spans="1:5" ht="31.5" customHeight="1">
      <c r="A24" s="298" t="s">
        <v>452</v>
      </c>
      <c r="B24" s="295"/>
      <c r="C24" s="293">
        <f>26+7017</f>
        <v>7043</v>
      </c>
      <c r="D24" s="293"/>
      <c r="E24" s="293">
        <f>2117-23</f>
        <v>2094</v>
      </c>
    </row>
    <row r="25" spans="1:5" ht="59.25" customHeight="1">
      <c r="A25" s="291" t="s">
        <v>453</v>
      </c>
      <c r="B25" s="295"/>
      <c r="C25" s="293">
        <v>7389</v>
      </c>
      <c r="D25" s="293"/>
      <c r="E25" s="293">
        <v>4254</v>
      </c>
    </row>
    <row r="26" spans="1:5" ht="30" customHeight="1">
      <c r="A26" s="291" t="s">
        <v>454</v>
      </c>
      <c r="B26" s="295"/>
      <c r="C26" s="293">
        <v>-652</v>
      </c>
      <c r="D26" s="293"/>
      <c r="E26" s="293">
        <v>-2023</v>
      </c>
    </row>
    <row r="27" spans="1:5" ht="38.25" customHeight="1">
      <c r="A27" s="291" t="s">
        <v>455</v>
      </c>
      <c r="B27" s="295"/>
      <c r="C27" s="293">
        <v>123540</v>
      </c>
      <c r="D27" s="293"/>
      <c r="E27" s="293">
        <v>32008</v>
      </c>
    </row>
    <row r="28" spans="1:5" ht="41.25" customHeight="1">
      <c r="A28" s="291" t="s">
        <v>456</v>
      </c>
      <c r="B28" s="295"/>
      <c r="C28" s="293">
        <v>8041</v>
      </c>
      <c r="D28" s="293"/>
      <c r="E28" s="293">
        <v>6277</v>
      </c>
    </row>
    <row r="29" spans="1:5" ht="18.75" customHeight="1">
      <c r="A29" s="299" t="s">
        <v>457</v>
      </c>
      <c r="B29" s="295"/>
      <c r="C29" s="293">
        <v>121352</v>
      </c>
      <c r="D29" s="293"/>
      <c r="E29" s="293">
        <v>32089</v>
      </c>
    </row>
    <row r="30" spans="1:5" ht="12.75">
      <c r="A30" s="297" t="s">
        <v>458</v>
      </c>
      <c r="B30" s="292"/>
      <c r="C30" s="293">
        <v>9172</v>
      </c>
      <c r="D30" s="293"/>
      <c r="E30" s="293">
        <v>2376</v>
      </c>
    </row>
    <row r="31" spans="1:5" ht="17.25" customHeight="1">
      <c r="A31" s="299" t="s">
        <v>459</v>
      </c>
      <c r="B31" s="295"/>
      <c r="C31" s="293">
        <v>112180</v>
      </c>
      <c r="D31" s="293"/>
      <c r="E31" s="293">
        <v>29713</v>
      </c>
    </row>
    <row r="32" spans="1:5" ht="15.75" customHeight="1">
      <c r="A32" s="300" t="s">
        <v>460</v>
      </c>
      <c r="B32" s="295"/>
      <c r="C32" s="293">
        <v>110109</v>
      </c>
      <c r="D32" s="293"/>
      <c r="E32" s="293">
        <v>28909</v>
      </c>
    </row>
    <row r="33" spans="1:5" ht="12.75">
      <c r="A33" s="297" t="s">
        <v>458</v>
      </c>
      <c r="B33" s="292"/>
      <c r="C33" s="293">
        <v>9172</v>
      </c>
      <c r="D33" s="293"/>
      <c r="E33" s="293">
        <v>2376</v>
      </c>
    </row>
    <row r="34" spans="1:5" ht="12">
      <c r="A34" s="300" t="s">
        <v>461</v>
      </c>
      <c r="B34" s="295"/>
      <c r="C34" s="293">
        <v>100937</v>
      </c>
      <c r="D34" s="293"/>
      <c r="E34" s="293">
        <v>26533</v>
      </c>
    </row>
    <row r="35" spans="1:5" ht="12">
      <c r="A35" s="300" t="s">
        <v>462</v>
      </c>
      <c r="B35" s="295"/>
      <c r="C35" s="293">
        <v>4226</v>
      </c>
      <c r="D35" s="293"/>
      <c r="E35" s="293">
        <v>1063</v>
      </c>
    </row>
    <row r="36" spans="1:5" ht="12.75">
      <c r="A36" s="300" t="s">
        <v>463</v>
      </c>
      <c r="B36" s="292"/>
      <c r="C36" s="293">
        <v>7017</v>
      </c>
      <c r="D36" s="293"/>
      <c r="E36" s="293">
        <v>2117</v>
      </c>
    </row>
    <row r="37" spans="1:5" s="302" customFormat="1" ht="42" customHeight="1">
      <c r="A37" s="291" t="s">
        <v>464</v>
      </c>
      <c r="B37" s="301"/>
      <c r="C37" s="293">
        <v>8071</v>
      </c>
      <c r="D37" s="293"/>
      <c r="E37" s="293">
        <v>5489</v>
      </c>
    </row>
    <row r="38" spans="1:5" s="302" customFormat="1" ht="27" customHeight="1">
      <c r="A38" s="299" t="s">
        <v>465</v>
      </c>
      <c r="B38" s="303"/>
      <c r="C38" s="293">
        <v>564</v>
      </c>
      <c r="D38" s="293"/>
      <c r="E38" s="293">
        <v>-139</v>
      </c>
    </row>
    <row r="39" spans="1:5" s="302" customFormat="1" ht="15.75" customHeight="1">
      <c r="A39" s="300" t="s">
        <v>466</v>
      </c>
      <c r="B39" s="301"/>
      <c r="C39" s="293">
        <v>696</v>
      </c>
      <c r="D39" s="293"/>
      <c r="E39" s="293">
        <v>-87</v>
      </c>
    </row>
    <row r="40" spans="1:5" s="302" customFormat="1" ht="18" customHeight="1">
      <c r="A40" s="300" t="s">
        <v>467</v>
      </c>
      <c r="B40" s="303"/>
      <c r="C40" s="293">
        <v>132</v>
      </c>
      <c r="D40" s="293"/>
      <c r="E40" s="293">
        <v>52</v>
      </c>
    </row>
    <row r="41" spans="1:5" s="302" customFormat="1" ht="38.25" customHeight="1">
      <c r="A41" s="291" t="s">
        <v>468</v>
      </c>
      <c r="B41" s="301"/>
      <c r="C41" s="293">
        <v>7507</v>
      </c>
      <c r="D41" s="293"/>
      <c r="E41" s="293">
        <v>5628</v>
      </c>
    </row>
    <row r="42" spans="1:5" s="302" customFormat="1" ht="23.25" customHeight="1">
      <c r="A42" s="299" t="s">
        <v>469</v>
      </c>
      <c r="B42" s="301"/>
      <c r="C42" s="293">
        <v>12012</v>
      </c>
      <c r="D42" s="293"/>
      <c r="E42" s="293">
        <v>4318</v>
      </c>
    </row>
    <row r="43" spans="1:5" s="302" customFormat="1" ht="12.75">
      <c r="A43" s="300" t="s">
        <v>470</v>
      </c>
      <c r="B43" s="301"/>
      <c r="C43" s="293">
        <v>9301</v>
      </c>
      <c r="D43" s="293"/>
      <c r="E43" s="293">
        <v>2576</v>
      </c>
    </row>
    <row r="44" spans="1:5" s="302" customFormat="1" ht="12.75">
      <c r="A44" s="300" t="s">
        <v>471</v>
      </c>
      <c r="B44" s="301"/>
      <c r="C44" s="293">
        <v>2685</v>
      </c>
      <c r="D44" s="293"/>
      <c r="E44" s="293">
        <v>1765</v>
      </c>
    </row>
    <row r="45" spans="1:5" s="302" customFormat="1" ht="12.75">
      <c r="A45" s="300" t="s">
        <v>472</v>
      </c>
      <c r="B45" s="301"/>
      <c r="C45" s="293">
        <v>26</v>
      </c>
      <c r="D45" s="293"/>
      <c r="E45" s="293">
        <v>-23</v>
      </c>
    </row>
    <row r="46" spans="1:5" s="302" customFormat="1" ht="46.5" customHeight="1">
      <c r="A46" s="291" t="s">
        <v>473</v>
      </c>
      <c r="B46" s="301"/>
      <c r="C46" s="293">
        <v>-682</v>
      </c>
      <c r="D46" s="293"/>
      <c r="E46" s="293">
        <v>-1235</v>
      </c>
    </row>
    <row r="47" spans="1:5" s="302" customFormat="1" ht="18.75" customHeight="1">
      <c r="A47" s="299" t="s">
        <v>474</v>
      </c>
      <c r="C47" s="293">
        <v>-1216</v>
      </c>
      <c r="D47" s="293"/>
      <c r="E47" s="293">
        <v>-1884</v>
      </c>
    </row>
    <row r="48" spans="1:5" s="302" customFormat="1" ht="12">
      <c r="A48" s="300" t="s">
        <v>475</v>
      </c>
      <c r="C48" s="293">
        <v>1408</v>
      </c>
      <c r="D48" s="293"/>
      <c r="E48" s="293">
        <v>159</v>
      </c>
    </row>
    <row r="49" spans="1:5" s="302" customFormat="1" ht="12">
      <c r="A49" s="300" t="s">
        <v>476</v>
      </c>
      <c r="C49" s="302">
        <v>2624</v>
      </c>
      <c r="E49" s="293">
        <v>2043</v>
      </c>
    </row>
    <row r="50" spans="1:5" s="302" customFormat="1" ht="46.5" customHeight="1">
      <c r="A50" s="291" t="s">
        <v>477</v>
      </c>
      <c r="C50" s="302">
        <v>534</v>
      </c>
      <c r="E50" s="302">
        <v>649</v>
      </c>
    </row>
    <row r="51" s="285" customFormat="1" ht="12.75">
      <c r="A51" s="304"/>
    </row>
    <row r="52" s="285" customFormat="1" ht="12.75">
      <c r="A52" s="304"/>
    </row>
    <row r="53" s="285" customFormat="1" ht="12.75">
      <c r="A53" s="304"/>
    </row>
    <row r="54" s="285" customFormat="1" ht="12.75">
      <c r="A54" s="304"/>
    </row>
    <row r="55" s="285" customFormat="1" ht="12.75">
      <c r="A55" s="304"/>
    </row>
    <row r="56" s="285" customFormat="1" ht="12.75">
      <c r="A56" s="304"/>
    </row>
    <row r="57" spans="1:5" s="285" customFormat="1" ht="12.75">
      <c r="A57" s="305" t="s">
        <v>478</v>
      </c>
      <c r="B57" s="306"/>
      <c r="C57" s="307" t="s">
        <v>479</v>
      </c>
      <c r="D57" s="282"/>
      <c r="E57" s="282"/>
    </row>
    <row r="58" s="285" customFormat="1" ht="12.75">
      <c r="A58" s="304"/>
    </row>
    <row r="59" s="285" customFormat="1" ht="12.75">
      <c r="A59" s="304"/>
    </row>
    <row r="60" s="285" customFormat="1" ht="12.75">
      <c r="A60" s="304"/>
    </row>
    <row r="61" s="285" customFormat="1" ht="12.75">
      <c r="A61" s="304"/>
    </row>
    <row r="62" s="285" customFormat="1" ht="12.75">
      <c r="A62" s="304"/>
    </row>
    <row r="63" s="285" customFormat="1" ht="12.75">
      <c r="A63" s="304"/>
    </row>
    <row r="64" s="285" customFormat="1" ht="12.75">
      <c r="A64" s="304"/>
    </row>
    <row r="65" s="285" customFormat="1" ht="12.75">
      <c r="A65" s="304"/>
    </row>
    <row r="66" s="285" customFormat="1" ht="12.75">
      <c r="A66" s="304"/>
    </row>
    <row r="67" s="285" customFormat="1" ht="12.75">
      <c r="A67" s="304"/>
    </row>
    <row r="68" s="285" customFormat="1" ht="12.75">
      <c r="A68" s="304"/>
    </row>
    <row r="69" s="285" customFormat="1" ht="12.75">
      <c r="A69" s="308"/>
    </row>
    <row r="70" s="285" customFormat="1" ht="12.75">
      <c r="A70" s="308" t="s">
        <v>480</v>
      </c>
    </row>
    <row r="71" s="285" customFormat="1" ht="12.75">
      <c r="A71" s="308" t="s">
        <v>481</v>
      </c>
    </row>
    <row r="72" s="285" customFormat="1" ht="12.75">
      <c r="A72" s="304"/>
    </row>
    <row r="73" s="285" customFormat="1" ht="12.75">
      <c r="A73" s="304"/>
    </row>
    <row r="74" s="285" customFormat="1" ht="12.75">
      <c r="A74" s="304"/>
    </row>
    <row r="75" s="285" customFormat="1" ht="12.75">
      <c r="A75" s="304"/>
    </row>
    <row r="76" s="285" customFormat="1" ht="12.75">
      <c r="A76" s="304"/>
    </row>
    <row r="77" s="285" customFormat="1" ht="12.75">
      <c r="A77" s="304"/>
    </row>
    <row r="78" s="285" customFormat="1" ht="12.75">
      <c r="A78" s="304"/>
    </row>
    <row r="79" ht="11.25">
      <c r="A79" s="309"/>
    </row>
    <row r="80" ht="11.25">
      <c r="A80" s="309"/>
    </row>
    <row r="81" ht="11.25">
      <c r="A81" s="309"/>
    </row>
    <row r="82" ht="11.25">
      <c r="A82" s="309"/>
    </row>
    <row r="83" ht="11.25">
      <c r="A83" s="309"/>
    </row>
    <row r="84" ht="11.25">
      <c r="A84" s="309"/>
    </row>
    <row r="85" ht="11.25">
      <c r="A85" s="309"/>
    </row>
    <row r="86" ht="11.25">
      <c r="A86" s="309"/>
    </row>
    <row r="87" ht="11.25">
      <c r="A87" s="309"/>
    </row>
    <row r="88" ht="11.25">
      <c r="A88" s="309"/>
    </row>
    <row r="89" ht="11.25">
      <c r="A89" s="309"/>
    </row>
    <row r="90" ht="11.25">
      <c r="A90" s="309"/>
    </row>
    <row r="91" ht="11.25">
      <c r="A91" s="309"/>
    </row>
    <row r="92" ht="11.25">
      <c r="A92" s="309"/>
    </row>
    <row r="93" ht="11.25">
      <c r="A93" s="309"/>
    </row>
    <row r="94" ht="11.25">
      <c r="A94" s="309"/>
    </row>
    <row r="95" ht="11.25">
      <c r="A95" s="309"/>
    </row>
    <row r="96" ht="11.25">
      <c r="A96" s="309"/>
    </row>
    <row r="97" ht="11.25">
      <c r="A97" s="309"/>
    </row>
    <row r="98" ht="11.25">
      <c r="A98" s="309"/>
    </row>
    <row r="99" ht="11.25">
      <c r="A99" s="309"/>
    </row>
    <row r="100" ht="11.25">
      <c r="A100" s="309"/>
    </row>
    <row r="101" ht="11.25">
      <c r="A101" s="309"/>
    </row>
    <row r="102" ht="11.25">
      <c r="A102" s="309"/>
    </row>
    <row r="103" ht="11.25">
      <c r="A103" s="309"/>
    </row>
    <row r="104" ht="11.25">
      <c r="A104" s="309"/>
    </row>
    <row r="105" ht="11.25">
      <c r="A105" s="309"/>
    </row>
    <row r="106" ht="11.25">
      <c r="A106" s="309"/>
    </row>
    <row r="107" ht="11.25">
      <c r="A107" s="309"/>
    </row>
    <row r="108" ht="11.25">
      <c r="A108" s="309"/>
    </row>
    <row r="109" ht="11.25">
      <c r="A109" s="309"/>
    </row>
    <row r="110" ht="11.25">
      <c r="A110" s="309"/>
    </row>
    <row r="111" ht="11.25">
      <c r="A111" s="309"/>
    </row>
    <row r="112" ht="11.25">
      <c r="A112" s="309"/>
    </row>
    <row r="113" ht="11.25">
      <c r="A113" s="309"/>
    </row>
    <row r="114" ht="11.25">
      <c r="A114" s="309"/>
    </row>
    <row r="115" ht="11.25">
      <c r="A115" s="309"/>
    </row>
    <row r="116" ht="11.25">
      <c r="A116" s="309"/>
    </row>
    <row r="117" ht="11.25">
      <c r="A117" s="309"/>
    </row>
    <row r="118" ht="11.25">
      <c r="A118" s="309"/>
    </row>
    <row r="119" ht="11.25">
      <c r="A119" s="309"/>
    </row>
    <row r="120" ht="11.25">
      <c r="A120" s="309"/>
    </row>
    <row r="121" ht="11.25">
      <c r="A121" s="309"/>
    </row>
    <row r="122" ht="11.25">
      <c r="A122" s="309"/>
    </row>
    <row r="123" ht="11.25">
      <c r="A123" s="309"/>
    </row>
    <row r="124" ht="11.25">
      <c r="A124" s="309"/>
    </row>
    <row r="125" ht="11.25">
      <c r="A125" s="309"/>
    </row>
  </sheetData>
  <printOptions/>
  <pageMargins left="0.39" right="0.17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/>
  <dimension ref="A1:I58"/>
  <sheetViews>
    <sheetView showGridLines="0" showZeros="0" workbookViewId="0" topLeftCell="A1">
      <selection activeCell="E1" sqref="E1"/>
    </sheetView>
  </sheetViews>
  <sheetFormatPr defaultColWidth="9.140625" defaultRowHeight="12.75"/>
  <cols>
    <col min="1" max="1" width="37.57421875" style="316" customWidth="1"/>
    <col min="2" max="5" width="12.7109375" style="284" customWidth="1"/>
    <col min="6" max="16384" width="7.421875" style="284" customWidth="1"/>
  </cols>
  <sheetData>
    <row r="1" spans="1:5" ht="12.75">
      <c r="A1" s="310" t="s">
        <v>482</v>
      </c>
      <c r="B1" s="310"/>
      <c r="C1" s="282"/>
      <c r="D1" s="282"/>
      <c r="E1" s="282" t="s">
        <v>483</v>
      </c>
    </row>
    <row r="2" spans="1:7" s="282" customFormat="1" ht="12.75">
      <c r="A2" s="310"/>
      <c r="B2" s="310"/>
      <c r="E2" s="311"/>
      <c r="G2" s="310" t="s">
        <v>484</v>
      </c>
    </row>
    <row r="4" spans="1:6" s="315" customFormat="1" ht="15.75">
      <c r="A4" s="312" t="s">
        <v>485</v>
      </c>
      <c r="B4" s="313"/>
      <c r="C4" s="314"/>
      <c r="D4" s="314"/>
      <c r="E4" s="314"/>
      <c r="F4" s="314"/>
    </row>
    <row r="5" spans="1:6" s="315" customFormat="1" ht="15.75">
      <c r="A5" s="312" t="s">
        <v>486</v>
      </c>
      <c r="B5" s="313"/>
      <c r="C5" s="314"/>
      <c r="D5" s="314"/>
      <c r="E5" s="314"/>
      <c r="F5" s="314"/>
    </row>
    <row r="6" spans="2:4" ht="11.25">
      <c r="B6" s="317"/>
      <c r="C6" s="317"/>
      <c r="D6" s="317"/>
    </row>
    <row r="7" spans="3:9" ht="12.75" customHeight="1">
      <c r="C7" s="317"/>
      <c r="D7" s="317"/>
      <c r="E7" s="317"/>
      <c r="F7" s="288"/>
      <c r="G7" s="288"/>
      <c r="H7" s="288"/>
      <c r="I7" s="288"/>
    </row>
    <row r="8" spans="1:5" s="288" customFormat="1" ht="12.75" customHeight="1">
      <c r="A8" s="318"/>
      <c r="B8" s="318"/>
      <c r="C8" s="319"/>
      <c r="D8" s="319"/>
      <c r="E8" s="319" t="s">
        <v>97</v>
      </c>
    </row>
    <row r="9" spans="1:8" s="288" customFormat="1" ht="40.5" customHeight="1">
      <c r="A9" s="320" t="s">
        <v>5</v>
      </c>
      <c r="B9" s="321" t="s">
        <v>435</v>
      </c>
      <c r="C9" s="321" t="s">
        <v>7</v>
      </c>
      <c r="D9" s="321" t="s">
        <v>487</v>
      </c>
      <c r="E9" s="321" t="s">
        <v>310</v>
      </c>
      <c r="F9" s="285"/>
      <c r="G9" s="285"/>
      <c r="H9" s="285"/>
    </row>
    <row r="10" spans="1:8" s="288" customFormat="1" ht="12.75">
      <c r="A10" s="322" t="s">
        <v>488</v>
      </c>
      <c r="B10" s="322">
        <v>2</v>
      </c>
      <c r="C10" s="322">
        <v>3</v>
      </c>
      <c r="D10" s="322">
        <v>4</v>
      </c>
      <c r="E10" s="322">
        <v>5</v>
      </c>
      <c r="F10" s="285"/>
      <c r="G10" s="285"/>
      <c r="H10" s="285"/>
    </row>
    <row r="11" spans="1:6" s="285" customFormat="1" ht="12.75">
      <c r="A11" s="323" t="s">
        <v>489</v>
      </c>
      <c r="B11" s="324">
        <v>0</v>
      </c>
      <c r="C11" s="324">
        <v>129423</v>
      </c>
      <c r="D11" s="325">
        <v>0</v>
      </c>
      <c r="E11" s="324">
        <v>37578</v>
      </c>
      <c r="F11" s="284"/>
    </row>
    <row r="12" spans="1:7" ht="25.5">
      <c r="A12" s="326" t="s">
        <v>490</v>
      </c>
      <c r="B12" s="324">
        <v>0</v>
      </c>
      <c r="C12" s="324">
        <v>88925</v>
      </c>
      <c r="D12" s="325">
        <v>0</v>
      </c>
      <c r="E12" s="324">
        <v>25619</v>
      </c>
      <c r="F12" s="285"/>
      <c r="G12" s="285"/>
    </row>
    <row r="13" spans="1:5" s="285" customFormat="1" ht="12.75">
      <c r="A13" s="327" t="s">
        <v>491</v>
      </c>
      <c r="B13" s="324">
        <v>0</v>
      </c>
      <c r="C13" s="324">
        <v>74007</v>
      </c>
      <c r="D13" s="325">
        <v>0</v>
      </c>
      <c r="E13" s="324">
        <v>21921</v>
      </c>
    </row>
    <row r="14" spans="1:6" s="285" customFormat="1" ht="12.75">
      <c r="A14" s="328" t="s">
        <v>103</v>
      </c>
      <c r="B14" s="324">
        <v>0</v>
      </c>
      <c r="C14" s="324">
        <v>73561</v>
      </c>
      <c r="D14" s="325">
        <v>0</v>
      </c>
      <c r="E14" s="324">
        <v>21705</v>
      </c>
      <c r="F14" s="284"/>
    </row>
    <row r="15" spans="1:6" s="288" customFormat="1" ht="12">
      <c r="A15" s="329" t="s">
        <v>492</v>
      </c>
      <c r="B15" s="324">
        <v>0</v>
      </c>
      <c r="C15" s="324">
        <v>56738</v>
      </c>
      <c r="D15" s="325">
        <v>0</v>
      </c>
      <c r="E15" s="324">
        <v>15315</v>
      </c>
      <c r="F15" s="284"/>
    </row>
    <row r="16" spans="1:6" s="288" customFormat="1" ht="12">
      <c r="A16" s="329" t="s">
        <v>493</v>
      </c>
      <c r="B16" s="324">
        <v>0</v>
      </c>
      <c r="C16" s="324">
        <v>6421</v>
      </c>
      <c r="D16" s="325">
        <v>0</v>
      </c>
      <c r="E16" s="324">
        <v>1505</v>
      </c>
      <c r="F16" s="284"/>
    </row>
    <row r="17" spans="1:6" s="288" customFormat="1" ht="12">
      <c r="A17" s="329" t="s">
        <v>494</v>
      </c>
      <c r="B17" s="324">
        <v>0</v>
      </c>
      <c r="C17" s="324">
        <v>9666</v>
      </c>
      <c r="D17" s="325">
        <v>0</v>
      </c>
      <c r="E17" s="324">
        <v>4693</v>
      </c>
      <c r="F17" s="284"/>
    </row>
    <row r="18" spans="1:6" s="288" customFormat="1" ht="12">
      <c r="A18" s="329" t="s">
        <v>495</v>
      </c>
      <c r="B18" s="324">
        <v>0</v>
      </c>
      <c r="C18" s="324">
        <v>736</v>
      </c>
      <c r="D18" s="325">
        <v>0</v>
      </c>
      <c r="E18" s="324">
        <v>192</v>
      </c>
      <c r="F18" s="284"/>
    </row>
    <row r="19" spans="1:6" s="285" customFormat="1" ht="12.75">
      <c r="A19" s="328" t="s">
        <v>105</v>
      </c>
      <c r="B19" s="324">
        <v>0</v>
      </c>
      <c r="C19" s="324">
        <v>446</v>
      </c>
      <c r="D19" s="325">
        <v>0</v>
      </c>
      <c r="E19" s="324">
        <v>216</v>
      </c>
      <c r="F19" s="284"/>
    </row>
    <row r="20" spans="1:5" ht="12">
      <c r="A20" s="329" t="s">
        <v>496</v>
      </c>
      <c r="B20" s="324">
        <v>0</v>
      </c>
      <c r="C20" s="324">
        <v>446</v>
      </c>
      <c r="D20" s="325">
        <v>0</v>
      </c>
      <c r="E20" s="324">
        <v>216</v>
      </c>
    </row>
    <row r="21" spans="1:5" s="285" customFormat="1" ht="12.75">
      <c r="A21" s="327" t="s">
        <v>497</v>
      </c>
      <c r="B21" s="324">
        <v>0</v>
      </c>
      <c r="C21" s="324">
        <v>5873</v>
      </c>
      <c r="D21" s="325">
        <v>0</v>
      </c>
      <c r="E21" s="324">
        <v>1511</v>
      </c>
    </row>
    <row r="22" spans="1:7" ht="12.75">
      <c r="A22" s="329" t="s">
        <v>498</v>
      </c>
      <c r="B22" s="324">
        <v>0</v>
      </c>
      <c r="C22" s="324">
        <v>131</v>
      </c>
      <c r="D22" s="325">
        <v>0</v>
      </c>
      <c r="E22" s="324">
        <v>37</v>
      </c>
      <c r="F22" s="285"/>
      <c r="G22" s="285"/>
    </row>
    <row r="23" spans="1:7" ht="12.75">
      <c r="A23" s="329" t="s">
        <v>499</v>
      </c>
      <c r="B23" s="324">
        <v>0</v>
      </c>
      <c r="C23" s="324">
        <v>1227</v>
      </c>
      <c r="D23" s="325">
        <v>0</v>
      </c>
      <c r="E23" s="324">
        <v>325</v>
      </c>
      <c r="F23" s="285"/>
      <c r="G23" s="285"/>
    </row>
    <row r="24" spans="1:7" ht="12.75">
      <c r="A24" s="329" t="s">
        <v>500</v>
      </c>
      <c r="B24" s="324">
        <v>0</v>
      </c>
      <c r="C24" s="324">
        <v>80</v>
      </c>
      <c r="D24" s="325">
        <v>0</v>
      </c>
      <c r="E24" s="324">
        <v>27</v>
      </c>
      <c r="F24" s="285"/>
      <c r="G24" s="285"/>
    </row>
    <row r="25" spans="1:7" ht="12.75">
      <c r="A25" s="329" t="s">
        <v>501</v>
      </c>
      <c r="B25" s="324">
        <v>0</v>
      </c>
      <c r="C25" s="324">
        <v>4193</v>
      </c>
      <c r="D25" s="325">
        <v>0</v>
      </c>
      <c r="E25" s="324">
        <v>974</v>
      </c>
      <c r="F25" s="285"/>
      <c r="G25" s="285"/>
    </row>
    <row r="26" spans="1:7" ht="22.5">
      <c r="A26" s="330" t="s">
        <v>502</v>
      </c>
      <c r="B26" s="324">
        <v>0</v>
      </c>
      <c r="C26" s="324">
        <v>197</v>
      </c>
      <c r="D26" s="325">
        <v>0</v>
      </c>
      <c r="E26" s="324">
        <v>140</v>
      </c>
      <c r="F26" s="285"/>
      <c r="G26" s="285"/>
    </row>
    <row r="27" spans="1:7" ht="12.75">
      <c r="A27" s="329" t="s">
        <v>503</v>
      </c>
      <c r="B27" s="324">
        <v>0</v>
      </c>
      <c r="C27" s="324">
        <v>45</v>
      </c>
      <c r="D27" s="325">
        <v>0</v>
      </c>
      <c r="E27" s="324">
        <v>8</v>
      </c>
      <c r="F27" s="285"/>
      <c r="G27" s="285"/>
    </row>
    <row r="28" spans="1:7" ht="38.25">
      <c r="A28" s="331" t="s">
        <v>504</v>
      </c>
      <c r="B28" s="324">
        <v>0</v>
      </c>
      <c r="C28" s="324">
        <v>9045</v>
      </c>
      <c r="D28" s="325">
        <v>0</v>
      </c>
      <c r="E28" s="324">
        <v>2187</v>
      </c>
      <c r="F28" s="285"/>
      <c r="G28" s="285"/>
    </row>
    <row r="29" spans="1:7" ht="12.75">
      <c r="A29" s="327" t="s">
        <v>505</v>
      </c>
      <c r="B29" s="324">
        <v>0</v>
      </c>
      <c r="C29" s="324">
        <v>40498</v>
      </c>
      <c r="D29" s="325">
        <v>0</v>
      </c>
      <c r="E29" s="324">
        <v>11959</v>
      </c>
      <c r="F29" s="285"/>
      <c r="G29" s="285"/>
    </row>
    <row r="30" spans="1:7" ht="12.75">
      <c r="A30" s="332" t="s">
        <v>506</v>
      </c>
      <c r="B30" s="324">
        <v>0</v>
      </c>
      <c r="C30" s="324">
        <v>1228</v>
      </c>
      <c r="D30" s="325">
        <v>0</v>
      </c>
      <c r="E30" s="324">
        <v>507</v>
      </c>
      <c r="F30" s="285"/>
      <c r="G30" s="285"/>
    </row>
    <row r="31" spans="1:7" ht="22.5">
      <c r="A31" s="330" t="s">
        <v>507</v>
      </c>
      <c r="B31" s="324">
        <v>0</v>
      </c>
      <c r="C31" s="324">
        <v>968</v>
      </c>
      <c r="D31" s="325">
        <v>0</v>
      </c>
      <c r="E31" s="324">
        <v>371</v>
      </c>
      <c r="F31" s="285"/>
      <c r="G31" s="285"/>
    </row>
    <row r="32" spans="1:7" ht="22.5">
      <c r="A32" s="330" t="s">
        <v>508</v>
      </c>
      <c r="B32" s="324">
        <v>0</v>
      </c>
      <c r="C32" s="324">
        <v>57</v>
      </c>
      <c r="D32" s="325">
        <v>0</v>
      </c>
      <c r="E32" s="324">
        <v>19</v>
      </c>
      <c r="F32" s="285"/>
      <c r="G32" s="285"/>
    </row>
    <row r="33" spans="1:7" ht="12.75">
      <c r="A33" s="329" t="s">
        <v>509</v>
      </c>
      <c r="B33" s="324">
        <v>0</v>
      </c>
      <c r="C33" s="324">
        <v>203</v>
      </c>
      <c r="D33" s="325">
        <v>0</v>
      </c>
      <c r="E33" s="324">
        <v>117</v>
      </c>
      <c r="F33" s="285"/>
      <c r="G33" s="285"/>
    </row>
    <row r="34" spans="1:7" ht="12.75">
      <c r="A34" s="332" t="s">
        <v>510</v>
      </c>
      <c r="B34" s="324">
        <v>0</v>
      </c>
      <c r="C34" s="324">
        <v>28835</v>
      </c>
      <c r="D34" s="325">
        <v>0</v>
      </c>
      <c r="E34" s="324">
        <v>7907</v>
      </c>
      <c r="F34" s="285"/>
      <c r="G34" s="285"/>
    </row>
    <row r="35" spans="1:7" ht="12.75">
      <c r="A35" s="329" t="s">
        <v>511</v>
      </c>
      <c r="B35" s="324">
        <v>0</v>
      </c>
      <c r="C35" s="324">
        <v>16</v>
      </c>
      <c r="D35" s="325">
        <v>0</v>
      </c>
      <c r="E35" s="324">
        <v>16</v>
      </c>
      <c r="F35" s="285"/>
      <c r="G35" s="285"/>
    </row>
    <row r="36" spans="1:5" ht="12">
      <c r="A36" s="329" t="s">
        <v>512</v>
      </c>
      <c r="B36" s="324">
        <v>0</v>
      </c>
      <c r="C36" s="324">
        <v>16</v>
      </c>
      <c r="D36" s="325">
        <v>0</v>
      </c>
      <c r="E36" s="324">
        <v>16</v>
      </c>
    </row>
    <row r="37" spans="1:5" ht="12">
      <c r="A37" s="329" t="s">
        <v>513</v>
      </c>
      <c r="B37" s="324">
        <v>0</v>
      </c>
      <c r="C37" s="324">
        <v>28819</v>
      </c>
      <c r="D37" s="325">
        <v>0</v>
      </c>
      <c r="E37" s="324">
        <v>7891</v>
      </c>
    </row>
    <row r="38" spans="1:5" ht="22.5">
      <c r="A38" s="333" t="s">
        <v>514</v>
      </c>
      <c r="B38" s="324">
        <v>0</v>
      </c>
      <c r="C38" s="324">
        <v>10235</v>
      </c>
      <c r="D38" s="325">
        <v>0</v>
      </c>
      <c r="E38" s="324">
        <v>3469</v>
      </c>
    </row>
    <row r="39" spans="1:5" ht="12">
      <c r="A39" s="329" t="s">
        <v>511</v>
      </c>
      <c r="B39" s="324">
        <v>0</v>
      </c>
      <c r="C39" s="324">
        <v>10225</v>
      </c>
      <c r="D39" s="325">
        <v>0</v>
      </c>
      <c r="E39" s="324">
        <v>3459</v>
      </c>
    </row>
    <row r="40" spans="1:5" ht="12">
      <c r="A40" s="329" t="s">
        <v>515</v>
      </c>
      <c r="B40" s="324">
        <v>0</v>
      </c>
      <c r="C40" s="324">
        <v>0</v>
      </c>
      <c r="D40" s="325">
        <v>0</v>
      </c>
      <c r="E40" s="324">
        <v>0</v>
      </c>
    </row>
    <row r="41" spans="1:5" ht="22.5">
      <c r="A41" s="330" t="s">
        <v>516</v>
      </c>
      <c r="B41" s="324">
        <v>0</v>
      </c>
      <c r="C41" s="324">
        <v>10</v>
      </c>
      <c r="D41" s="325">
        <v>0</v>
      </c>
      <c r="E41" s="324">
        <v>10</v>
      </c>
    </row>
    <row r="42" spans="1:5" ht="12">
      <c r="A42" s="332" t="s">
        <v>517</v>
      </c>
      <c r="B42" s="324">
        <v>0</v>
      </c>
      <c r="C42" s="324">
        <v>200</v>
      </c>
      <c r="D42" s="325">
        <v>0</v>
      </c>
      <c r="E42" s="324">
        <v>76</v>
      </c>
    </row>
    <row r="43" spans="1:5" ht="12">
      <c r="A43" s="334" t="s">
        <v>518</v>
      </c>
      <c r="B43" s="335"/>
      <c r="C43" s="335"/>
      <c r="D43" s="336"/>
      <c r="E43" s="337"/>
    </row>
    <row r="44" spans="1:5" ht="12.75">
      <c r="A44" s="334" t="s">
        <v>519</v>
      </c>
      <c r="B44" s="338"/>
      <c r="C44" s="338"/>
      <c r="D44" s="338"/>
      <c r="E44" s="337"/>
    </row>
    <row r="45" spans="1:5" ht="12.75">
      <c r="A45" s="334"/>
      <c r="B45" s="338"/>
      <c r="C45" s="338"/>
      <c r="D45" s="338"/>
      <c r="E45" s="337"/>
    </row>
    <row r="46" spans="1:5" ht="12.75">
      <c r="A46" s="334"/>
      <c r="B46" s="338"/>
      <c r="C46" s="338"/>
      <c r="D46" s="338"/>
      <c r="E46" s="337"/>
    </row>
    <row r="47" spans="1:4" s="336" customFormat="1" ht="12">
      <c r="A47" s="339"/>
      <c r="B47" s="337"/>
      <c r="C47" s="335"/>
      <c r="D47" s="335"/>
    </row>
    <row r="48" spans="1:5" s="342" customFormat="1" ht="15.75" customHeight="1">
      <c r="A48" s="340"/>
      <c r="B48" s="340"/>
      <c r="C48" s="341"/>
      <c r="D48" s="341"/>
      <c r="E48" s="307" t="s">
        <v>479</v>
      </c>
    </row>
    <row r="49" spans="1:4" ht="12.75">
      <c r="A49" s="338"/>
      <c r="B49" s="336"/>
      <c r="C49" s="336"/>
      <c r="D49" s="336"/>
    </row>
    <row r="50" spans="1:4" s="336" customFormat="1" ht="13.5" customHeight="1">
      <c r="A50" s="343"/>
      <c r="C50" s="344"/>
      <c r="D50" s="284"/>
    </row>
    <row r="51" spans="1:4" ht="12.75">
      <c r="A51" s="338"/>
      <c r="B51" s="336"/>
      <c r="C51" s="336"/>
      <c r="D51" s="336"/>
    </row>
    <row r="52" spans="1:4" s="336" customFormat="1" ht="11.25">
      <c r="A52" s="343"/>
      <c r="C52" s="344"/>
      <c r="D52" s="284"/>
    </row>
    <row r="53" spans="1:4" ht="13.5" customHeight="1">
      <c r="A53" s="338"/>
      <c r="B53" s="336"/>
      <c r="C53" s="336"/>
      <c r="D53" s="336"/>
    </row>
    <row r="54" spans="1:3" ht="12">
      <c r="A54" s="340"/>
      <c r="B54" s="345"/>
      <c r="C54" s="344"/>
    </row>
    <row r="55" spans="1:3" ht="12">
      <c r="A55" s="340"/>
      <c r="B55" s="345"/>
      <c r="C55" s="288"/>
    </row>
    <row r="57" spans="1:3" ht="12">
      <c r="A57" s="318"/>
      <c r="B57" s="345"/>
      <c r="C57" s="342"/>
    </row>
    <row r="58" spans="1:3" ht="12">
      <c r="A58" s="340"/>
      <c r="B58" s="345"/>
      <c r="C58" s="342"/>
    </row>
  </sheetData>
  <printOptions/>
  <pageMargins left="1.05" right="0.38" top="0.49" bottom="0.24" header="0.25" footer="0.31"/>
  <pageSetup horizontalDpi="600" verticalDpi="600" orientation="portrait" paperSize="9" r:id="rId1"/>
  <headerFooter alignWithMargins="0">
    <oddFooter xml:space="preserve">&amp;L&amp;"Arial,Regular"&amp;8          Valsts kase / Pārskatu departaments    
          17.05.99.
       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1"/>
  <dimension ref="A1:I65"/>
  <sheetViews>
    <sheetView showGridLines="0" showZeros="0" workbookViewId="0" topLeftCell="A1">
      <selection activeCell="E1" sqref="E1"/>
    </sheetView>
  </sheetViews>
  <sheetFormatPr defaultColWidth="9.140625" defaultRowHeight="12.75"/>
  <cols>
    <col min="1" max="1" width="41.00390625" style="316" customWidth="1"/>
    <col min="2" max="2" width="13.140625" style="371" customWidth="1"/>
    <col min="3" max="5" width="13.140625" style="284" customWidth="1"/>
    <col min="6" max="6" width="11.28125" style="284" customWidth="1"/>
    <col min="7" max="16384" width="8.00390625" style="284" customWidth="1"/>
  </cols>
  <sheetData>
    <row r="1" spans="1:6" ht="12.75">
      <c r="A1" s="310" t="s">
        <v>520</v>
      </c>
      <c r="B1" s="310"/>
      <c r="C1" s="282"/>
      <c r="D1" s="282"/>
      <c r="E1" s="282" t="s">
        <v>521</v>
      </c>
      <c r="F1" s="338" t="s">
        <v>92</v>
      </c>
    </row>
    <row r="2" spans="1:6" ht="12.75">
      <c r="A2" s="310"/>
      <c r="B2" s="310"/>
      <c r="C2" s="282"/>
      <c r="D2" s="282"/>
      <c r="E2" s="282"/>
      <c r="F2" s="338"/>
    </row>
    <row r="3" spans="1:6" ht="12.75">
      <c r="A3" s="310"/>
      <c r="B3" s="310"/>
      <c r="C3" s="282"/>
      <c r="D3" s="282"/>
      <c r="E3" s="282"/>
      <c r="F3" s="338"/>
    </row>
    <row r="4" spans="1:5" s="288" customFormat="1" ht="11.25">
      <c r="A4" s="346"/>
      <c r="B4" s="346"/>
      <c r="C4" s="319"/>
      <c r="D4" s="319"/>
      <c r="E4" s="319"/>
    </row>
    <row r="5" spans="1:6" ht="15.75">
      <c r="A5" s="312" t="s">
        <v>522</v>
      </c>
      <c r="B5" s="313"/>
      <c r="C5" s="314"/>
      <c r="D5" s="314"/>
      <c r="E5" s="314"/>
      <c r="F5" s="314"/>
    </row>
    <row r="6" spans="1:6" s="315" customFormat="1" ht="15.75">
      <c r="A6" s="312" t="s">
        <v>486</v>
      </c>
      <c r="B6" s="313"/>
      <c r="C6" s="314"/>
      <c r="D6" s="314"/>
      <c r="E6" s="314"/>
      <c r="F6" s="314"/>
    </row>
    <row r="7" spans="1:6" s="315" customFormat="1" ht="15">
      <c r="A7" s="316"/>
      <c r="B7" s="347"/>
      <c r="C7" s="317"/>
      <c r="D7" s="317"/>
      <c r="E7" s="317"/>
      <c r="F7" s="284"/>
    </row>
    <row r="8" spans="1:6" ht="11.25">
      <c r="A8" s="318"/>
      <c r="B8" s="348"/>
      <c r="C8" s="288"/>
      <c r="D8" s="319" t="s">
        <v>523</v>
      </c>
      <c r="E8" s="319"/>
      <c r="F8" s="349"/>
    </row>
    <row r="9" spans="1:5" s="288" customFormat="1" ht="43.5" customHeight="1">
      <c r="A9" s="350" t="s">
        <v>5</v>
      </c>
      <c r="B9" s="351" t="s">
        <v>435</v>
      </c>
      <c r="C9" s="351" t="s">
        <v>7</v>
      </c>
      <c r="D9" s="351" t="s">
        <v>487</v>
      </c>
      <c r="E9" s="352" t="s">
        <v>100</v>
      </c>
    </row>
    <row r="10" spans="1:5" ht="11.25">
      <c r="A10" s="353" t="s">
        <v>488</v>
      </c>
      <c r="B10" s="322" t="s">
        <v>524</v>
      </c>
      <c r="C10" s="322" t="s">
        <v>525</v>
      </c>
      <c r="D10" s="322" t="s">
        <v>526</v>
      </c>
      <c r="E10" s="354" t="s">
        <v>527</v>
      </c>
    </row>
    <row r="11" spans="1:5" ht="12.75">
      <c r="A11" s="355" t="s">
        <v>528</v>
      </c>
      <c r="B11" s="324">
        <v>0</v>
      </c>
      <c r="C11" s="324">
        <v>121916</v>
      </c>
      <c r="D11" s="325">
        <v>0</v>
      </c>
      <c r="E11" s="356">
        <v>31950</v>
      </c>
    </row>
    <row r="12" spans="1:5" s="285" customFormat="1" ht="12.75">
      <c r="A12" s="357" t="s">
        <v>529</v>
      </c>
      <c r="B12" s="324">
        <v>0</v>
      </c>
      <c r="C12" s="324">
        <v>112661</v>
      </c>
      <c r="D12" s="325">
        <v>0</v>
      </c>
      <c r="E12" s="356">
        <v>29538</v>
      </c>
    </row>
    <row r="13" spans="1:5" s="342" customFormat="1" ht="12">
      <c r="A13" s="358" t="s">
        <v>530</v>
      </c>
      <c r="B13" s="324">
        <v>0</v>
      </c>
      <c r="C13" s="324">
        <v>14083</v>
      </c>
      <c r="D13" s="325">
        <v>0</v>
      </c>
      <c r="E13" s="356">
        <v>3766</v>
      </c>
    </row>
    <row r="14" spans="1:5" s="342" customFormat="1" ht="12">
      <c r="A14" s="358" t="s">
        <v>362</v>
      </c>
      <c r="B14" s="324">
        <v>0</v>
      </c>
      <c r="C14" s="324">
        <v>51</v>
      </c>
      <c r="D14" s="325">
        <v>0</v>
      </c>
      <c r="E14" s="356">
        <v>16</v>
      </c>
    </row>
    <row r="15" spans="1:5" s="342" customFormat="1" ht="12">
      <c r="A15" s="358" t="s">
        <v>363</v>
      </c>
      <c r="B15" s="324">
        <v>0</v>
      </c>
      <c r="C15" s="324">
        <v>1846</v>
      </c>
      <c r="D15" s="325">
        <v>0</v>
      </c>
      <c r="E15" s="356">
        <v>482</v>
      </c>
    </row>
    <row r="16" spans="1:9" s="342" customFormat="1" ht="12">
      <c r="A16" s="358" t="s">
        <v>364</v>
      </c>
      <c r="B16" s="324">
        <v>0</v>
      </c>
      <c r="C16" s="324">
        <v>57620</v>
      </c>
      <c r="D16" s="325">
        <v>0</v>
      </c>
      <c r="E16" s="356">
        <v>15169</v>
      </c>
      <c r="I16" s="342" t="s">
        <v>92</v>
      </c>
    </row>
    <row r="17" spans="1:5" s="342" customFormat="1" ht="12">
      <c r="A17" s="358" t="s">
        <v>365</v>
      </c>
      <c r="B17" s="324">
        <v>0</v>
      </c>
      <c r="C17" s="324">
        <v>2373</v>
      </c>
      <c r="D17" s="325">
        <v>0</v>
      </c>
      <c r="E17" s="356">
        <v>318</v>
      </c>
    </row>
    <row r="18" spans="1:5" s="342" customFormat="1" ht="12">
      <c r="A18" s="358" t="s">
        <v>366</v>
      </c>
      <c r="B18" s="324">
        <v>0</v>
      </c>
      <c r="C18" s="324">
        <v>10795</v>
      </c>
      <c r="D18" s="325">
        <v>0</v>
      </c>
      <c r="E18" s="356">
        <v>2859</v>
      </c>
    </row>
    <row r="19" spans="1:5" s="342" customFormat="1" ht="12">
      <c r="A19" s="358" t="s">
        <v>367</v>
      </c>
      <c r="B19" s="324">
        <v>0</v>
      </c>
      <c r="C19" s="324">
        <v>14540</v>
      </c>
      <c r="D19" s="325">
        <v>0</v>
      </c>
      <c r="E19" s="356">
        <v>3993</v>
      </c>
    </row>
    <row r="20" spans="1:5" s="342" customFormat="1" ht="12">
      <c r="A20" s="358" t="s">
        <v>531</v>
      </c>
      <c r="B20" s="324">
        <v>0</v>
      </c>
      <c r="C20" s="324">
        <v>6413</v>
      </c>
      <c r="D20" s="325">
        <v>0</v>
      </c>
      <c r="E20" s="356">
        <v>1855</v>
      </c>
    </row>
    <row r="21" spans="1:5" s="342" customFormat="1" ht="12">
      <c r="A21" s="358" t="s">
        <v>369</v>
      </c>
      <c r="B21" s="324">
        <v>0</v>
      </c>
      <c r="C21" s="324">
        <v>248</v>
      </c>
      <c r="D21" s="325">
        <v>0</v>
      </c>
      <c r="E21" s="356">
        <v>91</v>
      </c>
    </row>
    <row r="22" spans="1:5" s="342" customFormat="1" ht="12">
      <c r="A22" s="358" t="s">
        <v>532</v>
      </c>
      <c r="B22" s="324">
        <v>0</v>
      </c>
      <c r="C22" s="324">
        <v>108</v>
      </c>
      <c r="D22" s="325">
        <v>0</v>
      </c>
      <c r="E22" s="356">
        <v>33</v>
      </c>
    </row>
    <row r="23" spans="1:5" s="342" customFormat="1" ht="22.5">
      <c r="A23" s="358" t="s">
        <v>371</v>
      </c>
      <c r="B23" s="324">
        <v>0</v>
      </c>
      <c r="C23" s="324">
        <v>196</v>
      </c>
      <c r="D23" s="325">
        <v>0</v>
      </c>
      <c r="E23" s="356">
        <v>0</v>
      </c>
    </row>
    <row r="24" spans="1:5" s="342" customFormat="1" ht="12">
      <c r="A24" s="358" t="s">
        <v>533</v>
      </c>
      <c r="B24" s="324">
        <v>0</v>
      </c>
      <c r="C24" s="324">
        <v>2985</v>
      </c>
      <c r="D24" s="325">
        <v>0</v>
      </c>
      <c r="E24" s="356">
        <v>769</v>
      </c>
    </row>
    <row r="25" spans="1:5" s="342" customFormat="1" ht="12">
      <c r="A25" s="358" t="s">
        <v>373</v>
      </c>
      <c r="B25" s="324">
        <v>0</v>
      </c>
      <c r="C25" s="324">
        <v>223</v>
      </c>
      <c r="D25" s="325">
        <v>0</v>
      </c>
      <c r="E25" s="356">
        <v>-143</v>
      </c>
    </row>
    <row r="26" spans="1:5" s="342" customFormat="1" ht="12">
      <c r="A26" s="358" t="s">
        <v>534</v>
      </c>
      <c r="B26" s="324">
        <v>0</v>
      </c>
      <c r="C26" s="324">
        <v>622</v>
      </c>
      <c r="D26" s="325">
        <v>0</v>
      </c>
      <c r="E26" s="356">
        <v>264</v>
      </c>
    </row>
    <row r="27" spans="1:5" s="342" customFormat="1" ht="12">
      <c r="A27" s="358" t="s">
        <v>535</v>
      </c>
      <c r="B27" s="324">
        <v>0</v>
      </c>
      <c r="C27" s="324">
        <v>48</v>
      </c>
      <c r="D27" s="325">
        <v>0</v>
      </c>
      <c r="E27" s="356">
        <v>23</v>
      </c>
    </row>
    <row r="28" spans="1:5" s="342" customFormat="1" ht="12">
      <c r="A28" s="358" t="s">
        <v>536</v>
      </c>
      <c r="B28" s="324">
        <v>0</v>
      </c>
      <c r="C28" s="324">
        <v>10</v>
      </c>
      <c r="D28" s="325">
        <v>0</v>
      </c>
      <c r="E28" s="356">
        <v>5</v>
      </c>
    </row>
    <row r="29" spans="1:5" s="342" customFormat="1" ht="12">
      <c r="A29" s="358" t="s">
        <v>537</v>
      </c>
      <c r="B29" s="324">
        <v>0</v>
      </c>
      <c r="C29" s="324">
        <v>500</v>
      </c>
      <c r="D29" s="325">
        <v>0</v>
      </c>
      <c r="E29" s="356">
        <v>38</v>
      </c>
    </row>
    <row r="30" spans="1:5" s="342" customFormat="1" ht="12.75" customHeight="1">
      <c r="A30" s="357" t="s">
        <v>538</v>
      </c>
      <c r="B30" s="324">
        <v>0</v>
      </c>
      <c r="C30" s="324">
        <v>9255</v>
      </c>
      <c r="D30" s="325">
        <v>0</v>
      </c>
      <c r="E30" s="356">
        <v>2412</v>
      </c>
    </row>
    <row r="31" spans="1:5" s="342" customFormat="1" ht="12">
      <c r="A31" s="359" t="s">
        <v>506</v>
      </c>
      <c r="B31" s="324">
        <v>0</v>
      </c>
      <c r="C31" s="324">
        <v>1311</v>
      </c>
      <c r="D31" s="325">
        <v>0</v>
      </c>
      <c r="E31" s="356">
        <v>543</v>
      </c>
    </row>
    <row r="32" spans="1:5" s="342" customFormat="1" ht="22.5">
      <c r="A32" s="360" t="s">
        <v>539</v>
      </c>
      <c r="B32" s="324">
        <v>0</v>
      </c>
      <c r="C32" s="324">
        <v>1096</v>
      </c>
      <c r="D32" s="325">
        <v>0</v>
      </c>
      <c r="E32" s="356">
        <v>434</v>
      </c>
    </row>
    <row r="33" spans="1:5" s="342" customFormat="1" ht="22.5">
      <c r="A33" s="360" t="s">
        <v>540</v>
      </c>
      <c r="B33" s="324">
        <v>0</v>
      </c>
      <c r="C33" s="324">
        <v>89</v>
      </c>
      <c r="D33" s="325">
        <v>0</v>
      </c>
      <c r="E33" s="356">
        <v>29</v>
      </c>
    </row>
    <row r="34" spans="1:5" s="342" customFormat="1" ht="12">
      <c r="A34" s="360" t="s">
        <v>509</v>
      </c>
      <c r="B34" s="324">
        <v>0</v>
      </c>
      <c r="C34" s="324">
        <v>126</v>
      </c>
      <c r="D34" s="325">
        <v>0</v>
      </c>
      <c r="E34" s="356">
        <v>80</v>
      </c>
    </row>
    <row r="35" spans="1:5" s="342" customFormat="1" ht="22.5">
      <c r="A35" s="359" t="s">
        <v>541</v>
      </c>
      <c r="B35" s="324">
        <v>0</v>
      </c>
      <c r="C35" s="324">
        <v>7944</v>
      </c>
      <c r="D35" s="325">
        <v>0</v>
      </c>
      <c r="E35" s="356">
        <v>1869</v>
      </c>
    </row>
    <row r="36" spans="1:5" s="342" customFormat="1" ht="12">
      <c r="A36" s="360" t="s">
        <v>542</v>
      </c>
      <c r="B36" s="324">
        <v>0</v>
      </c>
      <c r="C36" s="324">
        <v>7944</v>
      </c>
      <c r="D36" s="325">
        <v>0</v>
      </c>
      <c r="E36" s="356">
        <v>1869</v>
      </c>
    </row>
    <row r="37" spans="1:5" s="305" customFormat="1" ht="12">
      <c r="A37" s="361" t="s">
        <v>543</v>
      </c>
      <c r="B37" s="362">
        <v>0</v>
      </c>
      <c r="C37" s="362">
        <v>0</v>
      </c>
      <c r="D37" s="362">
        <v>0</v>
      </c>
      <c r="E37" s="363">
        <v>0</v>
      </c>
    </row>
    <row r="38" spans="1:8" s="342" customFormat="1" ht="12">
      <c r="A38" s="284"/>
      <c r="C38" s="342">
        <v>0</v>
      </c>
      <c r="D38" s="342">
        <v>0</v>
      </c>
      <c r="E38" s="284"/>
      <c r="F38" s="284"/>
      <c r="G38" s="284"/>
      <c r="H38" s="284"/>
    </row>
    <row r="39" spans="1:8" s="342" customFormat="1" ht="12">
      <c r="A39" s="364"/>
      <c r="B39" s="365"/>
      <c r="C39" s="366"/>
      <c r="D39" s="366"/>
      <c r="E39" s="284"/>
      <c r="F39" s="284"/>
      <c r="G39" s="284"/>
      <c r="H39" s="284"/>
    </row>
    <row r="40" spans="1:8" s="342" customFormat="1" ht="12">
      <c r="A40" s="364"/>
      <c r="B40" s="365"/>
      <c r="C40" s="366"/>
      <c r="D40" s="366"/>
      <c r="E40" s="284"/>
      <c r="F40" s="284"/>
      <c r="G40" s="284"/>
      <c r="H40" s="284"/>
    </row>
    <row r="41" spans="1:8" s="342" customFormat="1" ht="12">
      <c r="A41" s="340"/>
      <c r="B41" s="367"/>
      <c r="E41" s="284"/>
      <c r="F41" s="284"/>
      <c r="G41" s="284"/>
      <c r="H41" s="284"/>
    </row>
    <row r="42" spans="1:8" s="342" customFormat="1" ht="12">
      <c r="A42" s="340" t="s">
        <v>544</v>
      </c>
      <c r="B42" s="340"/>
      <c r="C42" s="368"/>
      <c r="D42" s="368"/>
      <c r="E42" s="369" t="s">
        <v>378</v>
      </c>
      <c r="F42" s="284"/>
      <c r="G42" s="284"/>
      <c r="H42" s="284"/>
    </row>
    <row r="43" spans="1:8" s="342" customFormat="1" ht="12">
      <c r="A43" s="340"/>
      <c r="B43" s="340"/>
      <c r="C43" s="370"/>
      <c r="D43" s="370"/>
      <c r="E43" s="284"/>
      <c r="F43" s="284"/>
      <c r="G43" s="284"/>
      <c r="H43" s="284"/>
    </row>
    <row r="44" spans="1:8" s="342" customFormat="1" ht="12">
      <c r="A44" s="340"/>
      <c r="B44" s="367"/>
      <c r="E44" s="284"/>
      <c r="F44" s="284"/>
      <c r="G44" s="284"/>
      <c r="H44" s="284"/>
    </row>
    <row r="45" spans="1:8" s="342" customFormat="1" ht="12">
      <c r="A45" s="340"/>
      <c r="B45" s="340"/>
      <c r="C45" s="370"/>
      <c r="D45" s="370"/>
      <c r="E45" s="284"/>
      <c r="F45" s="284"/>
      <c r="G45" s="284"/>
      <c r="H45" s="284"/>
    </row>
    <row r="46" spans="1:8" s="342" customFormat="1" ht="12">
      <c r="A46" s="340"/>
      <c r="B46" s="340"/>
      <c r="C46" s="370"/>
      <c r="E46" s="284"/>
      <c r="F46" s="284"/>
      <c r="G46" s="284"/>
      <c r="H46" s="284"/>
    </row>
    <row r="47" spans="1:4" ht="12">
      <c r="A47" s="340"/>
      <c r="B47" s="316"/>
      <c r="C47" s="345"/>
      <c r="D47" s="370"/>
    </row>
    <row r="65" spans="5:8" ht="11.25">
      <c r="E65" s="284">
        <v>0</v>
      </c>
      <c r="F65" s="284">
        <v>0</v>
      </c>
      <c r="G65" s="284">
        <v>0</v>
      </c>
      <c r="H65" s="284">
        <v>0</v>
      </c>
    </row>
  </sheetData>
  <printOptions/>
  <pageMargins left="0.79" right="0.15748031496062992" top="1.03" bottom="0.25" header="0.25" footer="0.24"/>
  <pageSetup horizontalDpi="600" verticalDpi="600" orientation="portrait" paperSize="9" r:id="rId1"/>
  <headerFooter alignWithMargins="0">
    <oddFooter>&amp;L&amp;"Arial,Regular"&amp;8  Valsts kase / Pārskatu departaments
   17.05.99.
</oddFooter>
  </headerFooter>
  <rowBreaks count="1" manualBreakCount="1">
    <brk id="48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1"/>
  <dimension ref="A1:F49"/>
  <sheetViews>
    <sheetView showGridLines="0" showZeros="0" workbookViewId="0" topLeftCell="A1">
      <selection activeCell="E1" sqref="E1"/>
    </sheetView>
  </sheetViews>
  <sheetFormatPr defaultColWidth="9.140625" defaultRowHeight="12.75"/>
  <cols>
    <col min="1" max="1" width="40.57421875" style="316" customWidth="1"/>
    <col min="2" max="5" width="12.28125" style="284" customWidth="1"/>
    <col min="6" max="16384" width="8.00390625" style="284" customWidth="1"/>
  </cols>
  <sheetData>
    <row r="1" spans="1:5" s="288" customFormat="1" ht="12.75">
      <c r="A1" s="310" t="s">
        <v>545</v>
      </c>
      <c r="B1" s="282"/>
      <c r="C1" s="282"/>
      <c r="D1" s="282"/>
      <c r="E1" s="282" t="s">
        <v>546</v>
      </c>
    </row>
    <row r="2" spans="1:6" s="285" customFormat="1" ht="12.75">
      <c r="A2" s="310"/>
      <c r="B2" s="282"/>
      <c r="C2" s="282"/>
      <c r="D2" s="282"/>
      <c r="E2" s="372"/>
      <c r="F2" s="338"/>
    </row>
    <row r="3" spans="1:5" s="288" customFormat="1" ht="11.25">
      <c r="A3" s="318"/>
      <c r="D3" s="319"/>
      <c r="E3" s="319"/>
    </row>
    <row r="4" spans="1:5" s="315" customFormat="1" ht="15.75">
      <c r="A4" s="312" t="s">
        <v>547</v>
      </c>
      <c r="B4" s="314"/>
      <c r="C4" s="314"/>
      <c r="D4" s="314"/>
      <c r="E4" s="314"/>
    </row>
    <row r="5" spans="1:5" s="315" customFormat="1" ht="15.75">
      <c r="A5" s="312" t="s">
        <v>486</v>
      </c>
      <c r="B5" s="314"/>
      <c r="C5" s="314"/>
      <c r="D5" s="314"/>
      <c r="E5" s="314"/>
    </row>
    <row r="6" spans="1:4" ht="15">
      <c r="A6" s="373"/>
      <c r="B6" s="317"/>
      <c r="C6" s="317"/>
      <c r="D6" s="317"/>
    </row>
    <row r="7" spans="1:4" ht="15">
      <c r="A7" s="373"/>
      <c r="B7" s="317"/>
      <c r="C7" s="317"/>
      <c r="D7" s="317"/>
    </row>
    <row r="8" spans="1:5" s="288" customFormat="1" ht="11.25" customHeight="1">
      <c r="A8" s="318"/>
      <c r="C8" s="319" t="s">
        <v>548</v>
      </c>
      <c r="D8" s="319"/>
      <c r="E8" s="319"/>
    </row>
    <row r="9" spans="1:5" s="288" customFormat="1" ht="33.75" customHeight="1">
      <c r="A9" s="350" t="s">
        <v>5</v>
      </c>
      <c r="B9" s="351" t="s">
        <v>435</v>
      </c>
      <c r="C9" s="351" t="s">
        <v>7</v>
      </c>
      <c r="D9" s="351" t="s">
        <v>487</v>
      </c>
      <c r="E9" s="352" t="s">
        <v>100</v>
      </c>
    </row>
    <row r="10" spans="1:5" s="285" customFormat="1" ht="12.75" customHeight="1">
      <c r="A10" s="353" t="s">
        <v>488</v>
      </c>
      <c r="B10" s="322" t="s">
        <v>524</v>
      </c>
      <c r="C10" s="322" t="s">
        <v>525</v>
      </c>
      <c r="D10" s="322" t="s">
        <v>526</v>
      </c>
      <c r="E10" s="354" t="s">
        <v>527</v>
      </c>
    </row>
    <row r="11" spans="1:5" s="285" customFormat="1" ht="12.75" customHeight="1">
      <c r="A11" s="355" t="s">
        <v>186</v>
      </c>
      <c r="B11" s="322">
        <v>0</v>
      </c>
      <c r="C11" s="324">
        <v>129423</v>
      </c>
      <c r="D11" s="322">
        <v>0</v>
      </c>
      <c r="E11" s="356">
        <v>37578</v>
      </c>
    </row>
    <row r="12" spans="1:5" s="285" customFormat="1" ht="12.75">
      <c r="A12" s="355" t="s">
        <v>549</v>
      </c>
      <c r="B12" s="324">
        <v>0</v>
      </c>
      <c r="C12" s="324">
        <v>121352</v>
      </c>
      <c r="D12" s="325">
        <v>0</v>
      </c>
      <c r="E12" s="356">
        <v>32089</v>
      </c>
    </row>
    <row r="13" spans="1:5" s="336" customFormat="1" ht="11.25" customHeight="1">
      <c r="A13" s="357" t="s">
        <v>191</v>
      </c>
      <c r="B13" s="324">
        <v>0</v>
      </c>
      <c r="C13" s="324">
        <v>110109</v>
      </c>
      <c r="D13" s="325">
        <v>0</v>
      </c>
      <c r="E13" s="356">
        <v>28909</v>
      </c>
    </row>
    <row r="14" spans="1:5" s="336" customFormat="1" ht="11.25" customHeight="1">
      <c r="A14" s="374" t="s">
        <v>192</v>
      </c>
      <c r="B14" s="324">
        <v>0</v>
      </c>
      <c r="C14" s="324">
        <v>89669</v>
      </c>
      <c r="D14" s="324">
        <v>0</v>
      </c>
      <c r="E14" s="356">
        <v>23448</v>
      </c>
    </row>
    <row r="15" spans="1:5" s="336" customFormat="1" ht="11.25" customHeight="1" hidden="1">
      <c r="A15" s="360" t="s">
        <v>550</v>
      </c>
      <c r="B15" s="324">
        <v>0</v>
      </c>
      <c r="C15" s="324">
        <v>1883</v>
      </c>
      <c r="D15" s="325">
        <v>0</v>
      </c>
      <c r="E15" s="356">
        <v>122</v>
      </c>
    </row>
    <row r="16" spans="1:5" ht="12">
      <c r="A16" s="360" t="s">
        <v>551</v>
      </c>
      <c r="B16" s="324">
        <v>0</v>
      </c>
      <c r="C16" s="324">
        <v>42382</v>
      </c>
      <c r="D16" s="325">
        <v>0</v>
      </c>
      <c r="E16" s="356">
        <v>11285</v>
      </c>
    </row>
    <row r="17" spans="1:5" ht="12">
      <c r="A17" s="360" t="s">
        <v>552</v>
      </c>
      <c r="B17" s="324">
        <v>0</v>
      </c>
      <c r="C17" s="324">
        <v>11649</v>
      </c>
      <c r="D17" s="325">
        <v>0</v>
      </c>
      <c r="E17" s="356">
        <v>3034</v>
      </c>
    </row>
    <row r="18" spans="1:5" ht="12" hidden="1">
      <c r="A18" s="360" t="s">
        <v>553</v>
      </c>
      <c r="B18" s="324">
        <v>0</v>
      </c>
      <c r="C18" s="324">
        <v>407</v>
      </c>
      <c r="D18" s="325">
        <v>0</v>
      </c>
      <c r="E18" s="356">
        <v>96</v>
      </c>
    </row>
    <row r="19" spans="1:5" ht="12" hidden="1">
      <c r="A19" s="360" t="s">
        <v>554</v>
      </c>
      <c r="B19" s="324">
        <v>0</v>
      </c>
      <c r="C19" s="324">
        <v>12715</v>
      </c>
      <c r="D19" s="325">
        <v>0</v>
      </c>
      <c r="E19" s="356">
        <v>3361</v>
      </c>
    </row>
    <row r="20" spans="1:5" ht="12" hidden="1">
      <c r="A20" s="360" t="s">
        <v>555</v>
      </c>
      <c r="B20" s="324">
        <v>0</v>
      </c>
      <c r="C20" s="324">
        <v>20246</v>
      </c>
      <c r="D20" s="325">
        <v>0</v>
      </c>
      <c r="E20" s="356">
        <v>5435</v>
      </c>
    </row>
    <row r="21" spans="1:5" ht="12" hidden="1">
      <c r="A21" s="360" t="s">
        <v>556</v>
      </c>
      <c r="B21" s="324">
        <v>0</v>
      </c>
      <c r="C21" s="324">
        <v>387</v>
      </c>
      <c r="D21" s="325">
        <v>0</v>
      </c>
      <c r="E21" s="356">
        <v>116</v>
      </c>
    </row>
    <row r="22" spans="1:5" ht="12">
      <c r="A22" s="360" t="s">
        <v>557</v>
      </c>
      <c r="B22" s="324">
        <f>SUM(B15,B18,B19,B20,B21)</f>
        <v>0</v>
      </c>
      <c r="C22" s="324">
        <f>SUM(C15,C18,C19,C20,C21)</f>
        <v>35638</v>
      </c>
      <c r="D22" s="324">
        <f>SUM(D15,D18,D19,D20,D21)</f>
        <v>0</v>
      </c>
      <c r="E22" s="356">
        <v>9129</v>
      </c>
    </row>
    <row r="23" spans="1:5" ht="12">
      <c r="A23" s="375" t="s">
        <v>558</v>
      </c>
      <c r="B23" s="324">
        <f>SUM(B19,B20)</f>
        <v>0</v>
      </c>
      <c r="C23" s="324">
        <f>SUM(C19,C20)</f>
        <v>32961</v>
      </c>
      <c r="D23" s="324">
        <f>SUM(D19,D20)</f>
        <v>0</v>
      </c>
      <c r="E23" s="356">
        <v>8795</v>
      </c>
    </row>
    <row r="24" spans="1:5" ht="12">
      <c r="A24" s="375" t="s">
        <v>559</v>
      </c>
      <c r="B24" s="324">
        <f>SUM(B15,B18,B21)</f>
        <v>0</v>
      </c>
      <c r="C24" s="324">
        <f>SUM(C15,C18,C21)</f>
        <v>2677</v>
      </c>
      <c r="D24" s="324">
        <f>SUM(D15,D18,D21)</f>
        <v>0</v>
      </c>
      <c r="E24" s="356">
        <f>SUM(E15,E18,E21)</f>
        <v>334</v>
      </c>
    </row>
    <row r="25" spans="1:5" ht="12">
      <c r="A25" s="374" t="s">
        <v>560</v>
      </c>
      <c r="B25" s="324">
        <v>0</v>
      </c>
      <c r="C25" s="324">
        <v>713</v>
      </c>
      <c r="D25" s="325">
        <v>0</v>
      </c>
      <c r="E25" s="356">
        <v>306</v>
      </c>
    </row>
    <row r="26" spans="1:5" ht="12">
      <c r="A26" s="374" t="s">
        <v>206</v>
      </c>
      <c r="B26" s="324">
        <v>0</v>
      </c>
      <c r="C26" s="324">
        <v>19727</v>
      </c>
      <c r="D26" s="325">
        <v>0</v>
      </c>
      <c r="E26" s="356">
        <v>5155</v>
      </c>
    </row>
    <row r="27" spans="1:5" ht="12">
      <c r="A27" s="360" t="s">
        <v>561</v>
      </c>
      <c r="B27" s="324">
        <v>0</v>
      </c>
      <c r="C27" s="324">
        <v>138</v>
      </c>
      <c r="D27" s="325">
        <v>0</v>
      </c>
      <c r="E27" s="356" t="s">
        <v>562</v>
      </c>
    </row>
    <row r="28" spans="1:5" ht="12">
      <c r="A28" s="360" t="s">
        <v>563</v>
      </c>
      <c r="B28" s="324">
        <v>0</v>
      </c>
      <c r="C28" s="324">
        <v>5145</v>
      </c>
      <c r="D28" s="325">
        <v>0</v>
      </c>
      <c r="E28" s="356" t="s">
        <v>562</v>
      </c>
    </row>
    <row r="29" spans="1:5" ht="12">
      <c r="A29" s="360" t="s">
        <v>564</v>
      </c>
      <c r="B29" s="324">
        <v>0</v>
      </c>
      <c r="C29" s="324">
        <v>7855</v>
      </c>
      <c r="D29" s="325"/>
      <c r="E29" s="356" t="s">
        <v>562</v>
      </c>
    </row>
    <row r="30" spans="1:5" ht="12">
      <c r="A30" s="360" t="s">
        <v>565</v>
      </c>
      <c r="B30" s="324">
        <v>0</v>
      </c>
      <c r="C30" s="324">
        <v>1132</v>
      </c>
      <c r="D30" s="325">
        <v>0</v>
      </c>
      <c r="E30" s="356" t="s">
        <v>562</v>
      </c>
    </row>
    <row r="31" spans="1:5" ht="12">
      <c r="A31" s="360" t="s">
        <v>566</v>
      </c>
      <c r="B31" s="324">
        <v>0</v>
      </c>
      <c r="C31" s="324">
        <v>5457</v>
      </c>
      <c r="D31" s="325">
        <v>0</v>
      </c>
      <c r="E31" s="356" t="s">
        <v>562</v>
      </c>
    </row>
    <row r="32" spans="1:5" s="336" customFormat="1" ht="11.25" customHeight="1">
      <c r="A32" s="357" t="s">
        <v>567</v>
      </c>
      <c r="B32" s="324">
        <v>0</v>
      </c>
      <c r="C32" s="324">
        <v>11243</v>
      </c>
      <c r="D32" s="325">
        <v>0</v>
      </c>
      <c r="E32" s="356">
        <v>3180</v>
      </c>
    </row>
    <row r="33" spans="1:6" s="336" customFormat="1" ht="11.25" customHeight="1">
      <c r="A33" s="360" t="s">
        <v>226</v>
      </c>
      <c r="B33" s="324">
        <f>SUM(B34:B36)</f>
        <v>0</v>
      </c>
      <c r="C33" s="324">
        <v>4226</v>
      </c>
      <c r="D33" s="325">
        <f>SUM(D34:D36)</f>
        <v>0</v>
      </c>
      <c r="E33" s="356">
        <v>1063</v>
      </c>
      <c r="F33" s="376"/>
    </row>
    <row r="34" spans="1:5" ht="12" hidden="1">
      <c r="A34" s="360" t="s">
        <v>226</v>
      </c>
      <c r="B34" s="324">
        <v>0</v>
      </c>
      <c r="C34" s="324">
        <v>4147</v>
      </c>
      <c r="D34" s="325">
        <v>0</v>
      </c>
      <c r="E34" s="356">
        <v>1030</v>
      </c>
    </row>
    <row r="35" spans="1:5" ht="12" hidden="1">
      <c r="A35" s="360" t="s">
        <v>568</v>
      </c>
      <c r="B35" s="324">
        <v>0</v>
      </c>
      <c r="C35" s="324">
        <v>79</v>
      </c>
      <c r="D35" s="325">
        <v>0</v>
      </c>
      <c r="E35" s="356">
        <v>33</v>
      </c>
    </row>
    <row r="36" spans="1:5" ht="12">
      <c r="A36" s="360" t="s">
        <v>227</v>
      </c>
      <c r="B36" s="324">
        <v>0</v>
      </c>
      <c r="C36" s="324">
        <v>7017</v>
      </c>
      <c r="D36" s="325">
        <v>0</v>
      </c>
      <c r="E36" s="356">
        <v>2117</v>
      </c>
    </row>
    <row r="37" spans="1:5" s="336" customFormat="1" ht="11.25" customHeight="1">
      <c r="A37" s="357" t="s">
        <v>569</v>
      </c>
      <c r="B37" s="324">
        <v>0</v>
      </c>
      <c r="C37" s="324">
        <v>564</v>
      </c>
      <c r="D37" s="325">
        <v>0</v>
      </c>
      <c r="E37" s="356">
        <v>-139</v>
      </c>
    </row>
    <row r="38" spans="1:5" ht="12.75" customHeight="1">
      <c r="A38" s="360" t="s">
        <v>570</v>
      </c>
      <c r="B38" s="324">
        <v>0</v>
      </c>
      <c r="C38" s="324">
        <v>696</v>
      </c>
      <c r="D38" s="325">
        <v>0</v>
      </c>
      <c r="E38" s="356">
        <v>-87</v>
      </c>
    </row>
    <row r="39" spans="1:5" ht="12.75" customHeight="1">
      <c r="A39" s="361" t="s">
        <v>571</v>
      </c>
      <c r="B39" s="362">
        <v>0</v>
      </c>
      <c r="C39" s="362">
        <v>132</v>
      </c>
      <c r="D39" s="377">
        <v>0</v>
      </c>
      <c r="E39" s="363">
        <v>52</v>
      </c>
    </row>
    <row r="40" spans="1:5" ht="12.75" customHeight="1">
      <c r="A40" s="378" t="s">
        <v>231</v>
      </c>
      <c r="B40" s="362">
        <f>B11-B12-B37</f>
        <v>0</v>
      </c>
      <c r="C40" s="362">
        <f>C11-C12-C37</f>
        <v>7507</v>
      </c>
      <c r="D40" s="362">
        <f>D11-D12-D37</f>
        <v>0</v>
      </c>
      <c r="E40" s="363">
        <f>E11-E12-E37</f>
        <v>5628</v>
      </c>
    </row>
    <row r="41" spans="1:5" s="342" customFormat="1" ht="12">
      <c r="A41" s="379" t="s">
        <v>572</v>
      </c>
      <c r="B41" s="367"/>
      <c r="C41" s="367"/>
      <c r="D41" s="367"/>
      <c r="E41" s="367"/>
    </row>
    <row r="42" spans="1:5" s="342" customFormat="1" ht="12">
      <c r="A42" s="339"/>
      <c r="B42" s="367"/>
      <c r="C42" s="367"/>
      <c r="D42" s="367"/>
      <c r="E42" s="367"/>
    </row>
    <row r="43" spans="1:6" ht="12">
      <c r="A43" s="367"/>
      <c r="B43" s="367"/>
      <c r="C43" s="367"/>
      <c r="D43" s="367"/>
      <c r="E43" s="367"/>
      <c r="F43" s="345"/>
    </row>
    <row r="44" spans="1:5" s="342" customFormat="1" ht="12">
      <c r="A44" s="340" t="s">
        <v>544</v>
      </c>
      <c r="B44" s="340"/>
      <c r="C44" s="341"/>
      <c r="D44" s="341"/>
      <c r="E44" s="369" t="s">
        <v>378</v>
      </c>
    </row>
    <row r="45" s="342" customFormat="1" ht="12"/>
    <row r="46" spans="1:4" s="342" customFormat="1" ht="12">
      <c r="A46" s="367"/>
      <c r="B46" s="370"/>
      <c r="C46" s="370"/>
      <c r="D46" s="370"/>
    </row>
    <row r="47" spans="1:2" s="342" customFormat="1" ht="12">
      <c r="A47" s="367"/>
      <c r="B47" s="370"/>
    </row>
    <row r="48" spans="1:4" ht="12">
      <c r="A48" s="371"/>
      <c r="B48" s="345"/>
      <c r="D48" s="370"/>
    </row>
    <row r="49" spans="4:6" ht="12">
      <c r="D49" s="345"/>
      <c r="E49" s="370"/>
      <c r="F49" s="345"/>
    </row>
  </sheetData>
  <printOptions/>
  <pageMargins left="1.09" right="0.15748031496062992" top="2.19" bottom="0.984251968503937" header="0.25" footer="0"/>
  <pageSetup horizontalDpi="600" verticalDpi="600" orientation="portrait" paperSize="9" r:id="rId1"/>
  <headerFooter alignWithMargins="0">
    <oddFooter>&amp;L&amp;"Arial,Regular"&amp;8           Valsts kase / Pārskatu departaments
           17.05.99.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1"/>
  <dimension ref="A1:G36"/>
  <sheetViews>
    <sheetView showZeros="0" workbookViewId="0" topLeftCell="A1">
      <selection activeCell="E1" sqref="E1"/>
    </sheetView>
  </sheetViews>
  <sheetFormatPr defaultColWidth="9.140625" defaultRowHeight="12.75"/>
  <cols>
    <col min="1" max="1" width="42.7109375" style="284" customWidth="1"/>
    <col min="2" max="5" width="12.28125" style="284" customWidth="1"/>
    <col min="6" max="16384" width="8.00390625" style="284" customWidth="1"/>
  </cols>
  <sheetData>
    <row r="1" spans="1:5" s="288" customFormat="1" ht="12.75">
      <c r="A1" s="282" t="s">
        <v>545</v>
      </c>
      <c r="B1" s="282"/>
      <c r="C1" s="282"/>
      <c r="D1" s="282"/>
      <c r="E1" s="282" t="s">
        <v>573</v>
      </c>
    </row>
    <row r="2" spans="1:5" s="288" customFormat="1" ht="12.75">
      <c r="A2" s="282"/>
      <c r="B2" s="282"/>
      <c r="C2" s="282"/>
      <c r="D2" s="282"/>
      <c r="E2" s="282"/>
    </row>
    <row r="4" spans="1:5" s="315" customFormat="1" ht="15.75">
      <c r="A4" s="312" t="s">
        <v>574</v>
      </c>
      <c r="B4" s="314"/>
      <c r="C4" s="314"/>
      <c r="D4" s="314"/>
      <c r="E4" s="314"/>
    </row>
    <row r="5" spans="1:5" ht="15.75">
      <c r="A5" s="312" t="s">
        <v>486</v>
      </c>
      <c r="B5" s="317"/>
      <c r="C5" s="317"/>
      <c r="D5" s="317"/>
      <c r="E5" s="317"/>
    </row>
    <row r="6" spans="1:5" ht="11.25">
      <c r="A6" s="371"/>
      <c r="B6" s="317"/>
      <c r="C6" s="317"/>
      <c r="D6" s="317"/>
      <c r="E6" s="317"/>
    </row>
    <row r="7" spans="1:5" ht="11.25">
      <c r="A7" s="371"/>
      <c r="B7" s="317"/>
      <c r="C7" s="317"/>
      <c r="D7" s="317"/>
      <c r="E7" s="317"/>
    </row>
    <row r="8" spans="4:5" s="288" customFormat="1" ht="11.25">
      <c r="D8" s="319" t="s">
        <v>575</v>
      </c>
      <c r="E8" s="319"/>
    </row>
    <row r="9" spans="1:5" s="285" customFormat="1" ht="30.75" customHeight="1">
      <c r="A9" s="350" t="s">
        <v>5</v>
      </c>
      <c r="B9" s="351" t="s">
        <v>435</v>
      </c>
      <c r="C9" s="351" t="s">
        <v>7</v>
      </c>
      <c r="D9" s="351" t="s">
        <v>487</v>
      </c>
      <c r="E9" s="352" t="s">
        <v>100</v>
      </c>
    </row>
    <row r="10" spans="1:5" s="342" customFormat="1" ht="11.25" customHeight="1">
      <c r="A10" s="380">
        <v>1</v>
      </c>
      <c r="B10" s="381">
        <v>2</v>
      </c>
      <c r="C10" s="381">
        <v>3</v>
      </c>
      <c r="D10" s="382">
        <v>4</v>
      </c>
      <c r="E10" s="383" t="s">
        <v>527</v>
      </c>
    </row>
    <row r="11" spans="1:5" s="342" customFormat="1" ht="12.75">
      <c r="A11" s="384" t="s">
        <v>576</v>
      </c>
      <c r="B11" s="324">
        <v>0</v>
      </c>
      <c r="C11" s="324">
        <v>11330</v>
      </c>
      <c r="D11" s="385">
        <v>0</v>
      </c>
      <c r="E11" s="356">
        <v>3083</v>
      </c>
    </row>
    <row r="12" spans="1:5" ht="25.5">
      <c r="A12" s="384" t="s">
        <v>577</v>
      </c>
      <c r="B12" s="324">
        <v>0</v>
      </c>
      <c r="C12" s="324">
        <v>10425</v>
      </c>
      <c r="D12" s="385">
        <v>0</v>
      </c>
      <c r="E12" s="356">
        <v>2784</v>
      </c>
    </row>
    <row r="13" spans="1:5" ht="12">
      <c r="A13" s="386" t="s">
        <v>578</v>
      </c>
      <c r="B13" s="324">
        <v>0</v>
      </c>
      <c r="C13" s="324">
        <v>1535</v>
      </c>
      <c r="D13" s="385">
        <v>0</v>
      </c>
      <c r="E13" s="356">
        <v>290</v>
      </c>
    </row>
    <row r="14" spans="1:5" ht="12">
      <c r="A14" s="386" t="s">
        <v>579</v>
      </c>
      <c r="B14" s="324">
        <v>0</v>
      </c>
      <c r="C14" s="324">
        <v>563</v>
      </c>
      <c r="D14" s="385">
        <v>0</v>
      </c>
      <c r="E14" s="356">
        <v>56</v>
      </c>
    </row>
    <row r="15" spans="1:5" ht="12">
      <c r="A15" s="386" t="s">
        <v>580</v>
      </c>
      <c r="B15" s="324">
        <v>0</v>
      </c>
      <c r="C15" s="324">
        <v>3961</v>
      </c>
      <c r="D15" s="385">
        <v>0</v>
      </c>
      <c r="E15" s="356">
        <v>1443</v>
      </c>
    </row>
    <row r="16" spans="1:5" ht="12">
      <c r="A16" s="386" t="s">
        <v>581</v>
      </c>
      <c r="B16" s="324">
        <v>0</v>
      </c>
      <c r="C16" s="324">
        <v>4366</v>
      </c>
      <c r="D16" s="385">
        <v>0</v>
      </c>
      <c r="E16" s="356">
        <v>995</v>
      </c>
    </row>
    <row r="17" spans="1:5" ht="25.5">
      <c r="A17" s="387" t="s">
        <v>582</v>
      </c>
      <c r="B17" s="324">
        <v>0</v>
      </c>
      <c r="C17" s="324">
        <v>905</v>
      </c>
      <c r="D17" s="385">
        <v>0</v>
      </c>
      <c r="E17" s="356">
        <v>299</v>
      </c>
    </row>
    <row r="18" spans="1:7" s="342" customFormat="1" ht="12.75">
      <c r="A18" s="384" t="s">
        <v>583</v>
      </c>
      <c r="B18" s="324">
        <v>0</v>
      </c>
      <c r="C18" s="324">
        <v>10796</v>
      </c>
      <c r="D18" s="385">
        <v>0</v>
      </c>
      <c r="E18" s="356">
        <v>2434</v>
      </c>
      <c r="F18" s="284"/>
      <c r="G18" s="284"/>
    </row>
    <row r="19" spans="1:5" ht="25.5">
      <c r="A19" s="387" t="s">
        <v>584</v>
      </c>
      <c r="B19" s="324">
        <v>0</v>
      </c>
      <c r="C19" s="324">
        <v>10310</v>
      </c>
      <c r="D19" s="385">
        <v>0</v>
      </c>
      <c r="E19" s="356">
        <v>2271</v>
      </c>
    </row>
    <row r="20" spans="1:5" ht="12">
      <c r="A20" s="386" t="s">
        <v>578</v>
      </c>
      <c r="B20" s="324">
        <v>0</v>
      </c>
      <c r="C20" s="324">
        <v>1120</v>
      </c>
      <c r="D20" s="385">
        <v>0</v>
      </c>
      <c r="E20" s="356">
        <v>-575</v>
      </c>
    </row>
    <row r="21" spans="1:5" ht="12">
      <c r="A21" s="386" t="s">
        <v>579</v>
      </c>
      <c r="B21" s="324">
        <v>0</v>
      </c>
      <c r="C21" s="324">
        <v>574</v>
      </c>
      <c r="D21" s="385">
        <v>0</v>
      </c>
      <c r="E21" s="356">
        <v>120</v>
      </c>
    </row>
    <row r="22" spans="1:5" ht="12">
      <c r="A22" s="386" t="s">
        <v>580</v>
      </c>
      <c r="B22" s="324">
        <v>0</v>
      </c>
      <c r="C22" s="324">
        <v>4086</v>
      </c>
      <c r="D22" s="385">
        <v>0</v>
      </c>
      <c r="E22" s="356">
        <v>1357</v>
      </c>
    </row>
    <row r="23" spans="1:5" ht="12">
      <c r="A23" s="386" t="s">
        <v>581</v>
      </c>
      <c r="B23" s="324">
        <v>0</v>
      </c>
      <c r="C23" s="324">
        <v>4530</v>
      </c>
      <c r="D23" s="385">
        <v>0</v>
      </c>
      <c r="E23" s="356">
        <v>1369</v>
      </c>
    </row>
    <row r="24" spans="1:5" ht="25.5">
      <c r="A24" s="388" t="s">
        <v>585</v>
      </c>
      <c r="B24" s="362">
        <v>0</v>
      </c>
      <c r="C24" s="362">
        <v>486</v>
      </c>
      <c r="D24" s="389">
        <v>0</v>
      </c>
      <c r="E24" s="363">
        <v>163</v>
      </c>
    </row>
    <row r="25" ht="11.25">
      <c r="A25" s="371"/>
    </row>
    <row r="26" spans="1:5" s="290" customFormat="1" ht="11.25">
      <c r="A26" s="371"/>
      <c r="B26" s="284"/>
      <c r="C26" s="284"/>
      <c r="D26" s="284"/>
      <c r="E26" s="284"/>
    </row>
    <row r="27" spans="1:5" s="342" customFormat="1" ht="12">
      <c r="A27" s="371"/>
      <c r="B27" s="284"/>
      <c r="C27" s="284"/>
      <c r="D27" s="284"/>
      <c r="E27" s="284"/>
    </row>
    <row r="28" spans="1:5" s="342" customFormat="1" ht="12">
      <c r="A28" s="371"/>
      <c r="B28" s="290"/>
      <c r="C28" s="370"/>
      <c r="D28" s="290"/>
      <c r="E28" s="290"/>
    </row>
    <row r="29" spans="1:5" ht="12">
      <c r="A29" s="340" t="s">
        <v>544</v>
      </c>
      <c r="B29" s="340"/>
      <c r="C29" s="341"/>
      <c r="D29" s="341"/>
      <c r="E29" s="369" t="s">
        <v>378</v>
      </c>
    </row>
    <row r="30" spans="2:4" s="342" customFormat="1" ht="11.25" customHeight="1">
      <c r="B30" s="390"/>
      <c r="C30" s="370"/>
      <c r="D30" s="390"/>
    </row>
    <row r="31" spans="1:5" s="342" customFormat="1" ht="12.75">
      <c r="A31" s="338"/>
      <c r="B31" s="345"/>
      <c r="C31" s="345"/>
      <c r="D31" s="284"/>
      <c r="E31" s="284"/>
    </row>
    <row r="32" ht="11.25">
      <c r="A32" s="318"/>
    </row>
    <row r="33" ht="11.25">
      <c r="A33" s="318"/>
    </row>
    <row r="34" s="285" customFormat="1" ht="12" customHeight="1">
      <c r="A34" s="338"/>
    </row>
    <row r="35" s="285" customFormat="1" ht="12" customHeight="1">
      <c r="A35" s="338"/>
    </row>
    <row r="36" ht="12.75">
      <c r="A36" s="338"/>
    </row>
  </sheetData>
  <printOptions/>
  <pageMargins left="0.98" right="0.15748031496062992" top="1.46" bottom="0.984251968503937" header="0" footer="0"/>
  <pageSetup horizontalDpi="600" verticalDpi="600" orientation="portrait" paperSize="9" r:id="rId1"/>
  <headerFooter alignWithMargins="0">
    <oddFooter>&amp;L&amp;"Arial,Regular"&amp;8         Valsts kase / Pārskatu departaments
         17.05.99.
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1"/>
  <dimension ref="A1:IT59"/>
  <sheetViews>
    <sheetView showZeros="0" workbookViewId="0" topLeftCell="A1">
      <selection activeCell="E1" sqref="E1"/>
    </sheetView>
  </sheetViews>
  <sheetFormatPr defaultColWidth="9.140625" defaultRowHeight="12.75"/>
  <cols>
    <col min="1" max="1" width="39.7109375" style="284" customWidth="1"/>
    <col min="2" max="5" width="12.7109375" style="284" customWidth="1"/>
    <col min="6" max="16384" width="8.00390625" style="284" customWidth="1"/>
  </cols>
  <sheetData>
    <row r="1" spans="1:5" s="288" customFormat="1" ht="12.75">
      <c r="A1" s="282" t="s">
        <v>586</v>
      </c>
      <c r="B1" s="282"/>
      <c r="C1" s="282"/>
      <c r="D1" s="282"/>
      <c r="E1" s="282" t="s">
        <v>587</v>
      </c>
    </row>
    <row r="2" spans="1:5" s="288" customFormat="1" ht="12.75">
      <c r="A2" s="282"/>
      <c r="B2" s="282"/>
      <c r="C2" s="282"/>
      <c r="D2" s="282"/>
      <c r="E2" s="283"/>
    </row>
    <row r="3" spans="4:5" ht="11.25">
      <c r="D3" s="317"/>
      <c r="E3" s="317"/>
    </row>
    <row r="4" spans="1:5" s="315" customFormat="1" ht="15.75">
      <c r="A4" s="312" t="s">
        <v>588</v>
      </c>
      <c r="B4" s="317"/>
      <c r="C4" s="317"/>
      <c r="D4" s="317"/>
      <c r="E4" s="317"/>
    </row>
    <row r="5" spans="1:5" ht="15.75">
      <c r="A5" s="312" t="s">
        <v>486</v>
      </c>
      <c r="B5" s="317"/>
      <c r="C5" s="317"/>
      <c r="D5" s="317"/>
      <c r="E5" s="317"/>
    </row>
    <row r="6" spans="1:5" ht="11.25">
      <c r="A6" s="371"/>
      <c r="B6" s="317"/>
      <c r="C6" s="317"/>
      <c r="D6" s="317"/>
      <c r="E6" s="317"/>
    </row>
    <row r="7" spans="1:5" ht="11.25">
      <c r="A7" s="371"/>
      <c r="B7" s="317"/>
      <c r="C7" s="317"/>
      <c r="D7" s="317"/>
      <c r="E7" s="317"/>
    </row>
    <row r="8" spans="2:81" s="288" customFormat="1" ht="15">
      <c r="B8" s="319"/>
      <c r="C8" s="319"/>
      <c r="D8" s="391" t="s">
        <v>589</v>
      </c>
      <c r="E8" s="392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</row>
    <row r="9" spans="1:254" s="285" customFormat="1" ht="33.75" customHeight="1">
      <c r="A9" s="350" t="s">
        <v>5</v>
      </c>
      <c r="B9" s="351" t="s">
        <v>435</v>
      </c>
      <c r="C9" s="351" t="s">
        <v>7</v>
      </c>
      <c r="D9" s="351" t="s">
        <v>487</v>
      </c>
      <c r="E9" s="352" t="s">
        <v>100</v>
      </c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351"/>
      <c r="CE9" s="352"/>
      <c r="CF9" s="350"/>
      <c r="CG9" s="351"/>
      <c r="CH9" s="351"/>
      <c r="CI9" s="351"/>
      <c r="CJ9" s="352"/>
      <c r="CK9" s="350"/>
      <c r="CL9" s="351"/>
      <c r="CM9" s="351"/>
      <c r="CN9" s="351"/>
      <c r="CO9" s="352"/>
      <c r="CP9" s="350"/>
      <c r="CQ9" s="351"/>
      <c r="CR9" s="351"/>
      <c r="CS9" s="351"/>
      <c r="CT9" s="352"/>
      <c r="CU9" s="350"/>
      <c r="CV9" s="351"/>
      <c r="CW9" s="351"/>
      <c r="CX9" s="351"/>
      <c r="CY9" s="352"/>
      <c r="CZ9" s="350"/>
      <c r="DA9" s="351"/>
      <c r="DB9" s="351"/>
      <c r="DC9" s="351"/>
      <c r="DD9" s="352"/>
      <c r="DE9" s="350"/>
      <c r="DF9" s="351"/>
      <c r="DG9" s="351"/>
      <c r="DH9" s="351"/>
      <c r="DI9" s="352"/>
      <c r="DJ9" s="350"/>
      <c r="DK9" s="351"/>
      <c r="DL9" s="351"/>
      <c r="DM9" s="351"/>
      <c r="DN9" s="352"/>
      <c r="DO9" s="350"/>
      <c r="DP9" s="351"/>
      <c r="DQ9" s="351"/>
      <c r="DR9" s="351"/>
      <c r="DS9" s="352"/>
      <c r="DT9" s="350"/>
      <c r="DU9" s="351"/>
      <c r="DV9" s="351"/>
      <c r="DW9" s="351"/>
      <c r="DX9" s="352"/>
      <c r="DY9" s="350"/>
      <c r="DZ9" s="351"/>
      <c r="EA9" s="351"/>
      <c r="EB9" s="351"/>
      <c r="EC9" s="352"/>
      <c r="ED9" s="350"/>
      <c r="EE9" s="351"/>
      <c r="EF9" s="351"/>
      <c r="EG9" s="351"/>
      <c r="EH9" s="352"/>
      <c r="EI9" s="350"/>
      <c r="EJ9" s="351"/>
      <c r="EK9" s="351"/>
      <c r="EL9" s="351"/>
      <c r="EM9" s="352"/>
      <c r="EN9" s="350"/>
      <c r="EO9" s="351"/>
      <c r="EP9" s="351"/>
      <c r="EQ9" s="351"/>
      <c r="ER9" s="352"/>
      <c r="ES9" s="350"/>
      <c r="ET9" s="351"/>
      <c r="EU9" s="351"/>
      <c r="EV9" s="351"/>
      <c r="EW9" s="352"/>
      <c r="EX9" s="350"/>
      <c r="EY9" s="351"/>
      <c r="EZ9" s="351"/>
      <c r="FA9" s="351"/>
      <c r="FB9" s="352"/>
      <c r="FC9" s="350"/>
      <c r="FD9" s="351"/>
      <c r="FE9" s="351"/>
      <c r="FF9" s="351"/>
      <c r="FG9" s="352"/>
      <c r="FH9" s="350"/>
      <c r="FI9" s="351"/>
      <c r="FJ9" s="351"/>
      <c r="FK9" s="351"/>
      <c r="FL9" s="352"/>
      <c r="FM9" s="350"/>
      <c r="FN9" s="351"/>
      <c r="FO9" s="351"/>
      <c r="FP9" s="351"/>
      <c r="FQ9" s="352"/>
      <c r="FR9" s="350"/>
      <c r="FS9" s="351"/>
      <c r="FT9" s="351"/>
      <c r="FU9" s="351"/>
      <c r="FV9" s="352"/>
      <c r="FW9" s="350"/>
      <c r="FX9" s="351"/>
      <c r="FY9" s="351"/>
      <c r="FZ9" s="351"/>
      <c r="GA9" s="352"/>
      <c r="GB9" s="350"/>
      <c r="GC9" s="351"/>
      <c r="GD9" s="351"/>
      <c r="GE9" s="351"/>
      <c r="GF9" s="352"/>
      <c r="GG9" s="350"/>
      <c r="GH9" s="351"/>
      <c r="GI9" s="351"/>
      <c r="GJ9" s="351"/>
      <c r="GK9" s="352"/>
      <c r="GL9" s="350"/>
      <c r="GM9" s="351"/>
      <c r="GN9" s="351"/>
      <c r="GO9" s="351"/>
      <c r="GP9" s="352"/>
      <c r="GQ9" s="350"/>
      <c r="GR9" s="351"/>
      <c r="GS9" s="351"/>
      <c r="GT9" s="351"/>
      <c r="GU9" s="352"/>
      <c r="GV9" s="350"/>
      <c r="GW9" s="351"/>
      <c r="GX9" s="351"/>
      <c r="GY9" s="351"/>
      <c r="GZ9" s="352"/>
      <c r="HA9" s="350"/>
      <c r="HB9" s="351"/>
      <c r="HC9" s="351"/>
      <c r="HD9" s="351"/>
      <c r="HE9" s="352"/>
      <c r="HF9" s="350"/>
      <c r="HG9" s="351"/>
      <c r="HH9" s="351"/>
      <c r="HI9" s="351"/>
      <c r="HJ9" s="352"/>
      <c r="HK9" s="350"/>
      <c r="HL9" s="351"/>
      <c r="HM9" s="351"/>
      <c r="HN9" s="351"/>
      <c r="HO9" s="352"/>
      <c r="HP9" s="350"/>
      <c r="HQ9" s="351"/>
      <c r="HR9" s="351"/>
      <c r="HS9" s="351"/>
      <c r="HT9" s="352"/>
      <c r="HU9" s="350"/>
      <c r="HV9" s="351"/>
      <c r="HW9" s="351"/>
      <c r="HX9" s="351"/>
      <c r="HY9" s="352"/>
      <c r="HZ9" s="350"/>
      <c r="IA9" s="351"/>
      <c r="IB9" s="351"/>
      <c r="IC9" s="351"/>
      <c r="ID9" s="352"/>
      <c r="IE9" s="350"/>
      <c r="IF9" s="351"/>
      <c r="IG9" s="351"/>
      <c r="IH9" s="351"/>
      <c r="II9" s="352"/>
      <c r="IJ9" s="350"/>
      <c r="IK9" s="351"/>
      <c r="IL9" s="351"/>
      <c r="IM9" s="351"/>
      <c r="IN9" s="352"/>
      <c r="IO9" s="350"/>
      <c r="IP9" s="351"/>
      <c r="IQ9" s="351"/>
      <c r="IR9" s="351"/>
      <c r="IS9" s="352"/>
      <c r="IT9" s="350"/>
    </row>
    <row r="10" spans="1:5" ht="11.25">
      <c r="A10" s="380">
        <v>1</v>
      </c>
      <c r="B10" s="381">
        <v>2</v>
      </c>
      <c r="C10" s="381">
        <v>3</v>
      </c>
      <c r="D10" s="382">
        <v>4</v>
      </c>
      <c r="E10" s="383">
        <v>5</v>
      </c>
    </row>
    <row r="11" spans="1:5" s="285" customFormat="1" ht="12.75" customHeight="1">
      <c r="A11" s="355" t="s">
        <v>186</v>
      </c>
      <c r="B11" s="322">
        <v>0</v>
      </c>
      <c r="C11" s="324">
        <v>11330</v>
      </c>
      <c r="D11" s="322">
        <v>0</v>
      </c>
      <c r="E11" s="356">
        <v>3083</v>
      </c>
    </row>
    <row r="12" spans="1:5" s="285" customFormat="1" ht="12.75">
      <c r="A12" s="355" t="s">
        <v>549</v>
      </c>
      <c r="B12" s="324">
        <v>0</v>
      </c>
      <c r="C12" s="324">
        <v>12012</v>
      </c>
      <c r="D12" s="325">
        <v>0</v>
      </c>
      <c r="E12" s="356">
        <v>4318</v>
      </c>
    </row>
    <row r="13" spans="1:5" s="336" customFormat="1" ht="11.25" customHeight="1">
      <c r="A13" s="357" t="s">
        <v>191</v>
      </c>
      <c r="B13" s="324">
        <v>0</v>
      </c>
      <c r="C13" s="324">
        <v>9301</v>
      </c>
      <c r="D13" s="325">
        <v>0</v>
      </c>
      <c r="E13" s="356">
        <v>2576</v>
      </c>
    </row>
    <row r="14" spans="1:5" s="336" customFormat="1" ht="11.25" customHeight="1">
      <c r="A14" s="374" t="s">
        <v>192</v>
      </c>
      <c r="B14" s="324">
        <v>0</v>
      </c>
      <c r="C14" s="324">
        <v>7060</v>
      </c>
      <c r="D14" s="324">
        <v>0</v>
      </c>
      <c r="E14" s="356">
        <v>1920</v>
      </c>
    </row>
    <row r="15" spans="1:5" s="336" customFormat="1" ht="11.25" customHeight="1" hidden="1">
      <c r="A15" s="360" t="s">
        <v>550</v>
      </c>
      <c r="B15" s="324">
        <v>0</v>
      </c>
      <c r="C15" s="324">
        <v>19</v>
      </c>
      <c r="D15" s="325">
        <v>0</v>
      </c>
      <c r="E15" s="356">
        <v>18</v>
      </c>
    </row>
    <row r="16" spans="1:5" ht="12">
      <c r="A16" s="360" t="s">
        <v>551</v>
      </c>
      <c r="B16" s="324">
        <v>0</v>
      </c>
      <c r="C16" s="324">
        <v>666</v>
      </c>
      <c r="D16" s="325">
        <v>0</v>
      </c>
      <c r="E16" s="356">
        <v>190</v>
      </c>
    </row>
    <row r="17" spans="1:5" ht="12">
      <c r="A17" s="360" t="s">
        <v>552</v>
      </c>
      <c r="B17" s="324">
        <v>0</v>
      </c>
      <c r="C17" s="324">
        <v>199</v>
      </c>
      <c r="D17" s="325">
        <v>0</v>
      </c>
      <c r="E17" s="356">
        <v>85</v>
      </c>
    </row>
    <row r="18" spans="1:5" ht="12" hidden="1">
      <c r="A18" s="360" t="s">
        <v>553</v>
      </c>
      <c r="B18" s="324">
        <v>0</v>
      </c>
      <c r="C18" s="324">
        <v>72</v>
      </c>
      <c r="D18" s="325">
        <v>0</v>
      </c>
      <c r="E18" s="356">
        <v>1</v>
      </c>
    </row>
    <row r="19" spans="1:5" ht="12" hidden="1">
      <c r="A19" s="360" t="s">
        <v>554</v>
      </c>
      <c r="B19" s="324">
        <v>0</v>
      </c>
      <c r="C19" s="324">
        <v>5190</v>
      </c>
      <c r="D19" s="325">
        <v>0</v>
      </c>
      <c r="E19" s="356">
        <v>1510</v>
      </c>
    </row>
    <row r="20" spans="1:5" ht="12" hidden="1">
      <c r="A20" s="360" t="s">
        <v>555</v>
      </c>
      <c r="B20" s="324">
        <v>0</v>
      </c>
      <c r="C20" s="324">
        <v>900</v>
      </c>
      <c r="D20" s="325">
        <v>0</v>
      </c>
      <c r="E20" s="356">
        <v>114</v>
      </c>
    </row>
    <row r="21" spans="1:5" ht="12" hidden="1">
      <c r="A21" s="360" t="s">
        <v>556</v>
      </c>
      <c r="B21" s="324">
        <v>0</v>
      </c>
      <c r="C21" s="324">
        <v>14</v>
      </c>
      <c r="D21" s="325">
        <v>0</v>
      </c>
      <c r="E21" s="356">
        <v>2</v>
      </c>
    </row>
    <row r="22" spans="1:5" ht="12">
      <c r="A22" s="360" t="s">
        <v>557</v>
      </c>
      <c r="B22" s="324">
        <f>SUM(B15,B18,B19,B20,B21)</f>
        <v>0</v>
      </c>
      <c r="C22" s="324">
        <f>SUM(C15,C18,C19,C20,C21)</f>
        <v>6195</v>
      </c>
      <c r="D22" s="324">
        <f>SUM(D15,D18,D19,D20,D21)</f>
        <v>0</v>
      </c>
      <c r="E22" s="356">
        <f>SUM(E15,E18,E19,E20,E21)</f>
        <v>1645</v>
      </c>
    </row>
    <row r="23" spans="1:5" ht="12">
      <c r="A23" s="375" t="s">
        <v>558</v>
      </c>
      <c r="B23" s="324">
        <f>SUM(B19,B20)</f>
        <v>0</v>
      </c>
      <c r="C23" s="324">
        <f>SUM(C19,C20)</f>
        <v>6090</v>
      </c>
      <c r="D23" s="324">
        <f>SUM(D19,D20)</f>
        <v>0</v>
      </c>
      <c r="E23" s="356">
        <f>SUM(E19,E20)</f>
        <v>1624</v>
      </c>
    </row>
    <row r="24" spans="1:5" ht="12">
      <c r="A24" s="375" t="s">
        <v>590</v>
      </c>
      <c r="B24" s="324">
        <f>SUM(B15,B18,B21)</f>
        <v>0</v>
      </c>
      <c r="C24" s="324">
        <f>SUM(C15,C18,C21)</f>
        <v>105</v>
      </c>
      <c r="D24" s="324">
        <f>SUM(D15,D18,D21)</f>
        <v>0</v>
      </c>
      <c r="E24" s="356">
        <f>SUM(E15,E18,E21)</f>
        <v>21</v>
      </c>
    </row>
    <row r="25" spans="1:5" ht="12">
      <c r="A25" s="374" t="s">
        <v>560</v>
      </c>
      <c r="B25" s="324">
        <v>0</v>
      </c>
      <c r="C25" s="324">
        <v>13</v>
      </c>
      <c r="D25" s="325">
        <v>0</v>
      </c>
      <c r="E25" s="356">
        <v>4</v>
      </c>
    </row>
    <row r="26" spans="1:5" ht="12">
      <c r="A26" s="374" t="s">
        <v>206</v>
      </c>
      <c r="B26" s="324">
        <v>0</v>
      </c>
      <c r="C26" s="324">
        <v>2228</v>
      </c>
      <c r="D26" s="325">
        <v>0</v>
      </c>
      <c r="E26" s="356">
        <v>652</v>
      </c>
    </row>
    <row r="27" spans="1:5" ht="12">
      <c r="A27" s="360" t="s">
        <v>561</v>
      </c>
      <c r="B27" s="324">
        <v>0</v>
      </c>
      <c r="C27" s="324">
        <v>1</v>
      </c>
      <c r="D27" s="325">
        <v>0</v>
      </c>
      <c r="E27" s="356" t="s">
        <v>562</v>
      </c>
    </row>
    <row r="28" spans="1:5" ht="12">
      <c r="A28" s="360" t="s">
        <v>563</v>
      </c>
      <c r="B28" s="324">
        <v>0</v>
      </c>
      <c r="C28" s="324">
        <v>18</v>
      </c>
      <c r="D28" s="325">
        <v>0</v>
      </c>
      <c r="E28" s="356" t="s">
        <v>562</v>
      </c>
    </row>
    <row r="29" spans="1:5" ht="12">
      <c r="A29" s="360" t="s">
        <v>564</v>
      </c>
      <c r="B29" s="324">
        <v>0</v>
      </c>
      <c r="C29" s="324">
        <v>15</v>
      </c>
      <c r="D29" s="325">
        <v>0</v>
      </c>
      <c r="E29" s="356" t="s">
        <v>562</v>
      </c>
    </row>
    <row r="30" spans="1:5" ht="12">
      <c r="A30" s="360" t="s">
        <v>565</v>
      </c>
      <c r="B30" s="324">
        <v>0</v>
      </c>
      <c r="C30" s="324">
        <v>1371</v>
      </c>
      <c r="D30" s="325">
        <v>0</v>
      </c>
      <c r="E30" s="356" t="s">
        <v>562</v>
      </c>
    </row>
    <row r="31" spans="1:5" ht="12">
      <c r="A31" s="360" t="s">
        <v>566</v>
      </c>
      <c r="B31" s="324">
        <v>0</v>
      </c>
      <c r="C31" s="324">
        <v>823</v>
      </c>
      <c r="D31" s="325">
        <v>0</v>
      </c>
      <c r="E31" s="356" t="s">
        <v>562</v>
      </c>
    </row>
    <row r="32" spans="1:7" s="336" customFormat="1" ht="11.25" customHeight="1">
      <c r="A32" s="357" t="s">
        <v>567</v>
      </c>
      <c r="B32" s="324">
        <v>0</v>
      </c>
      <c r="C32" s="324">
        <v>2711</v>
      </c>
      <c r="D32" s="325">
        <v>0</v>
      </c>
      <c r="E32" s="356">
        <v>1742</v>
      </c>
      <c r="G32" s="284"/>
    </row>
    <row r="33" spans="1:7" s="336" customFormat="1" ht="11.25" customHeight="1">
      <c r="A33" s="360" t="s">
        <v>226</v>
      </c>
      <c r="B33" s="324">
        <f>SUM(B34:B36)</f>
        <v>0</v>
      </c>
      <c r="C33" s="324">
        <v>2685</v>
      </c>
      <c r="D33" s="325">
        <f>SUM(D34:D36)</f>
        <v>0</v>
      </c>
      <c r="E33" s="356">
        <v>1765</v>
      </c>
      <c r="F33" s="284"/>
      <c r="G33" s="284"/>
    </row>
    <row r="34" spans="1:5" ht="12" hidden="1">
      <c r="A34" s="360" t="s">
        <v>226</v>
      </c>
      <c r="B34" s="324">
        <v>0</v>
      </c>
      <c r="C34" s="324">
        <v>121916</v>
      </c>
      <c r="D34" s="325">
        <v>0</v>
      </c>
      <c r="E34" s="356">
        <v>31950</v>
      </c>
    </row>
    <row r="35" spans="1:5" ht="12" hidden="1">
      <c r="A35" s="360" t="s">
        <v>568</v>
      </c>
      <c r="B35" s="324">
        <v>0</v>
      </c>
      <c r="C35" s="324">
        <v>112661</v>
      </c>
      <c r="D35" s="325">
        <v>0</v>
      </c>
      <c r="E35" s="356">
        <v>29538</v>
      </c>
    </row>
    <row r="36" spans="1:5" ht="12">
      <c r="A36" s="360" t="s">
        <v>227</v>
      </c>
      <c r="B36" s="324">
        <v>0</v>
      </c>
      <c r="C36" s="324">
        <v>26</v>
      </c>
      <c r="D36" s="325">
        <v>0</v>
      </c>
      <c r="E36" s="356">
        <v>-23</v>
      </c>
    </row>
    <row r="37" spans="1:7" s="336" customFormat="1" ht="11.25" customHeight="1">
      <c r="A37" s="357" t="s">
        <v>569</v>
      </c>
      <c r="B37" s="324">
        <v>0</v>
      </c>
      <c r="C37" s="324">
        <v>-1216</v>
      </c>
      <c r="D37" s="325">
        <v>0</v>
      </c>
      <c r="E37" s="356">
        <v>-1884</v>
      </c>
      <c r="G37" s="284"/>
    </row>
    <row r="38" spans="1:5" ht="12.75" customHeight="1">
      <c r="A38" s="360" t="s">
        <v>570</v>
      </c>
      <c r="B38" s="324">
        <v>0</v>
      </c>
      <c r="C38" s="324">
        <v>1408</v>
      </c>
      <c r="D38" s="325">
        <v>0</v>
      </c>
      <c r="E38" s="356">
        <v>159</v>
      </c>
    </row>
    <row r="39" spans="1:5" ht="12.75" customHeight="1">
      <c r="A39" s="361" t="s">
        <v>571</v>
      </c>
      <c r="B39" s="362">
        <v>0</v>
      </c>
      <c r="C39" s="362">
        <v>2624</v>
      </c>
      <c r="D39" s="377">
        <v>0</v>
      </c>
      <c r="E39" s="363">
        <v>2043</v>
      </c>
    </row>
    <row r="40" spans="1:5" ht="12.75" customHeight="1">
      <c r="A40" s="378" t="s">
        <v>231</v>
      </c>
      <c r="B40" s="362">
        <f>B11-B12-B37</f>
        <v>0</v>
      </c>
      <c r="C40" s="362">
        <f>C11-C12-C37</f>
        <v>534</v>
      </c>
      <c r="D40" s="362">
        <f>D11-D12-D37</f>
        <v>0</v>
      </c>
      <c r="E40" s="363">
        <f>E11-E12-E37</f>
        <v>649</v>
      </c>
    </row>
    <row r="41" spans="1:4" ht="12">
      <c r="A41" s="343" t="s">
        <v>572</v>
      </c>
      <c r="B41" s="366"/>
      <c r="C41" s="366"/>
      <c r="D41" s="393"/>
    </row>
    <row r="42" ht="11.25">
      <c r="A42" s="371"/>
    </row>
    <row r="43" spans="1:7" s="342" customFormat="1" ht="12">
      <c r="A43" s="371"/>
      <c r="B43" s="284"/>
      <c r="C43" s="284"/>
      <c r="D43" s="284"/>
      <c r="E43" s="284"/>
      <c r="F43" s="284"/>
      <c r="G43" s="284"/>
    </row>
    <row r="44" spans="1:7" s="342" customFormat="1" ht="12">
      <c r="A44" s="343"/>
      <c r="B44" s="284"/>
      <c r="C44" s="284"/>
      <c r="D44" s="284"/>
      <c r="E44" s="284"/>
      <c r="F44" s="284"/>
      <c r="G44" s="284"/>
    </row>
    <row r="45" spans="1:254" s="285" customFormat="1" ht="12.75">
      <c r="A45" s="340" t="s">
        <v>544</v>
      </c>
      <c r="B45" s="340"/>
      <c r="C45" s="341"/>
      <c r="D45" s="394"/>
      <c r="E45" s="369" t="s">
        <v>378</v>
      </c>
      <c r="F45" s="284"/>
      <c r="G45" s="284"/>
      <c r="H45" s="370"/>
      <c r="I45" s="395"/>
      <c r="J45" s="395"/>
      <c r="K45" s="396"/>
      <c r="L45" s="284"/>
      <c r="M45" s="340"/>
      <c r="N45" s="340"/>
      <c r="O45" s="342"/>
      <c r="P45" s="342"/>
      <c r="Q45" s="342"/>
      <c r="R45" s="342"/>
      <c r="S45" s="284"/>
      <c r="T45" s="340"/>
      <c r="U45" s="340"/>
      <c r="V45" s="370"/>
      <c r="W45" s="368"/>
      <c r="X45" s="368"/>
      <c r="Y45" s="396"/>
      <c r="Z45" s="284"/>
      <c r="AA45" s="340"/>
      <c r="AB45" s="340"/>
      <c r="AC45" s="370"/>
      <c r="AD45" s="368"/>
      <c r="AE45" s="368"/>
      <c r="AF45" s="396"/>
      <c r="AG45" s="284"/>
      <c r="AH45" s="340"/>
      <c r="AI45" s="340"/>
      <c r="AJ45" s="370"/>
      <c r="AK45" s="368"/>
      <c r="AL45" s="368"/>
      <c r="AM45" s="396"/>
      <c r="AN45" s="284"/>
      <c r="AO45" s="340"/>
      <c r="AP45" s="340"/>
      <c r="AQ45" s="370"/>
      <c r="AR45" s="368"/>
      <c r="AS45" s="368"/>
      <c r="AT45" s="396"/>
      <c r="AU45" s="284"/>
      <c r="AV45" s="340"/>
      <c r="AW45" s="340"/>
      <c r="AX45" s="370"/>
      <c r="AY45" s="368"/>
      <c r="AZ45" s="368"/>
      <c r="BA45" s="396"/>
      <c r="BB45" s="284"/>
      <c r="BC45" s="340"/>
      <c r="BD45" s="340"/>
      <c r="BE45" s="370"/>
      <c r="BF45" s="368"/>
      <c r="BG45" s="368"/>
      <c r="BH45" s="396"/>
      <c r="BI45" s="284"/>
      <c r="BJ45" s="340"/>
      <c r="BK45" s="340"/>
      <c r="BL45" s="370"/>
      <c r="BM45" s="368"/>
      <c r="BN45" s="368"/>
      <c r="BO45" s="396"/>
      <c r="BP45" s="284"/>
      <c r="BQ45" s="340"/>
      <c r="BR45" s="340"/>
      <c r="BS45" s="370"/>
      <c r="BT45" s="368"/>
      <c r="BU45" s="368"/>
      <c r="BV45" s="396"/>
      <c r="BW45" s="284"/>
      <c r="BX45" s="340"/>
      <c r="BY45" s="340"/>
      <c r="BZ45" s="370"/>
      <c r="CA45" s="368"/>
      <c r="CB45" s="368"/>
      <c r="CC45" s="396"/>
      <c r="CD45" s="284"/>
      <c r="CE45" s="340"/>
      <c r="CF45" s="340"/>
      <c r="CG45" s="370"/>
      <c r="CH45" s="368"/>
      <c r="CI45" s="368"/>
      <c r="CJ45" s="396"/>
      <c r="CK45" s="284"/>
      <c r="CL45" s="340"/>
      <c r="CM45" s="340"/>
      <c r="CN45" s="370"/>
      <c r="CO45" s="368"/>
      <c r="CP45" s="368"/>
      <c r="CQ45" s="396"/>
      <c r="CR45" s="284"/>
      <c r="CS45" s="340"/>
      <c r="CT45" s="340"/>
      <c r="CU45" s="370"/>
      <c r="CV45" s="368"/>
      <c r="CW45" s="368"/>
      <c r="CX45" s="396"/>
      <c r="CY45" s="284"/>
      <c r="CZ45" s="340"/>
      <c r="DA45" s="340"/>
      <c r="DB45" s="370"/>
      <c r="DC45" s="368"/>
      <c r="DD45" s="368"/>
      <c r="DE45" s="396"/>
      <c r="DF45" s="284"/>
      <c r="DG45" s="340"/>
      <c r="DH45" s="340"/>
      <c r="DI45" s="370"/>
      <c r="DJ45" s="368"/>
      <c r="DK45" s="368"/>
      <c r="DL45" s="396"/>
      <c r="DM45" s="284"/>
      <c r="DN45" s="340"/>
      <c r="DO45" s="340"/>
      <c r="DP45" s="370"/>
      <c r="DQ45" s="368"/>
      <c r="DR45" s="368"/>
      <c r="DS45" s="396"/>
      <c r="DT45" s="284"/>
      <c r="DU45" s="340"/>
      <c r="DV45" s="340"/>
      <c r="DW45" s="370"/>
      <c r="DX45" s="368"/>
      <c r="DY45" s="368"/>
      <c r="DZ45" s="396"/>
      <c r="EA45" s="284"/>
      <c r="EB45" s="340"/>
      <c r="EC45" s="340"/>
      <c r="ED45" s="370"/>
      <c r="EE45" s="368"/>
      <c r="EF45" s="368"/>
      <c r="EG45" s="396"/>
      <c r="EH45" s="284"/>
      <c r="EI45" s="340"/>
      <c r="EJ45" s="340"/>
      <c r="EK45" s="370"/>
      <c r="EL45" s="368"/>
      <c r="EM45" s="368"/>
      <c r="EN45" s="396"/>
      <c r="EO45" s="284"/>
      <c r="EP45" s="340"/>
      <c r="EQ45" s="340"/>
      <c r="ER45" s="370"/>
      <c r="ES45" s="368"/>
      <c r="ET45" s="368"/>
      <c r="EU45" s="396"/>
      <c r="EV45" s="284"/>
      <c r="EW45" s="340"/>
      <c r="EX45" s="340"/>
      <c r="EY45" s="370"/>
      <c r="EZ45" s="368"/>
      <c r="FA45" s="368"/>
      <c r="FB45" s="396"/>
      <c r="FC45" s="284"/>
      <c r="FD45" s="340"/>
      <c r="FE45" s="340"/>
      <c r="FF45" s="370"/>
      <c r="FG45" s="368"/>
      <c r="FH45" s="368"/>
      <c r="FI45" s="396"/>
      <c r="FJ45" s="284"/>
      <c r="FK45" s="340"/>
      <c r="FL45" s="340"/>
      <c r="FM45" s="370"/>
      <c r="FN45" s="368"/>
      <c r="FO45" s="368"/>
      <c r="FP45" s="396"/>
      <c r="FQ45" s="284"/>
      <c r="FR45" s="340"/>
      <c r="FS45" s="340"/>
      <c r="FT45" s="370"/>
      <c r="FU45" s="368"/>
      <c r="FV45" s="368"/>
      <c r="FW45" s="396"/>
      <c r="FX45" s="284"/>
      <c r="FY45" s="340"/>
      <c r="FZ45" s="340"/>
      <c r="GA45" s="370"/>
      <c r="GB45" s="368"/>
      <c r="GC45" s="368"/>
      <c r="GD45" s="396"/>
      <c r="GE45" s="284"/>
      <c r="GF45" s="340"/>
      <c r="GG45" s="340"/>
      <c r="GH45" s="370"/>
      <c r="GI45" s="368"/>
      <c r="GJ45" s="368"/>
      <c r="GK45" s="396"/>
      <c r="GL45" s="284"/>
      <c r="GM45" s="340"/>
      <c r="GN45" s="340"/>
      <c r="GO45" s="370"/>
      <c r="GP45" s="368"/>
      <c r="GQ45" s="368"/>
      <c r="GR45" s="396"/>
      <c r="GS45" s="284"/>
      <c r="GT45" s="340"/>
      <c r="GU45" s="340"/>
      <c r="GV45" s="370"/>
      <c r="GW45" s="368"/>
      <c r="GX45" s="368"/>
      <c r="GY45" s="396"/>
      <c r="GZ45" s="284"/>
      <c r="HA45" s="340"/>
      <c r="HB45" s="340"/>
      <c r="HC45" s="370"/>
      <c r="HD45" s="368"/>
      <c r="HE45" s="368"/>
      <c r="HF45" s="396"/>
      <c r="HG45" s="284"/>
      <c r="HH45" s="340"/>
      <c r="HI45" s="340"/>
      <c r="HJ45" s="370"/>
      <c r="HK45" s="368"/>
      <c r="HL45" s="368"/>
      <c r="HM45" s="396"/>
      <c r="HN45" s="284"/>
      <c r="HO45" s="340"/>
      <c r="HP45" s="340"/>
      <c r="HQ45" s="370"/>
      <c r="HR45" s="368"/>
      <c r="HS45" s="368"/>
      <c r="HT45" s="396"/>
      <c r="HU45" s="284"/>
      <c r="HV45" s="340"/>
      <c r="HW45" s="340"/>
      <c r="HX45" s="370"/>
      <c r="HY45" s="368"/>
      <c r="HZ45" s="368"/>
      <c r="IA45" s="396"/>
      <c r="IB45" s="284"/>
      <c r="IC45" s="340"/>
      <c r="ID45" s="340"/>
      <c r="IE45" s="370"/>
      <c r="IF45" s="368"/>
      <c r="IG45" s="368"/>
      <c r="IH45" s="396"/>
      <c r="II45" s="284"/>
      <c r="IJ45" s="340"/>
      <c r="IK45" s="340"/>
      <c r="IL45" s="370"/>
      <c r="IM45" s="368"/>
      <c r="IN45" s="368"/>
      <c r="IO45" s="396"/>
      <c r="IP45" s="284"/>
      <c r="IQ45" s="340"/>
      <c r="IR45" s="340"/>
      <c r="IS45" s="370"/>
      <c r="IT45" s="368"/>
    </row>
    <row r="46" spans="2:253" s="340" customFormat="1" ht="16.5" customHeight="1">
      <c r="B46" s="335"/>
      <c r="C46" s="335"/>
      <c r="D46" s="284"/>
      <c r="E46" s="284"/>
      <c r="F46" s="284"/>
      <c r="G46" s="284"/>
      <c r="H46" s="370"/>
      <c r="I46" s="342"/>
      <c r="J46" s="370"/>
      <c r="K46" s="370"/>
      <c r="M46" s="342"/>
      <c r="O46" s="370"/>
      <c r="P46" s="342"/>
      <c r="Q46" s="370"/>
      <c r="R46" s="370"/>
      <c r="T46" s="342"/>
      <c r="V46" s="370"/>
      <c r="W46" s="342"/>
      <c r="X46" s="370"/>
      <c r="Y46" s="370"/>
      <c r="AA46" s="342"/>
      <c r="AC46" s="370"/>
      <c r="AD46" s="342"/>
      <c r="AE46" s="370"/>
      <c r="AF46" s="370"/>
      <c r="AH46" s="342"/>
      <c r="AJ46" s="370"/>
      <c r="AK46" s="342"/>
      <c r="AL46" s="370"/>
      <c r="AM46" s="370"/>
      <c r="AO46" s="342"/>
      <c r="AQ46" s="370"/>
      <c r="AR46" s="342"/>
      <c r="AS46" s="370"/>
      <c r="AT46" s="370"/>
      <c r="AV46" s="342"/>
      <c r="AX46" s="370"/>
      <c r="AY46" s="342"/>
      <c r="AZ46" s="370"/>
      <c r="BA46" s="370"/>
      <c r="BC46" s="342"/>
      <c r="BE46" s="370"/>
      <c r="BF46" s="342"/>
      <c r="BG46" s="370"/>
      <c r="BH46" s="370"/>
      <c r="BJ46" s="342"/>
      <c r="BL46" s="370"/>
      <c r="BM46" s="342"/>
      <c r="BN46" s="370"/>
      <c r="BO46" s="370"/>
      <c r="BQ46" s="342"/>
      <c r="BS46" s="370"/>
      <c r="BT46" s="342"/>
      <c r="BU46" s="370"/>
      <c r="BV46" s="370"/>
      <c r="BX46" s="342"/>
      <c r="BZ46" s="370"/>
      <c r="CA46" s="342"/>
      <c r="CB46" s="370"/>
      <c r="CC46" s="370"/>
      <c r="CE46" s="342"/>
      <c r="CG46" s="370"/>
      <c r="CH46" s="342"/>
      <c r="CI46" s="370"/>
      <c r="CJ46" s="370"/>
      <c r="CL46" s="342"/>
      <c r="CN46" s="370"/>
      <c r="CO46" s="342"/>
      <c r="CP46" s="370"/>
      <c r="CQ46" s="370"/>
      <c r="CS46" s="342"/>
      <c r="CU46" s="370"/>
      <c r="CV46" s="342"/>
      <c r="CW46" s="370"/>
      <c r="CX46" s="370"/>
      <c r="CZ46" s="342"/>
      <c r="DB46" s="370"/>
      <c r="DC46" s="342"/>
      <c r="DD46" s="370"/>
      <c r="DE46" s="370"/>
      <c r="DG46" s="342"/>
      <c r="DI46" s="370"/>
      <c r="DJ46" s="342"/>
      <c r="DK46" s="370"/>
      <c r="DL46" s="370"/>
      <c r="DN46" s="342"/>
      <c r="DP46" s="370"/>
      <c r="DQ46" s="342"/>
      <c r="DR46" s="370"/>
      <c r="DS46" s="370"/>
      <c r="DU46" s="342"/>
      <c r="DW46" s="370"/>
      <c r="DX46" s="342"/>
      <c r="DY46" s="370"/>
      <c r="DZ46" s="370"/>
      <c r="EB46" s="342"/>
      <c r="ED46" s="370"/>
      <c r="EE46" s="342"/>
      <c r="EF46" s="370"/>
      <c r="EG46" s="370"/>
      <c r="EI46" s="342"/>
      <c r="EK46" s="370"/>
      <c r="EL46" s="342"/>
      <c r="EM46" s="370"/>
      <c r="EN46" s="370"/>
      <c r="EP46" s="342"/>
      <c r="ER46" s="370"/>
      <c r="ES46" s="342"/>
      <c r="ET46" s="370"/>
      <c r="EU46" s="370"/>
      <c r="EW46" s="342"/>
      <c r="EY46" s="370"/>
      <c r="EZ46" s="342"/>
      <c r="FA46" s="370"/>
      <c r="FB46" s="370"/>
      <c r="FD46" s="342"/>
      <c r="FF46" s="370"/>
      <c r="FG46" s="342"/>
      <c r="FH46" s="370"/>
      <c r="FI46" s="370"/>
      <c r="FK46" s="342"/>
      <c r="FM46" s="370"/>
      <c r="FN46" s="342"/>
      <c r="FO46" s="370"/>
      <c r="FP46" s="370"/>
      <c r="FR46" s="342"/>
      <c r="FT46" s="370"/>
      <c r="FU46" s="342"/>
      <c r="FV46" s="370"/>
      <c r="FW46" s="370"/>
      <c r="FY46" s="342"/>
      <c r="GA46" s="370"/>
      <c r="GB46" s="342"/>
      <c r="GC46" s="370"/>
      <c r="GD46" s="370"/>
      <c r="GF46" s="342"/>
      <c r="GH46" s="370"/>
      <c r="GI46" s="342"/>
      <c r="GJ46" s="370"/>
      <c r="GK46" s="370"/>
      <c r="GM46" s="342"/>
      <c r="GO46" s="370"/>
      <c r="GP46" s="342"/>
      <c r="GQ46" s="370"/>
      <c r="GR46" s="370"/>
      <c r="GT46" s="342"/>
      <c r="GV46" s="370"/>
      <c r="GW46" s="342"/>
      <c r="GX46" s="370"/>
      <c r="GY46" s="370"/>
      <c r="HA46" s="342"/>
      <c r="HC46" s="370"/>
      <c r="HD46" s="342"/>
      <c r="HE46" s="370"/>
      <c r="HF46" s="370"/>
      <c r="HH46" s="342"/>
      <c r="HJ46" s="370"/>
      <c r="HK46" s="342"/>
      <c r="HL46" s="370"/>
      <c r="HM46" s="370"/>
      <c r="HO46" s="342"/>
      <c r="HQ46" s="370"/>
      <c r="HR46" s="342"/>
      <c r="HS46" s="370"/>
      <c r="HT46" s="370"/>
      <c r="HV46" s="342"/>
      <c r="HX46" s="370"/>
      <c r="HY46" s="342"/>
      <c r="HZ46" s="370"/>
      <c r="IA46" s="370"/>
      <c r="IC46" s="342"/>
      <c r="IE46" s="370"/>
      <c r="IF46" s="342"/>
      <c r="IG46" s="370"/>
      <c r="IH46" s="370"/>
      <c r="IJ46" s="342"/>
      <c r="IL46" s="370"/>
      <c r="IM46" s="342"/>
      <c r="IN46" s="370"/>
      <c r="IO46" s="370"/>
      <c r="IQ46" s="342"/>
      <c r="IS46" s="370"/>
    </row>
    <row r="47" spans="1:7" s="342" customFormat="1" ht="12.75">
      <c r="A47" s="371"/>
      <c r="B47" s="397"/>
      <c r="C47" s="397"/>
      <c r="D47" s="284"/>
      <c r="E47" s="284"/>
      <c r="F47" s="284"/>
      <c r="G47" s="284"/>
    </row>
    <row r="48" spans="1:7" s="285" customFormat="1" ht="12.75">
      <c r="A48" s="398"/>
      <c r="D48" s="284"/>
      <c r="E48" s="284"/>
      <c r="F48" s="284"/>
      <c r="G48" s="284"/>
    </row>
    <row r="49" spans="1:7" s="285" customFormat="1" ht="12.75">
      <c r="A49" s="338"/>
      <c r="B49" s="338"/>
      <c r="C49" s="338"/>
      <c r="D49" s="284"/>
      <c r="E49" s="284"/>
      <c r="F49" s="284"/>
      <c r="G49" s="284"/>
    </row>
    <row r="57" spans="4:7" ht="11.25">
      <c r="D57" s="284">
        <v>0</v>
      </c>
      <c r="E57" s="284">
        <v>0</v>
      </c>
      <c r="F57" s="284">
        <v>0</v>
      </c>
      <c r="G57" s="284">
        <v>0</v>
      </c>
    </row>
    <row r="58" spans="4:7" ht="11.25">
      <c r="D58" s="284">
        <v>0</v>
      </c>
      <c r="E58" s="284">
        <v>0</v>
      </c>
      <c r="F58" s="284">
        <v>0</v>
      </c>
      <c r="G58" s="284">
        <v>0</v>
      </c>
    </row>
    <row r="59" spans="4:7" ht="11.25">
      <c r="D59" s="284">
        <v>0</v>
      </c>
      <c r="E59" s="284">
        <v>0</v>
      </c>
      <c r="F59" s="284">
        <v>0</v>
      </c>
      <c r="G59" s="284">
        <v>0</v>
      </c>
    </row>
  </sheetData>
  <printOptions/>
  <pageMargins left="0.7480314960629921" right="0.15748031496062992" top="1.46" bottom="0.984251968503937" header="0" footer="0"/>
  <pageSetup horizontalDpi="600" verticalDpi="600" orientation="portrait" paperSize="9" r:id="rId1"/>
  <headerFooter alignWithMargins="0">
    <oddFooter>&amp;L&amp;"Arial,Regular"&amp;8 Valsts kase / Pārskatu departaments
 17.05.99.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P68"/>
  <sheetViews>
    <sheetView showGridLines="0" showZeros="0" workbookViewId="0" topLeftCell="B1">
      <selection activeCell="E1" sqref="E1"/>
    </sheetView>
  </sheetViews>
  <sheetFormatPr defaultColWidth="9.140625" defaultRowHeight="12.75"/>
  <cols>
    <col min="1" max="1" width="17.7109375" style="309" customWidth="1"/>
    <col min="2" max="2" width="8.8515625" style="284" customWidth="1"/>
    <col min="3" max="3" width="8.421875" style="284" customWidth="1"/>
    <col min="4" max="4" width="8.8515625" style="284" customWidth="1"/>
    <col min="5" max="5" width="9.28125" style="284" customWidth="1"/>
    <col min="6" max="6" width="8.00390625" style="284" customWidth="1"/>
    <col min="7" max="7" width="9.00390625" style="284" customWidth="1"/>
    <col min="8" max="8" width="9.421875" style="284" customWidth="1"/>
    <col min="9" max="9" width="10.00390625" style="284" customWidth="1"/>
    <col min="10" max="10" width="8.57421875" style="284" customWidth="1"/>
    <col min="11" max="11" width="8.00390625" style="284" customWidth="1"/>
    <col min="12" max="13" width="7.57421875" style="284" customWidth="1"/>
    <col min="14" max="14" width="7.140625" style="284" customWidth="1"/>
    <col min="15" max="16" width="9.28125" style="284" customWidth="1"/>
    <col min="17" max="16384" width="8.00390625" style="284" customWidth="1"/>
  </cols>
  <sheetData>
    <row r="1" spans="1:16" ht="12.75">
      <c r="A1" s="304"/>
      <c r="B1" s="285"/>
      <c r="C1" s="285"/>
      <c r="D1" s="285"/>
      <c r="E1" s="285"/>
      <c r="F1" s="285" t="s">
        <v>591</v>
      </c>
      <c r="G1" s="285"/>
      <c r="H1" s="285"/>
      <c r="I1" s="285"/>
      <c r="J1" s="285"/>
      <c r="K1" s="285"/>
      <c r="L1" s="285"/>
      <c r="M1" s="285"/>
      <c r="N1" s="282"/>
      <c r="O1" s="282"/>
      <c r="P1" s="282" t="s">
        <v>592</v>
      </c>
    </row>
    <row r="2" spans="14:15" ht="12">
      <c r="N2" s="399"/>
      <c r="O2" s="317"/>
    </row>
    <row r="3" spans="1:16" s="285" customFormat="1" ht="12.75">
      <c r="A3" s="304"/>
      <c r="N3" s="282"/>
      <c r="O3" s="282"/>
      <c r="P3" s="282"/>
    </row>
    <row r="4" spans="1:16" s="315" customFormat="1" ht="15.75">
      <c r="A4" s="400" t="s">
        <v>593</v>
      </c>
      <c r="B4" s="400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1:16" s="402" customFormat="1" ht="15.75">
      <c r="A5" s="286" t="s">
        <v>486</v>
      </c>
      <c r="B5" s="286"/>
      <c r="C5" s="286"/>
      <c r="D5" s="286"/>
      <c r="E5" s="401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16" s="402" customFormat="1" ht="15.75">
      <c r="A6" s="286"/>
      <c r="B6" s="286"/>
      <c r="C6" s="286"/>
      <c r="D6" s="286"/>
      <c r="E6" s="401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16" s="288" customFormat="1" ht="11.25">
      <c r="A7" s="403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 t="s">
        <v>594</v>
      </c>
      <c r="N7" s="319"/>
      <c r="O7" s="392"/>
      <c r="P7" s="319"/>
    </row>
    <row r="8" spans="1:16" s="285" customFormat="1" ht="12.75">
      <c r="A8" s="404"/>
      <c r="B8" s="405" t="s">
        <v>249</v>
      </c>
      <c r="C8" s="405"/>
      <c r="D8" s="405"/>
      <c r="E8" s="406" t="s">
        <v>251</v>
      </c>
      <c r="F8" s="405"/>
      <c r="G8" s="405"/>
      <c r="H8" s="407"/>
      <c r="I8" s="407"/>
      <c r="J8" s="408" t="s">
        <v>595</v>
      </c>
      <c r="K8" s="405"/>
      <c r="L8" s="405"/>
      <c r="M8" s="409"/>
      <c r="N8" s="405"/>
      <c r="O8" s="410"/>
      <c r="P8" s="411"/>
    </row>
    <row r="9" spans="1:16" ht="11.25">
      <c r="A9" s="412"/>
      <c r="B9" s="349"/>
      <c r="C9" s="413"/>
      <c r="D9" s="413"/>
      <c r="E9" s="413"/>
      <c r="F9" s="413"/>
      <c r="G9" s="413"/>
      <c r="H9" s="413"/>
      <c r="I9" s="413"/>
      <c r="J9" s="413"/>
      <c r="K9" s="413"/>
      <c r="L9" s="414" t="s">
        <v>596</v>
      </c>
      <c r="M9" s="414"/>
      <c r="N9" s="349"/>
      <c r="O9" s="413"/>
      <c r="P9" s="415"/>
    </row>
    <row r="10" spans="1:16" s="422" customFormat="1" ht="45">
      <c r="A10" s="416" t="s">
        <v>597</v>
      </c>
      <c r="B10" s="417" t="s">
        <v>598</v>
      </c>
      <c r="C10" s="418" t="s">
        <v>599</v>
      </c>
      <c r="D10" s="419" t="s">
        <v>600</v>
      </c>
      <c r="E10" s="419" t="s">
        <v>601</v>
      </c>
      <c r="F10" s="419" t="s">
        <v>602</v>
      </c>
      <c r="G10" s="419" t="s">
        <v>603</v>
      </c>
      <c r="H10" s="419" t="s">
        <v>604</v>
      </c>
      <c r="I10" s="419" t="s">
        <v>605</v>
      </c>
      <c r="J10" s="419" t="s">
        <v>415</v>
      </c>
      <c r="K10" s="419" t="s">
        <v>606</v>
      </c>
      <c r="L10" s="419" t="s">
        <v>607</v>
      </c>
      <c r="M10" s="419" t="s">
        <v>608</v>
      </c>
      <c r="N10" s="419" t="s">
        <v>609</v>
      </c>
      <c r="O10" s="420" t="s">
        <v>427</v>
      </c>
      <c r="P10" s="421" t="s">
        <v>610</v>
      </c>
    </row>
    <row r="11" spans="1:16" s="288" customFormat="1" ht="11.25">
      <c r="A11" s="423">
        <v>1</v>
      </c>
      <c r="B11" s="424">
        <v>2</v>
      </c>
      <c r="C11" s="424">
        <v>3</v>
      </c>
      <c r="D11" s="424">
        <v>4</v>
      </c>
      <c r="E11" s="424">
        <v>5</v>
      </c>
      <c r="F11" s="424">
        <v>6</v>
      </c>
      <c r="G11" s="424">
        <v>7</v>
      </c>
      <c r="H11" s="424">
        <v>8</v>
      </c>
      <c r="I11" s="424">
        <v>9</v>
      </c>
      <c r="J11" s="424">
        <v>10</v>
      </c>
      <c r="K11" s="424">
        <v>11</v>
      </c>
      <c r="L11" s="424">
        <v>12</v>
      </c>
      <c r="M11" s="424">
        <v>13</v>
      </c>
      <c r="N11" s="424">
        <v>14</v>
      </c>
      <c r="O11" s="424">
        <v>15</v>
      </c>
      <c r="P11" s="425">
        <v>16</v>
      </c>
    </row>
    <row r="12" spans="1:16" ht="12.75">
      <c r="A12" s="426" t="s">
        <v>611</v>
      </c>
      <c r="B12" s="427"/>
      <c r="C12" s="427"/>
      <c r="D12" s="427"/>
      <c r="E12" s="427"/>
      <c r="F12" s="427"/>
      <c r="G12" s="427"/>
      <c r="H12" s="427"/>
      <c r="I12" s="427"/>
      <c r="J12" s="427">
        <v>0</v>
      </c>
      <c r="K12" s="427"/>
      <c r="L12" s="427"/>
      <c r="M12" s="427"/>
      <c r="N12" s="427"/>
      <c r="O12" s="427"/>
      <c r="P12" s="428">
        <v>0</v>
      </c>
    </row>
    <row r="13" spans="1:16" ht="12">
      <c r="A13" s="429" t="s">
        <v>612</v>
      </c>
      <c r="B13" s="430">
        <v>37721841</v>
      </c>
      <c r="C13" s="430">
        <v>7100181</v>
      </c>
      <c r="D13" s="430">
        <v>44822022</v>
      </c>
      <c r="E13" s="430">
        <v>38401836</v>
      </c>
      <c r="F13" s="430">
        <v>5953988</v>
      </c>
      <c r="G13" s="430">
        <v>44355824</v>
      </c>
      <c r="H13" s="430">
        <v>466198</v>
      </c>
      <c r="I13" s="430">
        <v>-466198</v>
      </c>
      <c r="J13" s="430">
        <v>-2000000</v>
      </c>
      <c r="K13" s="430">
        <v>1024179</v>
      </c>
      <c r="L13" s="430">
        <v>7153838</v>
      </c>
      <c r="M13" s="430">
        <v>6129659</v>
      </c>
      <c r="N13" s="430">
        <v>0</v>
      </c>
      <c r="O13" s="430">
        <v>0</v>
      </c>
      <c r="P13" s="431">
        <v>509623</v>
      </c>
    </row>
    <row r="14" spans="1:16" ht="12">
      <c r="A14" s="432" t="s">
        <v>613</v>
      </c>
      <c r="B14" s="430">
        <v>3469843</v>
      </c>
      <c r="C14" s="430">
        <v>1171455</v>
      </c>
      <c r="D14" s="430">
        <v>4641298</v>
      </c>
      <c r="E14" s="430">
        <v>4733534</v>
      </c>
      <c r="F14" s="430">
        <v>774</v>
      </c>
      <c r="G14" s="430">
        <v>4734308</v>
      </c>
      <c r="H14" s="430">
        <v>-93010</v>
      </c>
      <c r="I14" s="430">
        <v>93010</v>
      </c>
      <c r="J14" s="430">
        <v>0</v>
      </c>
      <c r="K14" s="430">
        <v>93010</v>
      </c>
      <c r="L14" s="430">
        <v>461910</v>
      </c>
      <c r="M14" s="430">
        <v>368900</v>
      </c>
      <c r="N14" s="430">
        <v>0</v>
      </c>
      <c r="O14" s="430">
        <v>0</v>
      </c>
      <c r="P14" s="431">
        <v>0</v>
      </c>
    </row>
    <row r="15" spans="1:16" ht="12">
      <c r="A15" s="432" t="s">
        <v>614</v>
      </c>
      <c r="B15" s="430">
        <v>2172840</v>
      </c>
      <c r="C15" s="430">
        <v>881958</v>
      </c>
      <c r="D15" s="430">
        <v>3054798</v>
      </c>
      <c r="E15" s="430">
        <v>2510137</v>
      </c>
      <c r="F15" s="430">
        <v>23467</v>
      </c>
      <c r="G15" s="430">
        <v>2533604</v>
      </c>
      <c r="H15" s="430">
        <v>521194</v>
      </c>
      <c r="I15" s="430">
        <v>-521194</v>
      </c>
      <c r="J15" s="430">
        <v>-446200</v>
      </c>
      <c r="K15" s="430">
        <v>-190662</v>
      </c>
      <c r="L15" s="430">
        <v>64369</v>
      </c>
      <c r="M15" s="430">
        <v>255031</v>
      </c>
      <c r="N15" s="430">
        <v>0</v>
      </c>
      <c r="O15" s="430">
        <v>84650</v>
      </c>
      <c r="P15" s="431">
        <v>31018</v>
      </c>
    </row>
    <row r="16" spans="1:16" ht="12">
      <c r="A16" s="432" t="s">
        <v>615</v>
      </c>
      <c r="B16" s="430">
        <v>2013819</v>
      </c>
      <c r="C16" s="430">
        <v>509006</v>
      </c>
      <c r="D16" s="430">
        <v>2522825</v>
      </c>
      <c r="E16" s="430">
        <v>2096333</v>
      </c>
      <c r="F16" s="430">
        <v>17448</v>
      </c>
      <c r="G16" s="430">
        <v>2113781</v>
      </c>
      <c r="H16" s="430">
        <v>409044</v>
      </c>
      <c r="I16" s="430">
        <v>-409044</v>
      </c>
      <c r="J16" s="430">
        <v>-130000</v>
      </c>
      <c r="K16" s="430">
        <v>-279044</v>
      </c>
      <c r="L16" s="430">
        <v>205452</v>
      </c>
      <c r="M16" s="430">
        <v>484496</v>
      </c>
      <c r="N16" s="430">
        <v>0</v>
      </c>
      <c r="O16" s="430">
        <v>0</v>
      </c>
      <c r="P16" s="431">
        <v>0</v>
      </c>
    </row>
    <row r="17" spans="1:16" ht="12">
      <c r="A17" s="432" t="s">
        <v>616</v>
      </c>
      <c r="B17" s="430">
        <v>3144786</v>
      </c>
      <c r="C17" s="430">
        <v>1004572</v>
      </c>
      <c r="D17" s="430">
        <v>4149358</v>
      </c>
      <c r="E17" s="430">
        <v>3815033</v>
      </c>
      <c r="F17" s="430">
        <v>90052</v>
      </c>
      <c r="G17" s="430">
        <v>3905085</v>
      </c>
      <c r="H17" s="430">
        <v>244273</v>
      </c>
      <c r="I17" s="430">
        <v>-244273</v>
      </c>
      <c r="J17" s="430">
        <v>-26891</v>
      </c>
      <c r="K17" s="430">
        <v>-217382</v>
      </c>
      <c r="L17" s="430">
        <v>408121</v>
      </c>
      <c r="M17" s="430">
        <v>625503</v>
      </c>
      <c r="N17" s="430">
        <v>0</v>
      </c>
      <c r="O17" s="430">
        <v>0</v>
      </c>
      <c r="P17" s="431">
        <v>0</v>
      </c>
    </row>
    <row r="18" spans="1:16" ht="12">
      <c r="A18" s="432" t="s">
        <v>617</v>
      </c>
      <c r="B18" s="430">
        <v>1210874</v>
      </c>
      <c r="C18" s="430">
        <v>551663</v>
      </c>
      <c r="D18" s="430">
        <v>1762537</v>
      </c>
      <c r="E18" s="430">
        <v>1463971</v>
      </c>
      <c r="F18" s="430">
        <v>2323</v>
      </c>
      <c r="G18" s="430">
        <v>1466294</v>
      </c>
      <c r="H18" s="430">
        <v>296243</v>
      </c>
      <c r="I18" s="430">
        <v>-296243</v>
      </c>
      <c r="J18" s="430">
        <v>-106000</v>
      </c>
      <c r="K18" s="430">
        <v>-190243</v>
      </c>
      <c r="L18" s="430">
        <v>78705</v>
      </c>
      <c r="M18" s="430">
        <v>268948</v>
      </c>
      <c r="N18" s="430">
        <v>0</v>
      </c>
      <c r="O18" s="430">
        <v>0</v>
      </c>
      <c r="P18" s="431">
        <v>0</v>
      </c>
    </row>
    <row r="19" spans="1:16" ht="12">
      <c r="A19" s="432" t="s">
        <v>618</v>
      </c>
      <c r="B19" s="430">
        <v>4142920</v>
      </c>
      <c r="C19" s="430">
        <v>403466</v>
      </c>
      <c r="D19" s="430">
        <v>4546386</v>
      </c>
      <c r="E19" s="430">
        <v>2470052</v>
      </c>
      <c r="F19" s="430">
        <v>956690</v>
      </c>
      <c r="G19" s="430">
        <v>3426742</v>
      </c>
      <c r="H19" s="430">
        <v>1119644</v>
      </c>
      <c r="I19" s="430">
        <v>-1119644</v>
      </c>
      <c r="J19" s="430">
        <v>0</v>
      </c>
      <c r="K19" s="430">
        <v>-1119644</v>
      </c>
      <c r="L19" s="430">
        <v>630911</v>
      </c>
      <c r="M19" s="430">
        <v>1750555</v>
      </c>
      <c r="N19" s="430">
        <v>0</v>
      </c>
      <c r="O19" s="430">
        <v>0</v>
      </c>
      <c r="P19" s="431">
        <v>0</v>
      </c>
    </row>
    <row r="20" spans="1:16" ht="12.75">
      <c r="A20" s="426" t="s">
        <v>619</v>
      </c>
      <c r="B20" s="430">
        <f aca="true" t="shared" si="0" ref="B20:P20">SUM(B13:B19)</f>
        <v>53877000</v>
      </c>
      <c r="C20" s="430">
        <f t="shared" si="0"/>
        <v>11622000</v>
      </c>
      <c r="D20" s="430">
        <f t="shared" si="0"/>
        <v>65499000</v>
      </c>
      <c r="E20" s="430">
        <f t="shared" si="0"/>
        <v>55491000</v>
      </c>
      <c r="F20" s="430">
        <f t="shared" si="0"/>
        <v>7045000</v>
      </c>
      <c r="G20" s="430">
        <f t="shared" si="0"/>
        <v>62536000</v>
      </c>
      <c r="H20" s="430">
        <f t="shared" si="0"/>
        <v>2964000</v>
      </c>
      <c r="I20" s="430">
        <f t="shared" si="0"/>
        <v>-2964000</v>
      </c>
      <c r="J20" s="430">
        <f t="shared" si="0"/>
        <v>-2709000</v>
      </c>
      <c r="K20" s="430">
        <f t="shared" si="0"/>
        <v>-880000</v>
      </c>
      <c r="L20" s="430">
        <f t="shared" si="0"/>
        <v>9003000</v>
      </c>
      <c r="M20" s="430">
        <f t="shared" si="0"/>
        <v>9883000</v>
      </c>
      <c r="N20" s="430">
        <f t="shared" si="0"/>
        <v>0</v>
      </c>
      <c r="O20" s="430">
        <f t="shared" si="0"/>
        <v>85000</v>
      </c>
      <c r="P20" s="431">
        <f t="shared" si="0"/>
        <v>541000</v>
      </c>
    </row>
    <row r="21" spans="1:16" s="433" customFormat="1" ht="12.75">
      <c r="A21" s="426" t="s">
        <v>620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1"/>
    </row>
    <row r="22" spans="1:16" ht="12">
      <c r="A22" s="432" t="s">
        <v>621</v>
      </c>
      <c r="B22" s="430">
        <v>1185318</v>
      </c>
      <c r="C22" s="430">
        <v>1010285</v>
      </c>
      <c r="D22" s="430">
        <v>2195603</v>
      </c>
      <c r="E22" s="430">
        <v>1959068</v>
      </c>
      <c r="F22" s="430">
        <v>122514</v>
      </c>
      <c r="G22" s="430">
        <v>2081582</v>
      </c>
      <c r="H22" s="430">
        <v>114021</v>
      </c>
      <c r="I22" s="430">
        <v>-114021</v>
      </c>
      <c r="J22" s="430">
        <v>-8505</v>
      </c>
      <c r="K22" s="430">
        <v>-78075</v>
      </c>
      <c r="L22" s="430">
        <v>255676</v>
      </c>
      <c r="M22" s="430">
        <v>333751</v>
      </c>
      <c r="N22" s="430">
        <v>0</v>
      </c>
      <c r="O22" s="430">
        <v>0</v>
      </c>
      <c r="P22" s="431">
        <v>-27441</v>
      </c>
    </row>
    <row r="23" spans="1:16" ht="12">
      <c r="A23" s="432" t="s">
        <v>622</v>
      </c>
      <c r="B23" s="430">
        <v>594068</v>
      </c>
      <c r="C23" s="430">
        <v>776264</v>
      </c>
      <c r="D23" s="430">
        <v>1370332</v>
      </c>
      <c r="E23" s="430">
        <v>1325863</v>
      </c>
      <c r="F23" s="430">
        <v>13444</v>
      </c>
      <c r="G23" s="430">
        <v>1339307</v>
      </c>
      <c r="H23" s="430">
        <v>31025</v>
      </c>
      <c r="I23" s="430">
        <v>-31025</v>
      </c>
      <c r="J23" s="430">
        <v>11259</v>
      </c>
      <c r="K23" s="430">
        <v>-41236</v>
      </c>
      <c r="L23" s="430">
        <v>80897</v>
      </c>
      <c r="M23" s="430">
        <v>122133</v>
      </c>
      <c r="N23" s="430">
        <v>0</v>
      </c>
      <c r="O23" s="430">
        <v>-1048</v>
      </c>
      <c r="P23" s="431">
        <v>0</v>
      </c>
    </row>
    <row r="24" spans="1:16" ht="12">
      <c r="A24" s="432" t="s">
        <v>623</v>
      </c>
      <c r="B24" s="430">
        <v>587842</v>
      </c>
      <c r="C24" s="430">
        <v>957458</v>
      </c>
      <c r="D24" s="430">
        <v>1545300</v>
      </c>
      <c r="E24" s="430">
        <v>1474728</v>
      </c>
      <c r="F24" s="430">
        <v>26651</v>
      </c>
      <c r="G24" s="430">
        <v>1501379</v>
      </c>
      <c r="H24" s="430">
        <v>43921</v>
      </c>
      <c r="I24" s="430">
        <v>-43921</v>
      </c>
      <c r="J24" s="430">
        <v>0</v>
      </c>
      <c r="K24" s="430">
        <v>-53126</v>
      </c>
      <c r="L24" s="430">
        <v>116960</v>
      </c>
      <c r="M24" s="430">
        <v>170086</v>
      </c>
      <c r="N24" s="430">
        <v>0</v>
      </c>
      <c r="O24" s="430">
        <v>9205</v>
      </c>
      <c r="P24" s="431">
        <v>0</v>
      </c>
    </row>
    <row r="25" spans="1:16" ht="12">
      <c r="A25" s="432" t="s">
        <v>624</v>
      </c>
      <c r="B25" s="430">
        <v>1298956</v>
      </c>
      <c r="C25" s="430">
        <v>1230844</v>
      </c>
      <c r="D25" s="430">
        <v>2529800</v>
      </c>
      <c r="E25" s="430">
        <v>2306397</v>
      </c>
      <c r="F25" s="430">
        <v>69151</v>
      </c>
      <c r="G25" s="430">
        <v>2375548</v>
      </c>
      <c r="H25" s="430">
        <v>154252</v>
      </c>
      <c r="I25" s="430">
        <v>-154252</v>
      </c>
      <c r="J25" s="430">
        <v>-15803</v>
      </c>
      <c r="K25" s="430">
        <v>-136844</v>
      </c>
      <c r="L25" s="430">
        <v>168381</v>
      </c>
      <c r="M25" s="430">
        <v>305225</v>
      </c>
      <c r="N25" s="430">
        <v>0</v>
      </c>
      <c r="O25" s="430">
        <v>0</v>
      </c>
      <c r="P25" s="431">
        <v>-1605</v>
      </c>
    </row>
    <row r="26" spans="1:16" ht="12">
      <c r="A26" s="432" t="s">
        <v>625</v>
      </c>
      <c r="B26" s="430">
        <v>1844281</v>
      </c>
      <c r="C26" s="430">
        <v>1636064</v>
      </c>
      <c r="D26" s="430">
        <v>3480345</v>
      </c>
      <c r="E26" s="430">
        <v>3372178</v>
      </c>
      <c r="F26" s="430">
        <v>53347</v>
      </c>
      <c r="G26" s="430">
        <v>3425525</v>
      </c>
      <c r="H26" s="430">
        <v>54820</v>
      </c>
      <c r="I26" s="430">
        <v>-54820</v>
      </c>
      <c r="J26" s="430">
        <v>15200</v>
      </c>
      <c r="K26" s="430">
        <v>-64458</v>
      </c>
      <c r="L26" s="430">
        <v>278037</v>
      </c>
      <c r="M26" s="430">
        <v>342495</v>
      </c>
      <c r="N26" s="430">
        <v>-2829</v>
      </c>
      <c r="O26" s="430">
        <v>0</v>
      </c>
      <c r="P26" s="431">
        <v>-2733</v>
      </c>
    </row>
    <row r="27" spans="1:16" ht="12">
      <c r="A27" s="432" t="s">
        <v>626</v>
      </c>
      <c r="B27" s="430">
        <v>1070731</v>
      </c>
      <c r="C27" s="430">
        <v>1139001</v>
      </c>
      <c r="D27" s="430">
        <v>2209732</v>
      </c>
      <c r="E27" s="430">
        <v>1973677</v>
      </c>
      <c r="F27" s="430">
        <v>96861</v>
      </c>
      <c r="G27" s="430">
        <v>2070538</v>
      </c>
      <c r="H27" s="430">
        <v>139194</v>
      </c>
      <c r="I27" s="430">
        <v>-139194</v>
      </c>
      <c r="J27" s="430">
        <v>-48308</v>
      </c>
      <c r="K27" s="430">
        <v>-84418</v>
      </c>
      <c r="L27" s="430">
        <v>182974</v>
      </c>
      <c r="M27" s="430">
        <v>267392</v>
      </c>
      <c r="N27" s="430">
        <v>0</v>
      </c>
      <c r="O27" s="430">
        <v>0</v>
      </c>
      <c r="P27" s="431">
        <v>-6468</v>
      </c>
    </row>
    <row r="28" spans="1:16" ht="12">
      <c r="A28" s="432" t="s">
        <v>627</v>
      </c>
      <c r="B28" s="430">
        <v>1045773</v>
      </c>
      <c r="C28" s="430">
        <v>880306</v>
      </c>
      <c r="D28" s="430">
        <v>1926079</v>
      </c>
      <c r="E28" s="430">
        <v>1818870</v>
      </c>
      <c r="F28" s="430">
        <v>47131</v>
      </c>
      <c r="G28" s="430">
        <v>1866001</v>
      </c>
      <c r="H28" s="430">
        <v>60078</v>
      </c>
      <c r="I28" s="430">
        <v>-60078</v>
      </c>
      <c r="J28" s="430">
        <v>-38127</v>
      </c>
      <c r="K28" s="430">
        <v>-21951</v>
      </c>
      <c r="L28" s="430">
        <v>190834</v>
      </c>
      <c r="M28" s="430">
        <v>212785</v>
      </c>
      <c r="N28" s="430">
        <v>0</v>
      </c>
      <c r="O28" s="430">
        <v>0</v>
      </c>
      <c r="P28" s="431">
        <v>0</v>
      </c>
    </row>
    <row r="29" spans="1:16" ht="12">
      <c r="A29" s="432" t="s">
        <v>628</v>
      </c>
      <c r="B29" s="430">
        <v>740458</v>
      </c>
      <c r="C29" s="430">
        <v>605496</v>
      </c>
      <c r="D29" s="430">
        <v>1345954</v>
      </c>
      <c r="E29" s="430">
        <v>1274940</v>
      </c>
      <c r="F29" s="430">
        <v>28763</v>
      </c>
      <c r="G29" s="430">
        <v>1303703</v>
      </c>
      <c r="H29" s="430">
        <v>42251</v>
      </c>
      <c r="I29" s="430">
        <v>-42251</v>
      </c>
      <c r="J29" s="430">
        <v>374</v>
      </c>
      <c r="K29" s="430">
        <v>-42625</v>
      </c>
      <c r="L29" s="430">
        <v>46901</v>
      </c>
      <c r="M29" s="430">
        <v>89526</v>
      </c>
      <c r="N29" s="430">
        <v>0</v>
      </c>
      <c r="O29" s="430">
        <v>0</v>
      </c>
      <c r="P29" s="431">
        <v>0</v>
      </c>
    </row>
    <row r="30" spans="1:16" ht="12">
      <c r="A30" s="432" t="s">
        <v>629</v>
      </c>
      <c r="B30" s="430">
        <v>939715</v>
      </c>
      <c r="C30" s="430">
        <v>898855</v>
      </c>
      <c r="D30" s="430">
        <v>1838570</v>
      </c>
      <c r="E30" s="430">
        <v>1737041</v>
      </c>
      <c r="F30" s="430">
        <v>63644</v>
      </c>
      <c r="G30" s="430">
        <v>1800685</v>
      </c>
      <c r="H30" s="430">
        <v>37885</v>
      </c>
      <c r="I30" s="430">
        <v>-37885</v>
      </c>
      <c r="J30" s="430">
        <v>-17023</v>
      </c>
      <c r="K30" s="430">
        <v>-20862</v>
      </c>
      <c r="L30" s="430">
        <v>83636</v>
      </c>
      <c r="M30" s="430">
        <v>104498</v>
      </c>
      <c r="N30" s="430">
        <v>0</v>
      </c>
      <c r="O30" s="430">
        <v>0</v>
      </c>
      <c r="P30" s="431">
        <v>0</v>
      </c>
    </row>
    <row r="31" spans="1:16" ht="12">
      <c r="A31" s="432" t="s">
        <v>630</v>
      </c>
      <c r="B31" s="430">
        <v>1126998</v>
      </c>
      <c r="C31" s="430">
        <v>1332223</v>
      </c>
      <c r="D31" s="430">
        <v>2459221</v>
      </c>
      <c r="E31" s="430">
        <v>2385215</v>
      </c>
      <c r="F31" s="430">
        <v>33647</v>
      </c>
      <c r="G31" s="430">
        <v>2418862</v>
      </c>
      <c r="H31" s="430">
        <v>40359</v>
      </c>
      <c r="I31" s="430">
        <v>-40359</v>
      </c>
      <c r="J31" s="430">
        <v>-5641</v>
      </c>
      <c r="K31" s="430">
        <v>-31911</v>
      </c>
      <c r="L31" s="430">
        <v>207287</v>
      </c>
      <c r="M31" s="430">
        <v>239198</v>
      </c>
      <c r="N31" s="430">
        <v>0</v>
      </c>
      <c r="O31" s="430">
        <v>-2807</v>
      </c>
      <c r="P31" s="431">
        <v>0</v>
      </c>
    </row>
    <row r="32" spans="1:16" ht="12">
      <c r="A32" s="432" t="s">
        <v>631</v>
      </c>
      <c r="B32" s="430">
        <v>639723</v>
      </c>
      <c r="C32" s="430">
        <v>920139</v>
      </c>
      <c r="D32" s="430">
        <v>1559862</v>
      </c>
      <c r="E32" s="430">
        <v>1608504</v>
      </c>
      <c r="F32" s="430">
        <v>1620</v>
      </c>
      <c r="G32" s="430">
        <v>1610124</v>
      </c>
      <c r="H32" s="430">
        <v>-50262</v>
      </c>
      <c r="I32" s="430">
        <v>50262</v>
      </c>
      <c r="J32" s="430">
        <v>85378</v>
      </c>
      <c r="K32" s="430">
        <v>-36516</v>
      </c>
      <c r="L32" s="430">
        <v>134900</v>
      </c>
      <c r="M32" s="430">
        <v>171416</v>
      </c>
      <c r="N32" s="430">
        <v>0</v>
      </c>
      <c r="O32" s="430">
        <v>1400</v>
      </c>
      <c r="P32" s="431">
        <v>0</v>
      </c>
    </row>
    <row r="33" spans="1:16" ht="12">
      <c r="A33" s="432" t="s">
        <v>632</v>
      </c>
      <c r="B33" s="430">
        <v>1144229</v>
      </c>
      <c r="C33" s="430">
        <v>1109063</v>
      </c>
      <c r="D33" s="430">
        <v>2253292</v>
      </c>
      <c r="E33" s="430">
        <v>2042473</v>
      </c>
      <c r="F33" s="430">
        <v>50390</v>
      </c>
      <c r="G33" s="430">
        <v>2092863</v>
      </c>
      <c r="H33" s="430">
        <v>160429</v>
      </c>
      <c r="I33" s="430">
        <v>-160429</v>
      </c>
      <c r="J33" s="430">
        <v>21200</v>
      </c>
      <c r="K33" s="430">
        <v>-158728</v>
      </c>
      <c r="L33" s="430">
        <v>126121</v>
      </c>
      <c r="M33" s="430">
        <v>284849</v>
      </c>
      <c r="N33" s="430">
        <v>0</v>
      </c>
      <c r="O33" s="430">
        <v>0</v>
      </c>
      <c r="P33" s="431">
        <v>-22901</v>
      </c>
    </row>
    <row r="34" spans="1:16" ht="12">
      <c r="A34" s="432" t="s">
        <v>633</v>
      </c>
      <c r="B34" s="430">
        <v>1106563</v>
      </c>
      <c r="C34" s="430">
        <v>1211961</v>
      </c>
      <c r="D34" s="430">
        <v>2318524</v>
      </c>
      <c r="E34" s="430">
        <v>2190620</v>
      </c>
      <c r="F34" s="430">
        <v>35413</v>
      </c>
      <c r="G34" s="430">
        <v>2226033</v>
      </c>
      <c r="H34" s="430">
        <v>92491</v>
      </c>
      <c r="I34" s="430">
        <v>-92491</v>
      </c>
      <c r="J34" s="430">
        <v>-15654</v>
      </c>
      <c r="K34" s="430">
        <v>-115000</v>
      </c>
      <c r="L34" s="430">
        <v>86262</v>
      </c>
      <c r="M34" s="430">
        <v>200703</v>
      </c>
      <c r="N34" s="430">
        <v>0</v>
      </c>
      <c r="O34" s="430">
        <v>7000</v>
      </c>
      <c r="P34" s="431">
        <v>30604</v>
      </c>
    </row>
    <row r="35" spans="1:16" ht="12">
      <c r="A35" s="432" t="s">
        <v>634</v>
      </c>
      <c r="B35" s="430">
        <v>1153052</v>
      </c>
      <c r="C35" s="430">
        <v>963011</v>
      </c>
      <c r="D35" s="430">
        <v>2116063</v>
      </c>
      <c r="E35" s="430">
        <v>1889764</v>
      </c>
      <c r="F35" s="430">
        <v>121169</v>
      </c>
      <c r="G35" s="430">
        <v>2010933</v>
      </c>
      <c r="H35" s="430">
        <v>105130</v>
      </c>
      <c r="I35" s="430">
        <v>-105130</v>
      </c>
      <c r="J35" s="430">
        <v>17373</v>
      </c>
      <c r="K35" s="430">
        <v>-122503</v>
      </c>
      <c r="L35" s="430">
        <v>266029</v>
      </c>
      <c r="M35" s="430">
        <v>388532</v>
      </c>
      <c r="N35" s="430">
        <v>0</v>
      </c>
      <c r="O35" s="430">
        <v>0</v>
      </c>
      <c r="P35" s="431">
        <v>0</v>
      </c>
    </row>
    <row r="36" spans="1:16" ht="12">
      <c r="A36" s="432" t="s">
        <v>635</v>
      </c>
      <c r="B36" s="430">
        <v>632527</v>
      </c>
      <c r="C36" s="430">
        <v>956679</v>
      </c>
      <c r="D36" s="430">
        <v>1589206</v>
      </c>
      <c r="E36" s="430">
        <v>1504005</v>
      </c>
      <c r="F36" s="430">
        <v>58185</v>
      </c>
      <c r="G36" s="430">
        <v>1562190</v>
      </c>
      <c r="H36" s="430">
        <v>27016</v>
      </c>
      <c r="I36" s="430">
        <v>-27016</v>
      </c>
      <c r="J36" s="430">
        <v>15262</v>
      </c>
      <c r="K36" s="430">
        <v>-42278</v>
      </c>
      <c r="L36" s="430">
        <v>233433</v>
      </c>
      <c r="M36" s="430">
        <v>275711</v>
      </c>
      <c r="N36" s="430">
        <v>0</v>
      </c>
      <c r="O36" s="430">
        <v>0</v>
      </c>
      <c r="P36" s="431">
        <v>0</v>
      </c>
    </row>
    <row r="37" spans="1:16" ht="12">
      <c r="A37" s="432" t="s">
        <v>636</v>
      </c>
      <c r="B37" s="430">
        <v>1156329</v>
      </c>
      <c r="C37" s="430">
        <v>1188717</v>
      </c>
      <c r="D37" s="430">
        <v>2345046</v>
      </c>
      <c r="E37" s="430">
        <v>2137332</v>
      </c>
      <c r="F37" s="430">
        <v>80093</v>
      </c>
      <c r="G37" s="430">
        <v>2217425</v>
      </c>
      <c r="H37" s="430">
        <v>127621</v>
      </c>
      <c r="I37" s="430">
        <v>-127621</v>
      </c>
      <c r="J37" s="430">
        <v>-11415</v>
      </c>
      <c r="K37" s="430">
        <v>-113017</v>
      </c>
      <c r="L37" s="430">
        <v>213643</v>
      </c>
      <c r="M37" s="430">
        <v>326660</v>
      </c>
      <c r="N37" s="430">
        <v>-689</v>
      </c>
      <c r="O37" s="430">
        <v>-2500</v>
      </c>
      <c r="P37" s="431">
        <v>0</v>
      </c>
    </row>
    <row r="38" spans="1:16" ht="12">
      <c r="A38" s="432" t="s">
        <v>637</v>
      </c>
      <c r="B38" s="430">
        <v>1736245</v>
      </c>
      <c r="C38" s="430">
        <v>1147269</v>
      </c>
      <c r="D38" s="430">
        <v>2883514</v>
      </c>
      <c r="E38" s="430">
        <v>2758214</v>
      </c>
      <c r="F38" s="430">
        <v>66516</v>
      </c>
      <c r="G38" s="430">
        <v>2824730</v>
      </c>
      <c r="H38" s="430">
        <v>58784</v>
      </c>
      <c r="I38" s="430">
        <v>-58784</v>
      </c>
      <c r="J38" s="430">
        <v>-29986</v>
      </c>
      <c r="K38" s="430">
        <v>-30370</v>
      </c>
      <c r="L38" s="430">
        <v>373292</v>
      </c>
      <c r="M38" s="430">
        <v>403662</v>
      </c>
      <c r="N38" s="430">
        <v>-2614</v>
      </c>
      <c r="O38" s="430">
        <v>300</v>
      </c>
      <c r="P38" s="431">
        <v>3886</v>
      </c>
    </row>
    <row r="39" spans="1:16" ht="12">
      <c r="A39" s="432" t="s">
        <v>638</v>
      </c>
      <c r="B39" s="430">
        <v>609981</v>
      </c>
      <c r="C39" s="430">
        <v>1294945</v>
      </c>
      <c r="D39" s="430">
        <v>1904926</v>
      </c>
      <c r="E39" s="430">
        <v>1633690</v>
      </c>
      <c r="F39" s="430">
        <v>10889</v>
      </c>
      <c r="G39" s="430">
        <v>1644579</v>
      </c>
      <c r="H39" s="430">
        <v>261000</v>
      </c>
      <c r="I39" s="430">
        <v>-260347</v>
      </c>
      <c r="J39" s="430">
        <v>-150023</v>
      </c>
      <c r="K39" s="430">
        <v>-141243</v>
      </c>
      <c r="L39" s="430">
        <v>170581</v>
      </c>
      <c r="M39" s="430">
        <v>311824</v>
      </c>
      <c r="N39" s="430">
        <v>-736</v>
      </c>
      <c r="O39" s="430">
        <v>18000</v>
      </c>
      <c r="P39" s="431">
        <v>13655</v>
      </c>
    </row>
    <row r="40" spans="1:16" ht="12">
      <c r="A40" s="432" t="s">
        <v>639</v>
      </c>
      <c r="B40" s="430">
        <v>620488</v>
      </c>
      <c r="C40" s="430">
        <v>1296000</v>
      </c>
      <c r="D40" s="430">
        <v>1915927</v>
      </c>
      <c r="E40" s="430">
        <v>1748307</v>
      </c>
      <c r="F40" s="430">
        <v>58998</v>
      </c>
      <c r="G40" s="430">
        <v>1807305</v>
      </c>
      <c r="H40" s="430">
        <v>108622</v>
      </c>
      <c r="I40" s="430">
        <v>-108622</v>
      </c>
      <c r="J40" s="430">
        <v>-9774</v>
      </c>
      <c r="K40" s="430">
        <v>-97072</v>
      </c>
      <c r="L40" s="430">
        <v>130735</v>
      </c>
      <c r="M40" s="430">
        <v>227807</v>
      </c>
      <c r="N40" s="430">
        <v>-1776</v>
      </c>
      <c r="O40" s="430">
        <v>0</v>
      </c>
      <c r="P40" s="431">
        <v>0</v>
      </c>
    </row>
    <row r="41" spans="1:16" ht="12">
      <c r="A41" s="432" t="s">
        <v>640</v>
      </c>
      <c r="B41" s="430">
        <v>6101601</v>
      </c>
      <c r="C41" s="430">
        <v>2217404</v>
      </c>
      <c r="D41" s="430">
        <v>8319005</v>
      </c>
      <c r="E41" s="430">
        <v>6639179</v>
      </c>
      <c r="F41" s="430">
        <v>824557</v>
      </c>
      <c r="G41" s="430">
        <v>7463736</v>
      </c>
      <c r="H41" s="430">
        <v>855000</v>
      </c>
      <c r="I41" s="430">
        <v>-855269</v>
      </c>
      <c r="J41" s="430">
        <v>-106282</v>
      </c>
      <c r="K41" s="430">
        <v>-739160</v>
      </c>
      <c r="L41" s="430">
        <v>1179000</v>
      </c>
      <c r="M41" s="430">
        <v>1917638</v>
      </c>
      <c r="N41" s="430">
        <v>-3541</v>
      </c>
      <c r="O41" s="430">
        <v>-13496</v>
      </c>
      <c r="P41" s="431">
        <v>7210</v>
      </c>
    </row>
    <row r="42" spans="1:16" ht="12">
      <c r="A42" s="432" t="s">
        <v>641</v>
      </c>
      <c r="B42" s="430">
        <v>1079489</v>
      </c>
      <c r="C42" s="430">
        <v>1018420</v>
      </c>
      <c r="D42" s="430">
        <v>2097909</v>
      </c>
      <c r="E42" s="430">
        <v>2050492</v>
      </c>
      <c r="F42" s="430">
        <v>33481</v>
      </c>
      <c r="G42" s="430">
        <v>2083973</v>
      </c>
      <c r="H42" s="430">
        <v>13936</v>
      </c>
      <c r="I42" s="430">
        <v>-13936</v>
      </c>
      <c r="J42" s="430">
        <v>105894</v>
      </c>
      <c r="K42" s="430">
        <v>-67361</v>
      </c>
      <c r="L42" s="430">
        <v>184591</v>
      </c>
      <c r="M42" s="430">
        <v>251952</v>
      </c>
      <c r="N42" s="430">
        <v>0</v>
      </c>
      <c r="O42" s="430">
        <v>0</v>
      </c>
      <c r="P42" s="431">
        <v>-53000</v>
      </c>
    </row>
    <row r="43" spans="1:16" ht="12">
      <c r="A43" s="432" t="s">
        <v>642</v>
      </c>
      <c r="B43" s="430">
        <v>1365947</v>
      </c>
      <c r="C43" s="430">
        <v>1068904</v>
      </c>
      <c r="D43" s="430">
        <v>2434851</v>
      </c>
      <c r="E43" s="430">
        <v>2408968</v>
      </c>
      <c r="F43" s="430">
        <v>57011</v>
      </c>
      <c r="G43" s="430">
        <v>2465979</v>
      </c>
      <c r="H43" s="430">
        <v>-31128</v>
      </c>
      <c r="I43" s="430">
        <v>31128</v>
      </c>
      <c r="J43" s="430">
        <v>-29680</v>
      </c>
      <c r="K43" s="430">
        <v>74000</v>
      </c>
      <c r="L43" s="430">
        <v>373141</v>
      </c>
      <c r="M43" s="430">
        <v>300109</v>
      </c>
      <c r="N43" s="430">
        <v>-1000</v>
      </c>
      <c r="O43" s="430">
        <v>0</v>
      </c>
      <c r="P43" s="431">
        <v>-11224</v>
      </c>
    </row>
    <row r="44" spans="1:16" ht="12">
      <c r="A44" s="432" t="s">
        <v>643</v>
      </c>
      <c r="B44" s="430">
        <v>1629174</v>
      </c>
      <c r="C44" s="430">
        <v>1392605</v>
      </c>
      <c r="D44" s="430">
        <v>3021779</v>
      </c>
      <c r="E44" s="430">
        <v>3156523</v>
      </c>
      <c r="F44" s="430">
        <v>46450</v>
      </c>
      <c r="G44" s="430">
        <v>3202973</v>
      </c>
      <c r="H44" s="430">
        <v>-182000</v>
      </c>
      <c r="I44" s="430">
        <v>182000</v>
      </c>
      <c r="J44" s="430">
        <v>72410</v>
      </c>
      <c r="K44" s="430">
        <v>27876</v>
      </c>
      <c r="L44" s="430">
        <v>444384</v>
      </c>
      <c r="M44" s="430">
        <v>416508</v>
      </c>
      <c r="N44" s="430">
        <v>-1880</v>
      </c>
      <c r="O44" s="430">
        <v>-2500</v>
      </c>
      <c r="P44" s="431">
        <v>85288</v>
      </c>
    </row>
    <row r="45" spans="1:16" ht="12">
      <c r="A45" s="432" t="s">
        <v>644</v>
      </c>
      <c r="B45" s="430">
        <v>938739</v>
      </c>
      <c r="C45" s="430">
        <v>854083</v>
      </c>
      <c r="D45" s="430">
        <v>1792822</v>
      </c>
      <c r="E45" s="430">
        <v>1530144</v>
      </c>
      <c r="F45" s="430">
        <v>61588</v>
      </c>
      <c r="G45" s="430">
        <v>1591732</v>
      </c>
      <c r="H45" s="430">
        <v>201090</v>
      </c>
      <c r="I45" s="430">
        <v>-201090</v>
      </c>
      <c r="J45" s="430">
        <v>-11990</v>
      </c>
      <c r="K45" s="430">
        <v>-161175</v>
      </c>
      <c r="L45" s="430">
        <v>139839</v>
      </c>
      <c r="M45" s="430">
        <v>301014</v>
      </c>
      <c r="N45" s="430">
        <v>0</v>
      </c>
      <c r="O45" s="430">
        <v>0</v>
      </c>
      <c r="P45" s="431">
        <v>-27925</v>
      </c>
    </row>
    <row r="46" spans="1:16" ht="12">
      <c r="A46" s="432" t="s">
        <v>645</v>
      </c>
      <c r="B46" s="430">
        <v>2744052</v>
      </c>
      <c r="C46" s="430">
        <v>1469531</v>
      </c>
      <c r="D46" s="430">
        <v>4213583</v>
      </c>
      <c r="E46" s="430">
        <v>3501907</v>
      </c>
      <c r="F46" s="430">
        <v>108950</v>
      </c>
      <c r="G46" s="430">
        <v>3610857</v>
      </c>
      <c r="H46" s="430">
        <v>602726</v>
      </c>
      <c r="I46" s="430">
        <v>-602726</v>
      </c>
      <c r="J46" s="430">
        <v>-514000</v>
      </c>
      <c r="K46" s="430">
        <v>-36108</v>
      </c>
      <c r="L46" s="430">
        <v>275398</v>
      </c>
      <c r="M46" s="430">
        <v>311506</v>
      </c>
      <c r="N46" s="430">
        <v>-2325</v>
      </c>
      <c r="O46" s="430">
        <v>1826</v>
      </c>
      <c r="P46" s="431">
        <v>-52119</v>
      </c>
    </row>
    <row r="47" spans="1:16" ht="12">
      <c r="A47" s="432" t="s">
        <v>646</v>
      </c>
      <c r="B47" s="430">
        <v>492910</v>
      </c>
      <c r="C47" s="430">
        <v>300412</v>
      </c>
      <c r="D47" s="430">
        <v>793322</v>
      </c>
      <c r="E47" s="430">
        <v>741776</v>
      </c>
      <c r="F47" s="430">
        <v>39590</v>
      </c>
      <c r="G47" s="430">
        <v>781366</v>
      </c>
      <c r="H47" s="430">
        <v>11956</v>
      </c>
      <c r="I47" s="430">
        <v>-11956</v>
      </c>
      <c r="J47" s="430">
        <v>8000</v>
      </c>
      <c r="K47" s="430">
        <v>-19956</v>
      </c>
      <c r="L47" s="430">
        <v>84789</v>
      </c>
      <c r="M47" s="430">
        <v>104745</v>
      </c>
      <c r="N47" s="430">
        <v>0</v>
      </c>
      <c r="O47" s="430">
        <v>0</v>
      </c>
      <c r="P47" s="431">
        <v>0</v>
      </c>
    </row>
    <row r="48" spans="1:16" ht="12.75">
      <c r="A48" s="426" t="s">
        <v>647</v>
      </c>
      <c r="B48" s="430">
        <f aca="true" t="shared" si="1" ref="B48:P48">SUM(B22:B47)</f>
        <v>33585000</v>
      </c>
      <c r="C48" s="430">
        <f t="shared" si="1"/>
        <v>28876000</v>
      </c>
      <c r="D48" s="430">
        <f t="shared" si="1"/>
        <v>62461000</v>
      </c>
      <c r="E48" s="430">
        <f t="shared" si="1"/>
        <v>57170000</v>
      </c>
      <c r="F48" s="430">
        <f t="shared" si="1"/>
        <v>2210000</v>
      </c>
      <c r="G48" s="430">
        <f t="shared" si="1"/>
        <v>59380000</v>
      </c>
      <c r="H48" s="430">
        <f t="shared" si="1"/>
        <v>3080000</v>
      </c>
      <c r="I48" s="430">
        <f t="shared" si="1"/>
        <v>-3080000</v>
      </c>
      <c r="J48" s="430">
        <f t="shared" si="1"/>
        <v>-660000</v>
      </c>
      <c r="K48" s="430">
        <f t="shared" si="1"/>
        <v>-2354000</v>
      </c>
      <c r="L48" s="430">
        <f t="shared" si="1"/>
        <v>6028000</v>
      </c>
      <c r="M48" s="430">
        <f t="shared" si="1"/>
        <v>8382000</v>
      </c>
      <c r="N48" s="430">
        <f t="shared" si="1"/>
        <v>-17000</v>
      </c>
      <c r="O48" s="430">
        <f t="shared" si="1"/>
        <v>15000</v>
      </c>
      <c r="P48" s="431">
        <f t="shared" si="1"/>
        <v>-65000</v>
      </c>
    </row>
    <row r="49" spans="1:16" ht="12.75">
      <c r="A49" s="434" t="s">
        <v>648</v>
      </c>
      <c r="B49" s="435">
        <f aca="true" t="shared" si="2" ref="B49:P49">B48+B20</f>
        <v>87462000</v>
      </c>
      <c r="C49" s="435">
        <f t="shared" si="2"/>
        <v>40498000</v>
      </c>
      <c r="D49" s="435">
        <f t="shared" si="2"/>
        <v>127960000</v>
      </c>
      <c r="E49" s="435">
        <f t="shared" si="2"/>
        <v>112661000</v>
      </c>
      <c r="F49" s="435">
        <f t="shared" si="2"/>
        <v>9255000</v>
      </c>
      <c r="G49" s="435">
        <f t="shared" si="2"/>
        <v>121916000</v>
      </c>
      <c r="H49" s="435">
        <f t="shared" si="2"/>
        <v>6044000</v>
      </c>
      <c r="I49" s="435">
        <f t="shared" si="2"/>
        <v>-6044000</v>
      </c>
      <c r="J49" s="435">
        <f t="shared" si="2"/>
        <v>-3369000</v>
      </c>
      <c r="K49" s="435">
        <f t="shared" si="2"/>
        <v>-3234000</v>
      </c>
      <c r="L49" s="435">
        <f t="shared" si="2"/>
        <v>15031000</v>
      </c>
      <c r="M49" s="435">
        <f t="shared" si="2"/>
        <v>18265000</v>
      </c>
      <c r="N49" s="435">
        <f t="shared" si="2"/>
        <v>-17000</v>
      </c>
      <c r="O49" s="435">
        <f t="shared" si="2"/>
        <v>100000</v>
      </c>
      <c r="P49" s="436">
        <f t="shared" si="2"/>
        <v>476000</v>
      </c>
    </row>
    <row r="50" spans="1:7" s="390" customFormat="1" ht="12">
      <c r="A50" s="437" t="s">
        <v>649</v>
      </c>
      <c r="G50" s="390" t="s">
        <v>92</v>
      </c>
    </row>
    <row r="51" s="390" customFormat="1" ht="12">
      <c r="A51" s="395"/>
    </row>
    <row r="52" spans="1:11" s="390" customFormat="1" ht="12">
      <c r="A52" s="438"/>
      <c r="B52" s="369"/>
      <c r="C52" s="369"/>
      <c r="D52" s="369"/>
      <c r="E52" s="369"/>
      <c r="F52" s="369"/>
      <c r="G52" s="369"/>
      <c r="H52" s="369"/>
      <c r="I52" s="369"/>
      <c r="J52" s="369"/>
      <c r="K52" s="369"/>
    </row>
    <row r="53" s="390" customFormat="1" ht="12">
      <c r="A53" s="395"/>
    </row>
    <row r="54" spans="1:12" s="390" customFormat="1" ht="12">
      <c r="A54" s="439"/>
      <c r="B54" s="439"/>
      <c r="C54" s="342"/>
      <c r="D54" s="342"/>
      <c r="E54" s="342"/>
      <c r="F54" s="342"/>
      <c r="H54" s="440"/>
      <c r="I54" s="440"/>
      <c r="J54" s="440"/>
      <c r="K54" s="440"/>
      <c r="L54" s="440"/>
    </row>
    <row r="55" s="442" customFormat="1" ht="11.25">
      <c r="A55" s="441"/>
    </row>
    <row r="58" spans="1:11" s="342" customFormat="1" ht="11.25" customHeight="1">
      <c r="A58" s="443" t="s">
        <v>544</v>
      </c>
      <c r="H58" s="342" t="s">
        <v>650</v>
      </c>
      <c r="K58" s="342" t="s">
        <v>378</v>
      </c>
    </row>
    <row r="59" ht="11.25">
      <c r="A59" s="345"/>
    </row>
    <row r="67" s="288" customFormat="1" ht="11.25">
      <c r="A67" s="349" t="s">
        <v>480</v>
      </c>
    </row>
    <row r="68" ht="11.25">
      <c r="A68" s="308" t="s">
        <v>481</v>
      </c>
    </row>
  </sheetData>
  <printOptions/>
  <pageMargins left="0.25" right="0.25" top="0.6" bottom="0.86" header="0.22" footer="0"/>
  <pageSetup horizontalDpi="600" verticalDpi="600" orientation="landscape" paperSize="9" r:id="rId1"/>
  <headerFooter alignWithMargins="0">
    <oddFooter>&amp;L&amp;"RimHelvetica,Roman"&amp;8
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P68"/>
  <sheetViews>
    <sheetView showGridLines="0" showZeros="0" workbookViewId="0" topLeftCell="H1">
      <selection activeCell="E1" sqref="E1"/>
    </sheetView>
  </sheetViews>
  <sheetFormatPr defaultColWidth="9.140625" defaultRowHeight="12.75"/>
  <cols>
    <col min="1" max="1" width="20.421875" style="309" customWidth="1"/>
    <col min="2" max="3" width="10.57421875" style="284" customWidth="1"/>
    <col min="4" max="4" width="12.28125" style="284" customWidth="1"/>
    <col min="5" max="9" width="10.57421875" style="284" customWidth="1"/>
    <col min="10" max="10" width="11.8515625" style="284" customWidth="1"/>
    <col min="11" max="12" width="11.00390625" style="284" customWidth="1"/>
    <col min="13" max="16" width="7.140625" style="284" customWidth="1"/>
    <col min="17" max="16384" width="8.00390625" style="284" customWidth="1"/>
  </cols>
  <sheetData>
    <row r="1" spans="1:12" s="288" customFormat="1" ht="12.75">
      <c r="A1" s="282" t="s">
        <v>651</v>
      </c>
      <c r="B1" s="282"/>
      <c r="C1" s="282"/>
      <c r="D1" s="282"/>
      <c r="E1" s="282"/>
      <c r="F1" s="282"/>
      <c r="G1" s="282"/>
      <c r="H1" s="282"/>
      <c r="I1" s="282"/>
      <c r="J1" s="282"/>
      <c r="K1" s="319"/>
      <c r="L1" s="397" t="s">
        <v>652</v>
      </c>
    </row>
    <row r="2" spans="1:12" s="288" customFormat="1" ht="12.75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319"/>
      <c r="L2" s="397"/>
    </row>
    <row r="3" spans="1:12" s="285" customFormat="1" ht="12.75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397"/>
    </row>
    <row r="4" spans="1:16" s="402" customFormat="1" ht="15.75">
      <c r="A4" s="286" t="s">
        <v>653</v>
      </c>
      <c r="B4" s="286"/>
      <c r="C4" s="286"/>
      <c r="D4" s="314"/>
      <c r="E4" s="286"/>
      <c r="F4" s="286"/>
      <c r="G4" s="286"/>
      <c r="H4" s="286"/>
      <c r="I4" s="286"/>
      <c r="J4" s="286"/>
      <c r="K4" s="286"/>
      <c r="L4" s="286"/>
      <c r="M4" s="444"/>
      <c r="N4" s="444"/>
      <c r="O4" s="444"/>
      <c r="P4" s="444"/>
    </row>
    <row r="5" spans="1:16" s="402" customFormat="1" ht="15.75">
      <c r="A5" s="286" t="s">
        <v>486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444"/>
      <c r="N5" s="444"/>
      <c r="O5" s="444"/>
      <c r="P5" s="444"/>
    </row>
    <row r="6" spans="1:16" ht="12.75">
      <c r="A6" s="445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16" s="288" customFormat="1" ht="11.25">
      <c r="A7" s="403"/>
      <c r="B7" s="319"/>
      <c r="C7" s="319"/>
      <c r="D7" s="319"/>
      <c r="E7" s="319"/>
      <c r="F7" s="319"/>
      <c r="G7" s="319"/>
      <c r="H7" s="319"/>
      <c r="I7" s="319"/>
      <c r="J7" s="319"/>
      <c r="K7" s="319" t="s">
        <v>654</v>
      </c>
      <c r="L7" s="319"/>
      <c r="N7" s="319"/>
      <c r="O7" s="319"/>
      <c r="P7" s="319"/>
    </row>
    <row r="8" spans="1:16" s="285" customFormat="1" ht="12.75">
      <c r="A8" s="446"/>
      <c r="B8" s="447"/>
      <c r="C8" s="447"/>
      <c r="D8" s="448"/>
      <c r="E8" s="448"/>
      <c r="F8" s="449" t="s">
        <v>655</v>
      </c>
      <c r="G8" s="410"/>
      <c r="H8" s="410"/>
      <c r="I8" s="450"/>
      <c r="J8" s="410"/>
      <c r="K8" s="410"/>
      <c r="L8" s="451"/>
      <c r="N8" s="282"/>
      <c r="O8" s="282"/>
      <c r="P8" s="282"/>
    </row>
    <row r="9" spans="1:12" s="345" customFormat="1" ht="11.25">
      <c r="A9" s="452"/>
      <c r="B9" s="453"/>
      <c r="C9" s="453"/>
      <c r="D9" s="413"/>
      <c r="E9" s="413"/>
      <c r="F9" s="413"/>
      <c r="G9" s="413"/>
      <c r="H9" s="454" t="s">
        <v>596</v>
      </c>
      <c r="I9" s="455"/>
      <c r="J9" s="413"/>
      <c r="K9" s="413"/>
      <c r="L9" s="456"/>
    </row>
    <row r="10" spans="1:16" ht="45">
      <c r="A10" s="452" t="s">
        <v>656</v>
      </c>
      <c r="B10" s="457" t="s">
        <v>657</v>
      </c>
      <c r="C10" s="457" t="s">
        <v>658</v>
      </c>
      <c r="D10" s="457" t="s">
        <v>659</v>
      </c>
      <c r="E10" s="457" t="s">
        <v>660</v>
      </c>
      <c r="F10" s="457" t="s">
        <v>415</v>
      </c>
      <c r="G10" s="457" t="s">
        <v>661</v>
      </c>
      <c r="H10" s="457" t="s">
        <v>607</v>
      </c>
      <c r="I10" s="457" t="s">
        <v>608</v>
      </c>
      <c r="J10" s="457" t="s">
        <v>425</v>
      </c>
      <c r="K10" s="457" t="s">
        <v>427</v>
      </c>
      <c r="L10" s="458" t="s">
        <v>662</v>
      </c>
      <c r="M10" s="370"/>
      <c r="N10" s="317"/>
      <c r="O10" s="317"/>
      <c r="P10" s="317"/>
    </row>
    <row r="11" spans="1:16" s="288" customFormat="1" ht="11.25">
      <c r="A11" s="459">
        <v>1</v>
      </c>
      <c r="B11" s="460">
        <v>2</v>
      </c>
      <c r="C11" s="460">
        <v>3</v>
      </c>
      <c r="D11" s="460">
        <v>4</v>
      </c>
      <c r="E11" s="460">
        <v>5</v>
      </c>
      <c r="F11" s="460">
        <v>6</v>
      </c>
      <c r="G11" s="460">
        <v>7</v>
      </c>
      <c r="H11" s="460">
        <v>8</v>
      </c>
      <c r="I11" s="460">
        <v>9</v>
      </c>
      <c r="J11" s="460">
        <v>10</v>
      </c>
      <c r="K11" s="460">
        <v>11</v>
      </c>
      <c r="L11" s="461">
        <v>12</v>
      </c>
      <c r="M11" s="349"/>
      <c r="N11" s="319"/>
      <c r="O11" s="319"/>
      <c r="P11" s="319"/>
    </row>
    <row r="12" spans="1:13" ht="12">
      <c r="A12" s="462" t="s">
        <v>612</v>
      </c>
      <c r="B12" s="430">
        <v>2781594</v>
      </c>
      <c r="C12" s="430">
        <v>2176349</v>
      </c>
      <c r="D12" s="430">
        <v>605245</v>
      </c>
      <c r="E12" s="430">
        <v>-605245</v>
      </c>
      <c r="F12" s="430">
        <v>0</v>
      </c>
      <c r="G12" s="430">
        <v>-605245</v>
      </c>
      <c r="H12" s="430">
        <v>3600041</v>
      </c>
      <c r="I12" s="430">
        <v>4205286</v>
      </c>
      <c r="J12" s="430">
        <v>0</v>
      </c>
      <c r="K12" s="430">
        <v>0</v>
      </c>
      <c r="L12" s="431">
        <v>0</v>
      </c>
      <c r="M12" s="463"/>
    </row>
    <row r="13" spans="1:13" ht="12">
      <c r="A13" s="462" t="s">
        <v>613</v>
      </c>
      <c r="B13" s="430">
        <v>353040</v>
      </c>
      <c r="C13" s="430">
        <v>260081</v>
      </c>
      <c r="D13" s="430">
        <v>92959</v>
      </c>
      <c r="E13" s="430">
        <v>-92959</v>
      </c>
      <c r="F13" s="430">
        <v>0</v>
      </c>
      <c r="G13" s="430">
        <v>-92959</v>
      </c>
      <c r="H13" s="430">
        <v>36619</v>
      </c>
      <c r="I13" s="430">
        <v>129578</v>
      </c>
      <c r="J13" s="430">
        <v>0</v>
      </c>
      <c r="K13" s="430">
        <v>0</v>
      </c>
      <c r="L13" s="431">
        <v>0</v>
      </c>
      <c r="M13" s="463"/>
    </row>
    <row r="14" spans="1:13" ht="12">
      <c r="A14" s="462" t="s">
        <v>614</v>
      </c>
      <c r="B14" s="430">
        <v>297608</v>
      </c>
      <c r="C14" s="430">
        <v>306986</v>
      </c>
      <c r="D14" s="430">
        <v>-9378</v>
      </c>
      <c r="E14" s="430">
        <v>9378</v>
      </c>
      <c r="F14" s="430">
        <v>0</v>
      </c>
      <c r="G14" s="430">
        <v>9378</v>
      </c>
      <c r="H14" s="430">
        <v>263775</v>
      </c>
      <c r="I14" s="430">
        <v>254397</v>
      </c>
      <c r="J14" s="430">
        <v>0</v>
      </c>
      <c r="K14" s="430">
        <v>0</v>
      </c>
      <c r="L14" s="431">
        <v>0</v>
      </c>
      <c r="M14" s="463">
        <v>0</v>
      </c>
    </row>
    <row r="15" spans="1:13" ht="12">
      <c r="A15" s="462" t="s">
        <v>615</v>
      </c>
      <c r="B15" s="430">
        <v>820049</v>
      </c>
      <c r="C15" s="430">
        <v>854055</v>
      </c>
      <c r="D15" s="430">
        <v>-34006</v>
      </c>
      <c r="E15" s="430">
        <v>34006</v>
      </c>
      <c r="F15" s="430">
        <v>0</v>
      </c>
      <c r="G15" s="430">
        <v>34006</v>
      </c>
      <c r="H15" s="430">
        <v>344938</v>
      </c>
      <c r="I15" s="430">
        <v>310932</v>
      </c>
      <c r="J15" s="430">
        <v>0</v>
      </c>
      <c r="K15" s="430">
        <v>0</v>
      </c>
      <c r="L15" s="431">
        <v>0</v>
      </c>
      <c r="M15" s="463">
        <v>0</v>
      </c>
    </row>
    <row r="16" spans="1:13" ht="12">
      <c r="A16" s="462" t="s">
        <v>616</v>
      </c>
      <c r="B16" s="430">
        <v>287119</v>
      </c>
      <c r="C16" s="430">
        <v>297460</v>
      </c>
      <c r="D16" s="430">
        <v>-10341</v>
      </c>
      <c r="E16" s="430">
        <v>10341</v>
      </c>
      <c r="F16" s="430">
        <v>0</v>
      </c>
      <c r="G16" s="430">
        <v>10341</v>
      </c>
      <c r="H16" s="430">
        <v>150617</v>
      </c>
      <c r="I16" s="430">
        <v>140276</v>
      </c>
      <c r="J16" s="430">
        <v>0</v>
      </c>
      <c r="K16" s="430">
        <v>0</v>
      </c>
      <c r="L16" s="431">
        <v>0</v>
      </c>
      <c r="M16" s="463">
        <v>0</v>
      </c>
    </row>
    <row r="17" spans="1:13" ht="12">
      <c r="A17" s="462" t="s">
        <v>617</v>
      </c>
      <c r="B17" s="430">
        <v>137676</v>
      </c>
      <c r="C17" s="430">
        <v>54700</v>
      </c>
      <c r="D17" s="430">
        <v>82976</v>
      </c>
      <c r="E17" s="430">
        <v>-82976</v>
      </c>
      <c r="F17" s="430">
        <v>0</v>
      </c>
      <c r="G17" s="430">
        <v>-82976</v>
      </c>
      <c r="H17" s="430">
        <v>38765</v>
      </c>
      <c r="I17" s="430">
        <v>121741</v>
      </c>
      <c r="J17" s="430">
        <v>0</v>
      </c>
      <c r="K17" s="430">
        <v>0</v>
      </c>
      <c r="L17" s="431">
        <v>0</v>
      </c>
      <c r="M17" s="463">
        <v>0</v>
      </c>
    </row>
    <row r="18" spans="1:13" ht="12">
      <c r="A18" s="462" t="s">
        <v>618</v>
      </c>
      <c r="B18" s="430">
        <v>744674</v>
      </c>
      <c r="C18" s="430">
        <v>48400</v>
      </c>
      <c r="D18" s="430">
        <v>696274</v>
      </c>
      <c r="E18" s="430">
        <v>-696274</v>
      </c>
      <c r="F18" s="430">
        <v>0</v>
      </c>
      <c r="G18" s="430">
        <v>-696274</v>
      </c>
      <c r="H18" s="430">
        <v>2268757</v>
      </c>
      <c r="I18" s="430">
        <v>2965031</v>
      </c>
      <c r="J18" s="430">
        <v>0</v>
      </c>
      <c r="K18" s="430">
        <v>0</v>
      </c>
      <c r="L18" s="431">
        <v>0</v>
      </c>
      <c r="M18" s="442">
        <v>0</v>
      </c>
    </row>
    <row r="19" spans="1:16" s="466" customFormat="1" ht="12.75">
      <c r="A19" s="464" t="s">
        <v>619</v>
      </c>
      <c r="B19" s="430">
        <f aca="true" t="shared" si="0" ref="B19:L19">SUM(B12:B18)</f>
        <v>5422000</v>
      </c>
      <c r="C19" s="430">
        <f t="shared" si="0"/>
        <v>3998000</v>
      </c>
      <c r="D19" s="430">
        <f t="shared" si="0"/>
        <v>1424000</v>
      </c>
      <c r="E19" s="430">
        <f t="shared" si="0"/>
        <v>-1424000</v>
      </c>
      <c r="F19" s="430">
        <f t="shared" si="0"/>
        <v>0</v>
      </c>
      <c r="G19" s="430">
        <f t="shared" si="0"/>
        <v>-1424000</v>
      </c>
      <c r="H19" s="430">
        <f t="shared" si="0"/>
        <v>6704000</v>
      </c>
      <c r="I19" s="430">
        <f t="shared" si="0"/>
        <v>8127000</v>
      </c>
      <c r="J19" s="430">
        <f t="shared" si="0"/>
        <v>0</v>
      </c>
      <c r="K19" s="430">
        <f t="shared" si="0"/>
        <v>0</v>
      </c>
      <c r="L19" s="431">
        <f t="shared" si="0"/>
        <v>0</v>
      </c>
      <c r="M19" s="465">
        <v>0</v>
      </c>
      <c r="N19" s="465"/>
      <c r="O19" s="465"/>
      <c r="P19" s="465"/>
    </row>
    <row r="20" spans="1:13" ht="12">
      <c r="A20" s="462" t="s">
        <v>621</v>
      </c>
      <c r="B20" s="430">
        <v>129887</v>
      </c>
      <c r="C20" s="430">
        <v>157494</v>
      </c>
      <c r="D20" s="430">
        <v>-27607</v>
      </c>
      <c r="E20" s="430">
        <v>27607</v>
      </c>
      <c r="F20" s="430">
        <v>0</v>
      </c>
      <c r="G20" s="430">
        <v>27607</v>
      </c>
      <c r="H20" s="430">
        <v>177557</v>
      </c>
      <c r="I20" s="430">
        <v>149950</v>
      </c>
      <c r="J20" s="430">
        <v>0</v>
      </c>
      <c r="K20" s="430">
        <v>0</v>
      </c>
      <c r="L20" s="431">
        <v>0</v>
      </c>
      <c r="M20" s="463">
        <v>0</v>
      </c>
    </row>
    <row r="21" spans="1:13" ht="12">
      <c r="A21" s="462" t="s">
        <v>622</v>
      </c>
      <c r="B21" s="430">
        <v>115308</v>
      </c>
      <c r="C21" s="430">
        <v>176815</v>
      </c>
      <c r="D21" s="430">
        <v>-61507</v>
      </c>
      <c r="E21" s="430">
        <v>61507</v>
      </c>
      <c r="F21" s="430">
        <v>0</v>
      </c>
      <c r="G21" s="430">
        <v>61507</v>
      </c>
      <c r="H21" s="430">
        <v>207851</v>
      </c>
      <c r="I21" s="430">
        <v>146344</v>
      </c>
      <c r="J21" s="430">
        <v>0</v>
      </c>
      <c r="K21" s="430">
        <v>0</v>
      </c>
      <c r="L21" s="431">
        <v>0</v>
      </c>
      <c r="M21" s="463"/>
    </row>
    <row r="22" spans="1:13" ht="12">
      <c r="A22" s="462" t="s">
        <v>623</v>
      </c>
      <c r="B22" s="430">
        <v>188445</v>
      </c>
      <c r="C22" s="430">
        <v>219251</v>
      </c>
      <c r="D22" s="430">
        <v>-30806</v>
      </c>
      <c r="E22" s="430">
        <v>30806</v>
      </c>
      <c r="F22" s="430">
        <v>0</v>
      </c>
      <c r="G22" s="430">
        <v>30806</v>
      </c>
      <c r="H22" s="430">
        <v>207209</v>
      </c>
      <c r="I22" s="430">
        <v>176403</v>
      </c>
      <c r="J22" s="430">
        <v>0</v>
      </c>
      <c r="K22" s="430">
        <v>0</v>
      </c>
      <c r="L22" s="431">
        <v>0</v>
      </c>
      <c r="M22" s="463"/>
    </row>
    <row r="23" spans="1:13" ht="12">
      <c r="A23" s="462" t="s">
        <v>624</v>
      </c>
      <c r="B23" s="430">
        <v>184699</v>
      </c>
      <c r="C23" s="430">
        <v>206185</v>
      </c>
      <c r="D23" s="430">
        <v>-21486</v>
      </c>
      <c r="E23" s="430">
        <v>21486</v>
      </c>
      <c r="F23" s="430">
        <v>0</v>
      </c>
      <c r="G23" s="430">
        <v>21486</v>
      </c>
      <c r="H23" s="430">
        <v>214081</v>
      </c>
      <c r="I23" s="430">
        <v>192595</v>
      </c>
      <c r="J23" s="430">
        <v>0</v>
      </c>
      <c r="K23" s="430">
        <v>0</v>
      </c>
      <c r="L23" s="431">
        <v>0</v>
      </c>
      <c r="M23" s="463"/>
    </row>
    <row r="24" spans="1:13" ht="12">
      <c r="A24" s="462" t="s">
        <v>625</v>
      </c>
      <c r="B24" s="430">
        <v>256592</v>
      </c>
      <c r="C24" s="430">
        <v>353809</v>
      </c>
      <c r="D24" s="430">
        <v>-97217</v>
      </c>
      <c r="E24" s="430">
        <v>97217</v>
      </c>
      <c r="F24" s="430">
        <v>-550</v>
      </c>
      <c r="G24" s="430">
        <v>97767</v>
      </c>
      <c r="H24" s="430">
        <v>300636</v>
      </c>
      <c r="I24" s="430">
        <v>202869</v>
      </c>
      <c r="J24" s="430">
        <v>0</v>
      </c>
      <c r="K24" s="430">
        <v>0</v>
      </c>
      <c r="L24" s="431">
        <v>0</v>
      </c>
      <c r="M24" s="463"/>
    </row>
    <row r="25" spans="1:13" ht="12">
      <c r="A25" s="462" t="s">
        <v>626</v>
      </c>
      <c r="B25" s="430">
        <v>205957</v>
      </c>
      <c r="C25" s="430">
        <v>265572</v>
      </c>
      <c r="D25" s="430">
        <v>-59615</v>
      </c>
      <c r="E25" s="430">
        <v>59615</v>
      </c>
      <c r="F25" s="430">
        <v>0</v>
      </c>
      <c r="G25" s="430">
        <v>59615</v>
      </c>
      <c r="H25" s="430">
        <v>173160</v>
      </c>
      <c r="I25" s="430">
        <v>113545</v>
      </c>
      <c r="J25" s="430">
        <v>0</v>
      </c>
      <c r="K25" s="430">
        <v>0</v>
      </c>
      <c r="L25" s="431">
        <v>0</v>
      </c>
      <c r="M25" s="463"/>
    </row>
    <row r="26" spans="1:13" ht="12">
      <c r="A26" s="462" t="s">
        <v>627</v>
      </c>
      <c r="B26" s="430">
        <v>174791</v>
      </c>
      <c r="C26" s="430">
        <v>175196</v>
      </c>
      <c r="D26" s="430">
        <v>-405</v>
      </c>
      <c r="E26" s="430">
        <v>405</v>
      </c>
      <c r="F26" s="430">
        <v>0</v>
      </c>
      <c r="G26" s="430">
        <v>405</v>
      </c>
      <c r="H26" s="430">
        <v>250003</v>
      </c>
      <c r="I26" s="430">
        <v>249598</v>
      </c>
      <c r="J26" s="430">
        <v>0</v>
      </c>
      <c r="K26" s="430">
        <v>0</v>
      </c>
      <c r="L26" s="431">
        <v>0</v>
      </c>
      <c r="M26" s="463"/>
    </row>
    <row r="27" spans="1:13" ht="12">
      <c r="A27" s="462" t="s">
        <v>628</v>
      </c>
      <c r="B27" s="430">
        <v>119091</v>
      </c>
      <c r="C27" s="430">
        <v>117514</v>
      </c>
      <c r="D27" s="430">
        <v>1577</v>
      </c>
      <c r="E27" s="430">
        <v>-1577</v>
      </c>
      <c r="F27" s="430">
        <v>1639</v>
      </c>
      <c r="G27" s="430">
        <v>-3216</v>
      </c>
      <c r="H27" s="430">
        <v>115567</v>
      </c>
      <c r="I27" s="430">
        <v>118783</v>
      </c>
      <c r="J27" s="430">
        <v>0</v>
      </c>
      <c r="K27" s="430">
        <v>0</v>
      </c>
      <c r="L27" s="431">
        <v>0</v>
      </c>
      <c r="M27" s="463"/>
    </row>
    <row r="28" spans="1:13" ht="12">
      <c r="A28" s="462" t="s">
        <v>629</v>
      </c>
      <c r="B28" s="430">
        <v>165492</v>
      </c>
      <c r="C28" s="430">
        <v>171454</v>
      </c>
      <c r="D28" s="430">
        <v>-5962</v>
      </c>
      <c r="E28" s="430">
        <v>5962</v>
      </c>
      <c r="F28" s="430">
        <v>0</v>
      </c>
      <c r="G28" s="430">
        <v>5962</v>
      </c>
      <c r="H28" s="430">
        <v>199657</v>
      </c>
      <c r="I28" s="430">
        <v>193695</v>
      </c>
      <c r="J28" s="430">
        <v>0</v>
      </c>
      <c r="K28" s="430">
        <v>0</v>
      </c>
      <c r="L28" s="431">
        <v>0</v>
      </c>
      <c r="M28" s="463"/>
    </row>
    <row r="29" spans="1:13" ht="12">
      <c r="A29" s="462" t="s">
        <v>630</v>
      </c>
      <c r="B29" s="430">
        <v>233840</v>
      </c>
      <c r="C29" s="430">
        <v>221984</v>
      </c>
      <c r="D29" s="430">
        <v>11856</v>
      </c>
      <c r="E29" s="430">
        <v>-11856</v>
      </c>
      <c r="F29" s="430">
        <v>0</v>
      </c>
      <c r="G29" s="430">
        <v>-11856</v>
      </c>
      <c r="H29" s="430">
        <v>170686</v>
      </c>
      <c r="I29" s="430">
        <v>182542</v>
      </c>
      <c r="J29" s="430">
        <v>0</v>
      </c>
      <c r="K29" s="430">
        <v>0</v>
      </c>
      <c r="L29" s="431">
        <v>0</v>
      </c>
      <c r="M29" s="463"/>
    </row>
    <row r="30" spans="1:13" ht="12">
      <c r="A30" s="462" t="s">
        <v>631</v>
      </c>
      <c r="B30" s="430">
        <v>234963</v>
      </c>
      <c r="C30" s="430">
        <v>297184</v>
      </c>
      <c r="D30" s="430">
        <v>-62221</v>
      </c>
      <c r="E30" s="430">
        <v>62221</v>
      </c>
      <c r="F30" s="430">
        <v>0</v>
      </c>
      <c r="G30" s="430">
        <v>62221</v>
      </c>
      <c r="H30" s="430">
        <v>256279</v>
      </c>
      <c r="I30" s="430">
        <v>194058</v>
      </c>
      <c r="J30" s="430">
        <v>0</v>
      </c>
      <c r="K30" s="430">
        <v>0</v>
      </c>
      <c r="L30" s="431">
        <v>0</v>
      </c>
      <c r="M30" s="463"/>
    </row>
    <row r="31" spans="1:13" ht="12">
      <c r="A31" s="462" t="s">
        <v>632</v>
      </c>
      <c r="B31" s="430">
        <v>229932</v>
      </c>
      <c r="C31" s="430">
        <v>250252</v>
      </c>
      <c r="D31" s="430">
        <v>-20320</v>
      </c>
      <c r="E31" s="430">
        <v>20320</v>
      </c>
      <c r="F31" s="430">
        <v>-8700</v>
      </c>
      <c r="G31" s="430">
        <v>29020</v>
      </c>
      <c r="H31" s="430">
        <v>272963</v>
      </c>
      <c r="I31" s="430">
        <v>243943</v>
      </c>
      <c r="J31" s="430">
        <v>0</v>
      </c>
      <c r="K31" s="430">
        <v>0</v>
      </c>
      <c r="L31" s="431">
        <v>0</v>
      </c>
      <c r="M31" s="463"/>
    </row>
    <row r="32" spans="1:13" ht="12">
      <c r="A32" s="462" t="s">
        <v>633</v>
      </c>
      <c r="B32" s="430">
        <v>319179</v>
      </c>
      <c r="C32" s="430">
        <v>373623</v>
      </c>
      <c r="D32" s="430">
        <v>-54444</v>
      </c>
      <c r="E32" s="430">
        <v>54444</v>
      </c>
      <c r="F32" s="430">
        <v>0</v>
      </c>
      <c r="G32" s="430">
        <v>53947</v>
      </c>
      <c r="H32" s="430">
        <v>229569</v>
      </c>
      <c r="I32" s="430">
        <v>175622</v>
      </c>
      <c r="J32" s="430">
        <v>0</v>
      </c>
      <c r="K32" s="430">
        <v>497</v>
      </c>
      <c r="L32" s="431">
        <v>0</v>
      </c>
      <c r="M32" s="463"/>
    </row>
    <row r="33" spans="1:13" ht="12">
      <c r="A33" s="462" t="s">
        <v>634</v>
      </c>
      <c r="B33" s="430">
        <v>286137</v>
      </c>
      <c r="C33" s="430">
        <v>293806</v>
      </c>
      <c r="D33" s="430">
        <v>-7669</v>
      </c>
      <c r="E33" s="430">
        <v>7669</v>
      </c>
      <c r="F33" s="430">
        <v>0</v>
      </c>
      <c r="G33" s="430">
        <v>7669</v>
      </c>
      <c r="H33" s="430">
        <v>310507</v>
      </c>
      <c r="I33" s="430">
        <v>302838</v>
      </c>
      <c r="J33" s="430">
        <v>0</v>
      </c>
      <c r="K33" s="430">
        <v>0</v>
      </c>
      <c r="L33" s="431">
        <v>0</v>
      </c>
      <c r="M33" s="463"/>
    </row>
    <row r="34" spans="1:13" ht="12">
      <c r="A34" s="462" t="s">
        <v>635</v>
      </c>
      <c r="B34" s="430">
        <v>161636</v>
      </c>
      <c r="C34" s="430">
        <v>232716</v>
      </c>
      <c r="D34" s="430">
        <v>-71080</v>
      </c>
      <c r="E34" s="430">
        <v>71080</v>
      </c>
      <c r="F34" s="430">
        <v>20000</v>
      </c>
      <c r="G34" s="430">
        <v>51080</v>
      </c>
      <c r="H34" s="430">
        <v>308338</v>
      </c>
      <c r="I34" s="430">
        <v>258000</v>
      </c>
      <c r="J34" s="430">
        <v>0</v>
      </c>
      <c r="K34" s="430">
        <v>0</v>
      </c>
      <c r="L34" s="431">
        <v>0</v>
      </c>
      <c r="M34" s="463"/>
    </row>
    <row r="35" spans="1:13" ht="12">
      <c r="A35" s="462" t="s">
        <v>636</v>
      </c>
      <c r="B35" s="430">
        <v>183657</v>
      </c>
      <c r="C35" s="430">
        <v>229852</v>
      </c>
      <c r="D35" s="430">
        <v>-46195</v>
      </c>
      <c r="E35" s="430">
        <v>46195</v>
      </c>
      <c r="F35" s="430">
        <v>-2250</v>
      </c>
      <c r="G35" s="430">
        <v>48445</v>
      </c>
      <c r="H35" s="430">
        <v>251097</v>
      </c>
      <c r="I35" s="430">
        <v>202652</v>
      </c>
      <c r="J35" s="430">
        <v>0</v>
      </c>
      <c r="K35" s="430">
        <v>0</v>
      </c>
      <c r="L35" s="431">
        <v>0</v>
      </c>
      <c r="M35" s="463"/>
    </row>
    <row r="36" spans="1:13" ht="12">
      <c r="A36" s="462" t="s">
        <v>637</v>
      </c>
      <c r="B36" s="430">
        <v>292076</v>
      </c>
      <c r="C36" s="430">
        <v>296595</v>
      </c>
      <c r="D36" s="430">
        <v>-4519</v>
      </c>
      <c r="E36" s="430">
        <v>4519</v>
      </c>
      <c r="F36" s="430">
        <v>0</v>
      </c>
      <c r="G36" s="430">
        <v>4819</v>
      </c>
      <c r="H36" s="430">
        <v>325801</v>
      </c>
      <c r="I36" s="430">
        <v>320982</v>
      </c>
      <c r="J36" s="430">
        <v>0</v>
      </c>
      <c r="K36" s="430">
        <v>-300</v>
      </c>
      <c r="L36" s="431">
        <v>0</v>
      </c>
      <c r="M36" s="463"/>
    </row>
    <row r="37" spans="1:13" ht="12">
      <c r="A37" s="462" t="s">
        <v>638</v>
      </c>
      <c r="B37" s="430">
        <v>299407</v>
      </c>
      <c r="C37" s="430">
        <v>384196</v>
      </c>
      <c r="D37" s="430">
        <v>-84789</v>
      </c>
      <c r="E37" s="430">
        <v>84789</v>
      </c>
      <c r="F37" s="430">
        <v>0</v>
      </c>
      <c r="G37" s="430">
        <v>84789</v>
      </c>
      <c r="H37" s="430">
        <v>167543</v>
      </c>
      <c r="I37" s="430">
        <v>82754</v>
      </c>
      <c r="J37" s="430">
        <v>0</v>
      </c>
      <c r="K37" s="430">
        <v>0</v>
      </c>
      <c r="L37" s="431">
        <v>0</v>
      </c>
      <c r="M37" s="463"/>
    </row>
    <row r="38" spans="1:13" ht="12">
      <c r="A38" s="462" t="s">
        <v>639</v>
      </c>
      <c r="B38" s="430">
        <v>116000</v>
      </c>
      <c r="C38" s="430">
        <v>146921</v>
      </c>
      <c r="D38" s="430">
        <v>-30297</v>
      </c>
      <c r="E38" s="430">
        <v>30297</v>
      </c>
      <c r="F38" s="430">
        <v>0</v>
      </c>
      <c r="G38" s="430">
        <v>30297</v>
      </c>
      <c r="H38" s="430">
        <v>194456</v>
      </c>
      <c r="I38" s="430">
        <v>164159</v>
      </c>
      <c r="J38" s="430">
        <v>0</v>
      </c>
      <c r="K38" s="430">
        <v>0</v>
      </c>
      <c r="L38" s="431">
        <v>0</v>
      </c>
      <c r="M38" s="463"/>
    </row>
    <row r="39" spans="1:13" ht="12">
      <c r="A39" s="462" t="s">
        <v>640</v>
      </c>
      <c r="B39" s="430">
        <v>848022</v>
      </c>
      <c r="C39" s="430">
        <v>938339</v>
      </c>
      <c r="D39" s="430">
        <v>-90317</v>
      </c>
      <c r="E39" s="430">
        <v>90317</v>
      </c>
      <c r="F39" s="430">
        <v>0</v>
      </c>
      <c r="G39" s="430">
        <v>90317</v>
      </c>
      <c r="H39" s="430">
        <v>588844</v>
      </c>
      <c r="I39" s="430">
        <v>498527</v>
      </c>
      <c r="J39" s="430">
        <v>0</v>
      </c>
      <c r="K39" s="430">
        <v>0</v>
      </c>
      <c r="L39" s="431">
        <v>0</v>
      </c>
      <c r="M39" s="463"/>
    </row>
    <row r="40" spans="1:13" ht="12">
      <c r="A40" s="462" t="s">
        <v>641</v>
      </c>
      <c r="B40" s="430">
        <v>190118</v>
      </c>
      <c r="C40" s="430">
        <v>234098</v>
      </c>
      <c r="D40" s="430">
        <v>-43980</v>
      </c>
      <c r="E40" s="430">
        <v>43980</v>
      </c>
      <c r="F40" s="430">
        <v>0</v>
      </c>
      <c r="G40" s="430">
        <v>43980</v>
      </c>
      <c r="H40" s="430">
        <v>293897</v>
      </c>
      <c r="I40" s="430">
        <v>249917</v>
      </c>
      <c r="J40" s="430">
        <v>0</v>
      </c>
      <c r="K40" s="430">
        <v>0</v>
      </c>
      <c r="L40" s="431">
        <v>0</v>
      </c>
      <c r="M40" s="463"/>
    </row>
    <row r="41" spans="1:13" ht="12">
      <c r="A41" s="462" t="s">
        <v>642</v>
      </c>
      <c r="B41" s="430">
        <v>233463</v>
      </c>
      <c r="C41" s="430">
        <v>196467</v>
      </c>
      <c r="D41" s="430">
        <v>36996</v>
      </c>
      <c r="E41" s="430">
        <v>-36996</v>
      </c>
      <c r="F41" s="430">
        <v>0</v>
      </c>
      <c r="G41" s="430">
        <v>-36996</v>
      </c>
      <c r="H41" s="430">
        <v>267925</v>
      </c>
      <c r="I41" s="430">
        <v>304921</v>
      </c>
      <c r="J41" s="430">
        <v>0</v>
      </c>
      <c r="K41" s="430">
        <v>0</v>
      </c>
      <c r="L41" s="431">
        <v>0</v>
      </c>
      <c r="M41" s="463"/>
    </row>
    <row r="42" spans="1:13" ht="12">
      <c r="A42" s="462" t="s">
        <v>643</v>
      </c>
      <c r="B42" s="430">
        <v>257456</v>
      </c>
      <c r="C42" s="430">
        <v>312596</v>
      </c>
      <c r="D42" s="430">
        <v>-55140</v>
      </c>
      <c r="E42" s="430">
        <v>55140</v>
      </c>
      <c r="F42" s="430">
        <v>15000</v>
      </c>
      <c r="G42" s="430">
        <v>40140</v>
      </c>
      <c r="H42" s="430">
        <v>205056</v>
      </c>
      <c r="I42" s="430">
        <v>164916</v>
      </c>
      <c r="J42" s="430">
        <v>0</v>
      </c>
      <c r="K42" s="430">
        <v>0</v>
      </c>
      <c r="L42" s="431">
        <v>0</v>
      </c>
      <c r="M42" s="463"/>
    </row>
    <row r="43" spans="1:13" ht="12">
      <c r="A43" s="462" t="s">
        <v>644</v>
      </c>
      <c r="B43" s="430">
        <v>129224</v>
      </c>
      <c r="C43" s="430">
        <v>148387</v>
      </c>
      <c r="D43" s="430">
        <v>-19163</v>
      </c>
      <c r="E43" s="430">
        <v>19163</v>
      </c>
      <c r="F43" s="430">
        <v>0</v>
      </c>
      <c r="G43" s="430">
        <v>19163</v>
      </c>
      <c r="H43" s="430">
        <v>143314</v>
      </c>
      <c r="I43" s="430">
        <v>124151</v>
      </c>
      <c r="J43" s="430">
        <v>0</v>
      </c>
      <c r="K43" s="430">
        <v>0</v>
      </c>
      <c r="L43" s="431">
        <v>0</v>
      </c>
      <c r="M43" s="463"/>
    </row>
    <row r="44" spans="1:13" ht="12">
      <c r="A44" s="462" t="s">
        <v>645</v>
      </c>
      <c r="B44" s="430">
        <v>190362</v>
      </c>
      <c r="C44" s="430">
        <v>205072</v>
      </c>
      <c r="D44" s="430">
        <v>-14710</v>
      </c>
      <c r="E44" s="430">
        <v>14710</v>
      </c>
      <c r="F44" s="430">
        <v>0</v>
      </c>
      <c r="G44" s="430">
        <v>14128</v>
      </c>
      <c r="H44" s="430">
        <v>288716</v>
      </c>
      <c r="I44" s="430">
        <v>274588</v>
      </c>
      <c r="J44" s="430">
        <v>0</v>
      </c>
      <c r="K44" s="430">
        <v>582</v>
      </c>
      <c r="L44" s="431">
        <v>0</v>
      </c>
      <c r="M44" s="463"/>
    </row>
    <row r="45" spans="1:13" ht="12">
      <c r="A45" s="462" t="s">
        <v>646</v>
      </c>
      <c r="B45" s="430">
        <v>162161</v>
      </c>
      <c r="C45" s="430">
        <v>192750</v>
      </c>
      <c r="D45" s="430">
        <v>-30589</v>
      </c>
      <c r="E45" s="430">
        <v>30589</v>
      </c>
      <c r="F45" s="430">
        <v>0</v>
      </c>
      <c r="G45" s="430">
        <v>30589</v>
      </c>
      <c r="H45" s="430">
        <v>320307</v>
      </c>
      <c r="I45" s="430">
        <v>289718</v>
      </c>
      <c r="J45" s="430">
        <v>0</v>
      </c>
      <c r="K45" s="430">
        <v>0</v>
      </c>
      <c r="L45" s="431">
        <v>0</v>
      </c>
      <c r="M45" s="463"/>
    </row>
    <row r="46" spans="1:12" ht="12.75">
      <c r="A46" s="464" t="s">
        <v>647</v>
      </c>
      <c r="B46" s="430">
        <f aca="true" t="shared" si="1" ref="B46:L46">SUM(B20:B45)</f>
        <v>5908000</v>
      </c>
      <c r="C46" s="430">
        <f t="shared" si="1"/>
        <v>6798000</v>
      </c>
      <c r="D46" s="430">
        <f t="shared" si="1"/>
        <v>-890000</v>
      </c>
      <c r="E46" s="430">
        <f t="shared" si="1"/>
        <v>890000</v>
      </c>
      <c r="F46" s="430">
        <f t="shared" si="1"/>
        <v>25000</v>
      </c>
      <c r="G46" s="430">
        <f t="shared" si="1"/>
        <v>864000</v>
      </c>
      <c r="H46" s="430">
        <f t="shared" si="1"/>
        <v>6441000</v>
      </c>
      <c r="I46" s="430">
        <f t="shared" si="1"/>
        <v>5578000</v>
      </c>
      <c r="J46" s="430">
        <f t="shared" si="1"/>
        <v>0</v>
      </c>
      <c r="K46" s="430">
        <f t="shared" si="1"/>
        <v>1000</v>
      </c>
      <c r="L46" s="431">
        <f t="shared" si="1"/>
        <v>0</v>
      </c>
    </row>
    <row r="47" spans="1:12" ht="12.75">
      <c r="A47" s="467" t="s">
        <v>648</v>
      </c>
      <c r="B47" s="435">
        <f aca="true" t="shared" si="2" ref="B47:L47">SUM(B46,B19)</f>
        <v>11330000</v>
      </c>
      <c r="C47" s="435">
        <f t="shared" si="2"/>
        <v>10796000</v>
      </c>
      <c r="D47" s="435">
        <f t="shared" si="2"/>
        <v>534000</v>
      </c>
      <c r="E47" s="435">
        <f t="shared" si="2"/>
        <v>-534000</v>
      </c>
      <c r="F47" s="435">
        <f t="shared" si="2"/>
        <v>25000</v>
      </c>
      <c r="G47" s="435">
        <f t="shared" si="2"/>
        <v>-560000</v>
      </c>
      <c r="H47" s="435">
        <f t="shared" si="2"/>
        <v>13145000</v>
      </c>
      <c r="I47" s="435">
        <f t="shared" si="2"/>
        <v>13705000</v>
      </c>
      <c r="J47" s="435">
        <f t="shared" si="2"/>
        <v>0</v>
      </c>
      <c r="K47" s="435">
        <f t="shared" si="2"/>
        <v>1000</v>
      </c>
      <c r="L47" s="436">
        <f t="shared" si="2"/>
        <v>0</v>
      </c>
    </row>
    <row r="53" spans="1:11" s="342" customFormat="1" ht="11.25" customHeight="1">
      <c r="A53" s="443" t="s">
        <v>544</v>
      </c>
      <c r="H53" s="342" t="s">
        <v>650</v>
      </c>
      <c r="K53" s="342" t="s">
        <v>378</v>
      </c>
    </row>
    <row r="54" spans="1:16" s="390" customFormat="1" ht="12">
      <c r="A54" s="468"/>
      <c r="B54" s="366"/>
      <c r="C54" s="342"/>
      <c r="D54" s="366"/>
      <c r="E54" s="366"/>
      <c r="F54" s="366"/>
      <c r="G54" s="342"/>
      <c r="H54" s="440"/>
      <c r="I54" s="366"/>
      <c r="J54" s="366"/>
      <c r="K54" s="366"/>
      <c r="L54" s="366"/>
      <c r="M54" s="366"/>
      <c r="N54" s="366"/>
      <c r="O54" s="366"/>
      <c r="P54" s="366"/>
    </row>
    <row r="55" spans="1:8" s="472" customFormat="1" ht="11.25">
      <c r="A55" s="469"/>
      <c r="B55" s="470"/>
      <c r="C55" s="284"/>
      <c r="D55" s="471"/>
      <c r="E55" s="284"/>
      <c r="F55" s="471"/>
      <c r="G55" s="471"/>
      <c r="H55" s="284"/>
    </row>
    <row r="56" spans="1:9" s="442" customFormat="1" ht="12.75">
      <c r="A56" s="395"/>
      <c r="B56" s="473"/>
      <c r="C56" s="284"/>
      <c r="D56" s="474"/>
      <c r="E56" s="474"/>
      <c r="G56" s="475"/>
      <c r="I56" s="390"/>
    </row>
    <row r="57" spans="1:16" s="390" customFormat="1" ht="12">
      <c r="A57" s="468"/>
      <c r="B57" s="366"/>
      <c r="C57" s="342"/>
      <c r="D57" s="366"/>
      <c r="E57" s="366"/>
      <c r="F57" s="366"/>
      <c r="G57" s="342"/>
      <c r="H57" s="440"/>
      <c r="I57" s="366"/>
      <c r="J57" s="366"/>
      <c r="K57" s="366"/>
      <c r="L57" s="366"/>
      <c r="M57" s="366"/>
      <c r="N57" s="366"/>
      <c r="O57" s="366"/>
      <c r="P57" s="366"/>
    </row>
    <row r="58" s="442" customFormat="1" ht="11.25">
      <c r="A58" s="441"/>
    </row>
    <row r="59" spans="1:6" s="442" customFormat="1" ht="11.25">
      <c r="A59" s="441"/>
      <c r="B59" s="284"/>
      <c r="C59" s="284"/>
      <c r="D59" s="284"/>
      <c r="E59" s="284"/>
      <c r="F59" s="284"/>
    </row>
    <row r="67" s="349" customFormat="1" ht="11.25">
      <c r="A67" s="349" t="s">
        <v>89</v>
      </c>
    </row>
    <row r="68" ht="11.25">
      <c r="A68" s="308" t="s">
        <v>481</v>
      </c>
    </row>
  </sheetData>
  <printOptions/>
  <pageMargins left="0.7" right="0.2362204724409449" top="0.78" bottom="0.75" header="0.18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IV62"/>
  <sheetViews>
    <sheetView workbookViewId="0" topLeftCell="A20">
      <selection activeCell="E1" sqref="E1"/>
    </sheetView>
  </sheetViews>
  <sheetFormatPr defaultColWidth="9.140625" defaultRowHeight="12.75"/>
  <cols>
    <col min="1" max="1" width="64.8515625" style="284" customWidth="1"/>
    <col min="2" max="2" width="19.140625" style="284" customWidth="1"/>
    <col min="3" max="16384" width="8.00390625" style="284" customWidth="1"/>
  </cols>
  <sheetData>
    <row r="1" spans="1:4" s="288" customFormat="1" ht="12.75">
      <c r="A1" s="285" t="s">
        <v>663</v>
      </c>
      <c r="B1" s="285" t="s">
        <v>664</v>
      </c>
      <c r="D1" s="472"/>
    </row>
    <row r="2" spans="1:2" s="288" customFormat="1" ht="12.75">
      <c r="A2" s="285"/>
      <c r="B2" s="285"/>
    </row>
    <row r="3" s="342" customFormat="1" ht="12"/>
    <row r="4" s="342" customFormat="1" ht="15.75">
      <c r="A4" s="402" t="s">
        <v>665</v>
      </c>
    </row>
    <row r="5" s="342" customFormat="1" ht="15.75">
      <c r="A5" s="476" t="s">
        <v>666</v>
      </c>
    </row>
    <row r="6" spans="1:2" s="342" customFormat="1" ht="12">
      <c r="A6" s="472"/>
      <c r="B6" s="472"/>
    </row>
    <row r="7" spans="1:2" s="342" customFormat="1" ht="12">
      <c r="A7" s="477"/>
      <c r="B7" s="478" t="s">
        <v>667</v>
      </c>
    </row>
    <row r="8" spans="1:2" s="342" customFormat="1" ht="12.75">
      <c r="A8" s="479" t="s">
        <v>5</v>
      </c>
      <c r="B8" s="480" t="s">
        <v>668</v>
      </c>
    </row>
    <row r="9" spans="1:127" s="303" customFormat="1" ht="12.75">
      <c r="A9" s="481">
        <v>1</v>
      </c>
      <c r="B9" s="482">
        <v>2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/>
      <c r="DV9" s="342"/>
      <c r="DW9" s="342"/>
    </row>
    <row r="10" spans="1:127" s="303" customFormat="1" ht="23.25" customHeight="1">
      <c r="A10" s="483" t="s">
        <v>669</v>
      </c>
      <c r="B10" s="484">
        <f>SUM(B11:B16)</f>
        <v>10225553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2"/>
      <c r="CS10" s="342"/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/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  <c r="DV10" s="342"/>
      <c r="DW10" s="342"/>
    </row>
    <row r="11" spans="1:256" s="303" customFormat="1" ht="23.25" customHeight="1">
      <c r="A11" s="485" t="s">
        <v>670</v>
      </c>
      <c r="B11" s="486">
        <v>9182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487"/>
      <c r="DY11" s="488"/>
      <c r="DZ11" s="487"/>
      <c r="EA11" s="488"/>
      <c r="EB11" s="487"/>
      <c r="EC11" s="488"/>
      <c r="ED11" s="487"/>
      <c r="EE11" s="488"/>
      <c r="EF11" s="487"/>
      <c r="EG11" s="488"/>
      <c r="EH11" s="487"/>
      <c r="EI11" s="488"/>
      <c r="EJ11" s="487"/>
      <c r="EK11" s="488"/>
      <c r="EL11" s="487"/>
      <c r="EM11" s="488"/>
      <c r="EN11" s="487"/>
      <c r="EO11" s="488"/>
      <c r="EP11" s="487"/>
      <c r="EQ11" s="488"/>
      <c r="ER11" s="487"/>
      <c r="ES11" s="488"/>
      <c r="ET11" s="487"/>
      <c r="EU11" s="488"/>
      <c r="EV11" s="487"/>
      <c r="EW11" s="488"/>
      <c r="EX11" s="487"/>
      <c r="EY11" s="488"/>
      <c r="EZ11" s="487"/>
      <c r="FA11" s="488"/>
      <c r="FB11" s="487"/>
      <c r="FC11" s="488"/>
      <c r="FD11" s="487"/>
      <c r="FE11" s="488"/>
      <c r="FF11" s="487"/>
      <c r="FG11" s="488"/>
      <c r="FH11" s="487"/>
      <c r="FI11" s="488"/>
      <c r="FJ11" s="487"/>
      <c r="FK11" s="488"/>
      <c r="FL11" s="487"/>
      <c r="FM11" s="488"/>
      <c r="FN11" s="487"/>
      <c r="FO11" s="488"/>
      <c r="FP11" s="487"/>
      <c r="FQ11" s="488"/>
      <c r="FR11" s="487"/>
      <c r="FS11" s="488"/>
      <c r="FT11" s="487"/>
      <c r="FU11" s="488"/>
      <c r="FV11" s="487"/>
      <c r="FW11" s="488"/>
      <c r="FX11" s="487"/>
      <c r="FY11" s="488"/>
      <c r="FZ11" s="487"/>
      <c r="GA11" s="488"/>
      <c r="GB11" s="487"/>
      <c r="GC11" s="488"/>
      <c r="GD11" s="487"/>
      <c r="GE11" s="488"/>
      <c r="GF11" s="487"/>
      <c r="GG11" s="488"/>
      <c r="GH11" s="487"/>
      <c r="GI11" s="488"/>
      <c r="GJ11" s="487"/>
      <c r="GK11" s="488"/>
      <c r="GL11" s="487"/>
      <c r="GM11" s="488"/>
      <c r="GN11" s="487"/>
      <c r="GO11" s="488"/>
      <c r="GP11" s="487"/>
      <c r="GQ11" s="488"/>
      <c r="GR11" s="487"/>
      <c r="GS11" s="488"/>
      <c r="GT11" s="487"/>
      <c r="GU11" s="488"/>
      <c r="GV11" s="487"/>
      <c r="GW11" s="488"/>
      <c r="GX11" s="487"/>
      <c r="GY11" s="488"/>
      <c r="GZ11" s="487"/>
      <c r="HA11" s="488"/>
      <c r="HB11" s="487"/>
      <c r="HC11" s="488"/>
      <c r="HD11" s="487"/>
      <c r="HE11" s="488"/>
      <c r="HF11" s="487"/>
      <c r="HG11" s="488"/>
      <c r="HH11" s="487"/>
      <c r="HI11" s="488"/>
      <c r="HJ11" s="487"/>
      <c r="HK11" s="488"/>
      <c r="HL11" s="487"/>
      <c r="HM11" s="488"/>
      <c r="HN11" s="487"/>
      <c r="HO11" s="488"/>
      <c r="HP11" s="487"/>
      <c r="HQ11" s="488"/>
      <c r="HR11" s="487"/>
      <c r="HS11" s="488"/>
      <c r="HT11" s="487"/>
      <c r="HU11" s="488"/>
      <c r="HV11" s="487"/>
      <c r="HW11" s="488"/>
      <c r="HX11" s="487"/>
      <c r="HY11" s="488"/>
      <c r="HZ11" s="487"/>
      <c r="IA11" s="488"/>
      <c r="IB11" s="487"/>
      <c r="IC11" s="488"/>
      <c r="ID11" s="487"/>
      <c r="IE11" s="488"/>
      <c r="IF11" s="487"/>
      <c r="IG11" s="488"/>
      <c r="IH11" s="487"/>
      <c r="II11" s="488"/>
      <c r="IJ11" s="487"/>
      <c r="IK11" s="488"/>
      <c r="IL11" s="487"/>
      <c r="IM11" s="488"/>
      <c r="IN11" s="487"/>
      <c r="IO11" s="488"/>
      <c r="IP11" s="487"/>
      <c r="IQ11" s="488"/>
      <c r="IR11" s="487"/>
      <c r="IS11" s="488"/>
      <c r="IT11" s="487"/>
      <c r="IU11" s="488"/>
      <c r="IV11" s="487"/>
    </row>
    <row r="12" spans="1:127" s="491" customFormat="1" ht="12" customHeight="1">
      <c r="A12" s="489" t="s">
        <v>671</v>
      </c>
      <c r="B12" s="490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</row>
    <row r="13" spans="1:127" s="491" customFormat="1" ht="12" customHeight="1">
      <c r="A13" s="492" t="s">
        <v>672</v>
      </c>
      <c r="B13" s="493">
        <v>238000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</row>
    <row r="14" spans="1:127" s="303" customFormat="1" ht="23.25" customHeight="1">
      <c r="A14" s="485" t="s">
        <v>673</v>
      </c>
      <c r="B14" s="486">
        <v>2034338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/>
      <c r="DV14" s="342"/>
      <c r="DW14" s="342"/>
    </row>
    <row r="15" spans="1:127" s="303" customFormat="1" ht="23.25" customHeight="1">
      <c r="A15" s="485" t="s">
        <v>674</v>
      </c>
      <c r="B15" s="486">
        <v>7944033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  <c r="DU15" s="342"/>
      <c r="DV15" s="342"/>
      <c r="DW15" s="342"/>
    </row>
    <row r="16" spans="1:127" s="303" customFormat="1" ht="23.25" customHeight="1">
      <c r="A16" s="485" t="s">
        <v>675</v>
      </c>
      <c r="B16" s="486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  <c r="DU16" s="342"/>
      <c r="DV16" s="342"/>
      <c r="DW16" s="342"/>
    </row>
    <row r="17" spans="1:127" s="303" customFormat="1" ht="23.25" customHeight="1">
      <c r="A17" s="494" t="s">
        <v>676</v>
      </c>
      <c r="B17" s="484">
        <f>SUM(B18:B19)</f>
        <v>10225103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</row>
    <row r="18" spans="1:127" s="303" customFormat="1" ht="23.25" customHeight="1">
      <c r="A18" s="485" t="s">
        <v>677</v>
      </c>
      <c r="B18" s="486">
        <v>10225103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</row>
    <row r="19" spans="1:127" s="303" customFormat="1" ht="23.25" customHeight="1">
      <c r="A19" s="485" t="s">
        <v>678</v>
      </c>
      <c r="B19" s="486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/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</row>
    <row r="20" spans="1:97" s="303" customFormat="1" ht="23.25" customHeight="1">
      <c r="A20" s="495" t="s">
        <v>679</v>
      </c>
      <c r="B20" s="496">
        <f>SUM(B10-B17)</f>
        <v>450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</row>
    <row r="21" spans="1:97" s="390" customFormat="1" ht="12.75">
      <c r="A21" s="474"/>
      <c r="B21" s="474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</row>
    <row r="22" spans="1:97" s="390" customFormat="1" ht="12.75">
      <c r="A22" s="474"/>
      <c r="B22" s="474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</row>
    <row r="23" spans="1:82" s="390" customFormat="1" ht="12.75">
      <c r="A23" s="474"/>
      <c r="B23" s="474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</row>
    <row r="24" spans="1:82" s="390" customFormat="1" ht="12.75">
      <c r="A24" s="474"/>
      <c r="B24" s="474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</row>
    <row r="25" spans="1:82" s="474" customFormat="1" ht="12.75">
      <c r="A25" s="390" t="s">
        <v>680</v>
      </c>
      <c r="B25" s="307" t="s">
        <v>378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</row>
    <row r="26" spans="1:82" s="474" customFormat="1" ht="12.75">
      <c r="A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</row>
    <row r="27" s="342" customFormat="1" ht="12"/>
    <row r="28" spans="1:2" s="342" customFormat="1" ht="14.25">
      <c r="A28" s="497"/>
      <c r="B28" s="498"/>
    </row>
    <row r="29" spans="1:2" s="342" customFormat="1" ht="14.25">
      <c r="A29" s="497"/>
      <c r="B29" s="498"/>
    </row>
    <row r="30" spans="1:2" s="342" customFormat="1" ht="14.25">
      <c r="A30" s="497"/>
      <c r="B30" s="499"/>
    </row>
    <row r="31" s="342" customFormat="1" ht="14.25">
      <c r="A31" s="497"/>
    </row>
    <row r="32" s="342" customFormat="1" ht="14.25">
      <c r="A32" s="497"/>
    </row>
    <row r="33" s="342" customFormat="1" ht="14.25">
      <c r="A33" s="497"/>
    </row>
    <row r="34" s="342" customFormat="1" ht="14.25">
      <c r="A34" s="497"/>
    </row>
    <row r="35" s="342" customFormat="1" ht="14.25">
      <c r="A35" s="497"/>
    </row>
    <row r="36" s="342" customFormat="1" ht="14.25">
      <c r="A36" s="497"/>
    </row>
    <row r="37" s="342" customFormat="1" ht="14.25">
      <c r="A37" s="497"/>
    </row>
    <row r="38" s="342" customFormat="1" ht="14.25">
      <c r="A38" s="497"/>
    </row>
    <row r="39" s="342" customFormat="1" ht="14.25">
      <c r="A39" s="497"/>
    </row>
    <row r="40" spans="1:82" ht="14.25">
      <c r="A40" s="497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/>
      <c r="BR40" s="342"/>
      <c r="BS40" s="342"/>
      <c r="BT40" s="342"/>
      <c r="BU40" s="342"/>
      <c r="BV40" s="342"/>
      <c r="BW40" s="342"/>
      <c r="BX40" s="342"/>
      <c r="BY40" s="342"/>
      <c r="BZ40" s="342"/>
      <c r="CA40" s="342"/>
      <c r="CB40" s="342"/>
      <c r="CC40" s="342"/>
      <c r="CD40" s="342"/>
    </row>
    <row r="41" spans="1:82" ht="14.25">
      <c r="A41" s="497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</row>
    <row r="42" spans="1:82" ht="14.25">
      <c r="A42" s="497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/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/>
      <c r="BR42" s="342"/>
      <c r="BS42" s="342"/>
      <c r="BT42" s="342"/>
      <c r="BU42" s="342"/>
      <c r="BV42" s="342"/>
      <c r="BW42" s="342"/>
      <c r="BX42" s="342"/>
      <c r="BY42" s="342"/>
      <c r="BZ42" s="342"/>
      <c r="CA42" s="342"/>
      <c r="CB42" s="342"/>
      <c r="CC42" s="342"/>
      <c r="CD42" s="342"/>
    </row>
    <row r="43" spans="1:82" ht="14.25">
      <c r="A43" s="497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</row>
    <row r="44" spans="1:82" ht="14.25">
      <c r="A44" s="497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  <c r="CD44" s="342"/>
    </row>
    <row r="45" spans="1:82" ht="14.25">
      <c r="A45" s="497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/>
      <c r="BR45" s="342"/>
      <c r="BS45" s="342"/>
      <c r="BT45" s="342"/>
      <c r="BU45" s="342"/>
      <c r="BV45" s="342"/>
      <c r="BW45" s="342"/>
      <c r="BX45" s="342"/>
      <c r="BY45" s="342"/>
      <c r="BZ45" s="342"/>
      <c r="CA45" s="342"/>
      <c r="CB45" s="342"/>
      <c r="CC45" s="342"/>
      <c r="CD45" s="342"/>
    </row>
    <row r="46" spans="1:82" ht="14.25">
      <c r="A46" s="497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2"/>
      <c r="BU46" s="342"/>
      <c r="BV46" s="342"/>
      <c r="BW46" s="342"/>
      <c r="BX46" s="342"/>
      <c r="BY46" s="342"/>
      <c r="BZ46" s="342"/>
      <c r="CA46" s="342"/>
      <c r="CB46" s="342"/>
      <c r="CC46" s="342"/>
      <c r="CD46" s="342"/>
    </row>
    <row r="47" spans="1:82" ht="14.25">
      <c r="A47" s="497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2"/>
      <c r="BU47" s="342"/>
      <c r="BV47" s="342"/>
      <c r="BW47" s="342"/>
      <c r="BX47" s="342"/>
      <c r="BY47" s="342"/>
      <c r="BZ47" s="342"/>
      <c r="CA47" s="342"/>
      <c r="CB47" s="342"/>
      <c r="CC47" s="342"/>
      <c r="CD47" s="342"/>
    </row>
    <row r="48" spans="1:82" ht="14.25">
      <c r="A48" s="497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42"/>
      <c r="BW48" s="342"/>
      <c r="BX48" s="342"/>
      <c r="BY48" s="342"/>
      <c r="BZ48" s="342"/>
      <c r="CA48" s="342"/>
      <c r="CB48" s="342"/>
      <c r="CC48" s="342"/>
      <c r="CD48" s="342"/>
    </row>
    <row r="49" spans="1:82" ht="14.25">
      <c r="A49" s="497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</row>
    <row r="50" spans="1:82" ht="14.25">
      <c r="A50" s="497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/>
      <c r="BD50" s="342"/>
      <c r="BE50" s="342"/>
      <c r="BF50" s="342"/>
      <c r="BG50" s="342"/>
      <c r="BH50" s="342"/>
      <c r="BI50" s="342"/>
      <c r="BJ50" s="342"/>
      <c r="BK50" s="342"/>
      <c r="BL50" s="342"/>
      <c r="BM50" s="342"/>
      <c r="BN50" s="342"/>
      <c r="BO50" s="342"/>
      <c r="BP50" s="342"/>
      <c r="BQ50" s="342"/>
      <c r="BR50" s="342"/>
      <c r="BS50" s="342"/>
      <c r="BT50" s="342"/>
      <c r="BU50" s="342"/>
      <c r="BV50" s="342"/>
      <c r="BW50" s="342"/>
      <c r="BX50" s="342"/>
      <c r="BY50" s="342"/>
      <c r="BZ50" s="342"/>
      <c r="CA50" s="342"/>
      <c r="CB50" s="342"/>
      <c r="CC50" s="342"/>
      <c r="CD50" s="342"/>
    </row>
    <row r="51" spans="1:82" ht="14.25">
      <c r="A51" s="497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E51" s="342"/>
      <c r="BF51" s="342"/>
      <c r="BG51" s="342"/>
      <c r="BH51" s="342"/>
      <c r="BI51" s="342"/>
      <c r="BJ51" s="342"/>
      <c r="BK51" s="342"/>
      <c r="BL51" s="342"/>
      <c r="BM51" s="342"/>
      <c r="BN51" s="342"/>
      <c r="BO51" s="342"/>
      <c r="BP51" s="342"/>
      <c r="BQ51" s="342"/>
      <c r="BR51" s="342"/>
      <c r="BS51" s="342"/>
      <c r="BT51" s="342"/>
      <c r="BU51" s="342"/>
      <c r="BV51" s="342"/>
      <c r="BW51" s="342"/>
      <c r="BX51" s="342"/>
      <c r="BY51" s="342"/>
      <c r="BZ51" s="342"/>
      <c r="CA51" s="342"/>
      <c r="CB51" s="342"/>
      <c r="CC51" s="342"/>
      <c r="CD51" s="342"/>
    </row>
    <row r="52" spans="1:82" ht="14.25">
      <c r="A52" s="497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2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342"/>
      <c r="BQ52" s="342"/>
      <c r="BR52" s="342"/>
      <c r="BS52" s="342"/>
      <c r="BT52" s="342"/>
      <c r="BU52" s="342"/>
      <c r="BV52" s="342"/>
      <c r="BW52" s="342"/>
      <c r="BX52" s="342"/>
      <c r="BY52" s="342"/>
      <c r="BZ52" s="342"/>
      <c r="CA52" s="342"/>
      <c r="CB52" s="342"/>
      <c r="CC52" s="342"/>
      <c r="CD52" s="342"/>
    </row>
    <row r="53" spans="1:82" ht="14.25">
      <c r="A53" s="497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</row>
    <row r="54" spans="1:82" ht="14.25">
      <c r="A54" s="497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/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</row>
    <row r="55" spans="1:82" ht="14.25">
      <c r="A55" s="497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</row>
    <row r="56" spans="1:82" ht="14.25">
      <c r="A56" s="497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  <c r="BB56" s="342"/>
      <c r="BC56" s="342"/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/>
      <c r="BR56" s="342"/>
      <c r="BS56" s="342"/>
      <c r="BT56" s="342"/>
      <c r="BU56" s="342"/>
      <c r="BV56" s="342"/>
      <c r="BW56" s="342"/>
      <c r="BX56" s="342"/>
      <c r="BY56" s="342"/>
      <c r="BZ56" s="342"/>
      <c r="CA56" s="342"/>
      <c r="CB56" s="342"/>
      <c r="CC56" s="342"/>
      <c r="CD56" s="342"/>
    </row>
    <row r="57" spans="12:82" ht="12"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/>
      <c r="BD57" s="342"/>
      <c r="BE57" s="342"/>
      <c r="BF57" s="342"/>
      <c r="BG57" s="342"/>
      <c r="BH57" s="342"/>
      <c r="BI57" s="342"/>
      <c r="BJ57" s="342"/>
      <c r="BK57" s="342"/>
      <c r="BL57" s="342"/>
      <c r="BM57" s="342"/>
      <c r="BN57" s="342"/>
      <c r="BO57" s="342"/>
      <c r="BP57" s="342"/>
      <c r="BQ57" s="342"/>
      <c r="BR57" s="342"/>
      <c r="BS57" s="342"/>
      <c r="BT57" s="342"/>
      <c r="BU57" s="342"/>
      <c r="BV57" s="342"/>
      <c r="BW57" s="342"/>
      <c r="BX57" s="342"/>
      <c r="BY57" s="342"/>
      <c r="BZ57" s="342"/>
      <c r="CA57" s="342"/>
      <c r="CB57" s="342"/>
      <c r="CC57" s="342"/>
      <c r="CD57" s="342"/>
    </row>
    <row r="58" spans="12:82" ht="12"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342"/>
      <c r="AO58" s="342"/>
      <c r="AP58" s="342"/>
      <c r="AQ58" s="342"/>
      <c r="AR58" s="342"/>
      <c r="AS58" s="342"/>
      <c r="AT58" s="342"/>
      <c r="AU58" s="342"/>
      <c r="AV58" s="342"/>
      <c r="AW58" s="342"/>
      <c r="AX58" s="342"/>
      <c r="AY58" s="342"/>
      <c r="AZ58" s="342"/>
      <c r="BA58" s="342"/>
      <c r="BB58" s="342"/>
      <c r="BC58" s="342"/>
      <c r="BD58" s="342"/>
      <c r="BE58" s="342"/>
      <c r="BF58" s="342"/>
      <c r="BG58" s="342"/>
      <c r="BH58" s="342"/>
      <c r="BI58" s="342"/>
      <c r="BJ58" s="342"/>
      <c r="BK58" s="342"/>
      <c r="BL58" s="342"/>
      <c r="BM58" s="342"/>
      <c r="BN58" s="342"/>
      <c r="BO58" s="342"/>
      <c r="BP58" s="342"/>
      <c r="BQ58" s="342"/>
      <c r="BR58" s="342"/>
      <c r="BS58" s="342"/>
      <c r="BT58" s="342"/>
      <c r="BU58" s="342"/>
      <c r="BV58" s="342"/>
      <c r="BW58" s="342"/>
      <c r="BX58" s="342"/>
      <c r="BY58" s="342"/>
      <c r="BZ58" s="342"/>
      <c r="CA58" s="342"/>
      <c r="CB58" s="342"/>
      <c r="CC58" s="342"/>
      <c r="CD58" s="342"/>
    </row>
    <row r="59" spans="12:82" ht="12"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  <c r="BB59" s="342"/>
      <c r="BC59" s="342"/>
      <c r="BD59" s="342"/>
      <c r="BE59" s="342"/>
      <c r="BF59" s="342"/>
      <c r="BG59" s="342"/>
      <c r="BH59" s="342"/>
      <c r="BI59" s="342"/>
      <c r="BJ59" s="342"/>
      <c r="BK59" s="342"/>
      <c r="BL59" s="342"/>
      <c r="BM59" s="342"/>
      <c r="BN59" s="342"/>
      <c r="BO59" s="342"/>
      <c r="BP59" s="342"/>
      <c r="BQ59" s="342"/>
      <c r="BR59" s="342"/>
      <c r="BS59" s="342"/>
      <c r="BT59" s="342"/>
      <c r="BU59" s="342"/>
      <c r="BV59" s="342"/>
      <c r="BW59" s="342"/>
      <c r="BX59" s="342"/>
      <c r="BY59" s="342"/>
      <c r="BZ59" s="342"/>
      <c r="CA59" s="342"/>
      <c r="CB59" s="342"/>
      <c r="CC59" s="342"/>
      <c r="CD59" s="342"/>
    </row>
    <row r="60" spans="12:82" ht="12"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2"/>
      <c r="BE60" s="342"/>
      <c r="BF60" s="342"/>
      <c r="BG60" s="342"/>
      <c r="BH60" s="342"/>
      <c r="BI60" s="342"/>
      <c r="BJ60" s="342"/>
      <c r="BK60" s="342"/>
      <c r="BL60" s="342"/>
      <c r="BM60" s="342"/>
      <c r="BN60" s="342"/>
      <c r="BO60" s="342"/>
      <c r="BP60" s="342"/>
      <c r="BQ60" s="342"/>
      <c r="BR60" s="342"/>
      <c r="BS60" s="342"/>
      <c r="BT60" s="342"/>
      <c r="BU60" s="342"/>
      <c r="BV60" s="342"/>
      <c r="BW60" s="342"/>
      <c r="BX60" s="342"/>
      <c r="BY60" s="342"/>
      <c r="BZ60" s="342"/>
      <c r="CA60" s="342"/>
      <c r="CB60" s="342"/>
      <c r="CC60" s="342"/>
      <c r="CD60" s="342"/>
    </row>
    <row r="61" spans="12:82" ht="12"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2"/>
      <c r="AX61" s="342"/>
      <c r="AY61" s="342"/>
      <c r="AZ61" s="342"/>
      <c r="BA61" s="342"/>
      <c r="BB61" s="342"/>
      <c r="BC61" s="342"/>
      <c r="BD61" s="342"/>
      <c r="BE61" s="342"/>
      <c r="BF61" s="342"/>
      <c r="BG61" s="342"/>
      <c r="BH61" s="342"/>
      <c r="BI61" s="342"/>
      <c r="BJ61" s="342"/>
      <c r="BK61" s="342"/>
      <c r="BL61" s="342"/>
      <c r="BM61" s="342"/>
      <c r="BN61" s="342"/>
      <c r="BO61" s="342"/>
      <c r="BP61" s="342"/>
      <c r="BQ61" s="342"/>
      <c r="BR61" s="342"/>
      <c r="BS61" s="342"/>
      <c r="BT61" s="342"/>
      <c r="BU61" s="342"/>
      <c r="BV61" s="342"/>
      <c r="BW61" s="342"/>
      <c r="BX61" s="342"/>
      <c r="BY61" s="342"/>
      <c r="BZ61" s="342"/>
      <c r="CA61" s="342"/>
      <c r="CB61" s="342"/>
      <c r="CC61" s="342"/>
      <c r="CD61" s="342"/>
    </row>
    <row r="62" spans="12:82" ht="12"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2"/>
      <c r="BA62" s="342"/>
      <c r="BB62" s="342"/>
      <c r="BC62" s="342"/>
      <c r="BD62" s="342"/>
      <c r="BE62" s="342"/>
      <c r="BF62" s="342"/>
      <c r="BG62" s="342"/>
      <c r="BH62" s="342"/>
      <c r="BI62" s="342"/>
      <c r="BJ62" s="342"/>
      <c r="BK62" s="342"/>
      <c r="BL62" s="342"/>
      <c r="BM62" s="342"/>
      <c r="BN62" s="342"/>
      <c r="BO62" s="342"/>
      <c r="BP62" s="342"/>
      <c r="BQ62" s="342"/>
      <c r="BR62" s="342"/>
      <c r="BS62" s="342"/>
      <c r="BT62" s="342"/>
      <c r="BU62" s="342"/>
      <c r="BV62" s="342"/>
      <c r="BW62" s="342"/>
      <c r="BX62" s="342"/>
      <c r="BY62" s="342"/>
      <c r="BZ62" s="342"/>
      <c r="CA62" s="342"/>
      <c r="CB62" s="342"/>
      <c r="CC62" s="342"/>
      <c r="CD62" s="342"/>
    </row>
  </sheetData>
  <printOptions/>
  <pageMargins left="1.33" right="0.53" top="1.98" bottom="0.984251968503937" header="0.5118110236220472" footer="0.5118110236220472"/>
  <pageSetup horizontalDpi="300" verticalDpi="300" orientation="portrait" paperSize="9" r:id="rId1"/>
  <headerFooter alignWithMargins="0">
    <oddFooter>&amp;L&amp;"Arial,Regular"&amp;8Valsts kase / Pārskatu departaments
17.05.99.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C96"/>
  <sheetViews>
    <sheetView workbookViewId="0" topLeftCell="F1">
      <selection activeCell="H12" sqref="H12"/>
    </sheetView>
  </sheetViews>
  <sheetFormatPr defaultColWidth="9.140625" defaultRowHeight="12.75"/>
  <cols>
    <col min="1" max="1" width="49.57421875" style="1" hidden="1" customWidth="1"/>
    <col min="2" max="2" width="12.7109375" style="2" hidden="1" customWidth="1"/>
    <col min="3" max="3" width="12.140625" style="1" hidden="1" customWidth="1"/>
    <col min="4" max="4" width="10.28125" style="1" hidden="1" customWidth="1"/>
    <col min="5" max="5" width="13.421875" style="1" hidden="1" customWidth="1"/>
    <col min="6" max="6" width="47.7109375" style="0" customWidth="1"/>
    <col min="7" max="7" width="10.7109375" style="0" customWidth="1"/>
    <col min="8" max="8" width="11.00390625" style="0" customWidth="1"/>
    <col min="9" max="9" width="10.00390625" style="0" customWidth="1"/>
    <col min="10" max="10" width="9.421875" style="0" customWidth="1"/>
    <col min="212" max="16384" width="9.140625" style="1" customWidth="1"/>
  </cols>
  <sheetData>
    <row r="1" spans="5:10" ht="12.75">
      <c r="E1" s="1" t="s">
        <v>0</v>
      </c>
      <c r="F1" s="1"/>
      <c r="G1" s="2"/>
      <c r="H1" s="1"/>
      <c r="I1" s="1"/>
      <c r="J1" s="1" t="s">
        <v>0</v>
      </c>
    </row>
    <row r="2" spans="1:10" ht="18" customHeight="1">
      <c r="A2" s="3" t="s">
        <v>1</v>
      </c>
      <c r="B2" s="4"/>
      <c r="C2" s="3"/>
      <c r="D2" s="3"/>
      <c r="E2" s="3"/>
      <c r="F2" s="3" t="s">
        <v>1</v>
      </c>
      <c r="G2" s="4"/>
      <c r="H2" s="3"/>
      <c r="I2" s="3"/>
      <c r="J2" s="3"/>
    </row>
    <row r="3" spans="6:10" ht="9.75" customHeight="1">
      <c r="F3" s="1"/>
      <c r="G3" s="2"/>
      <c r="H3" s="1"/>
      <c r="I3" s="1"/>
      <c r="J3" s="1"/>
    </row>
    <row r="4" spans="1:10" ht="18.75" customHeight="1">
      <c r="A4" s="280" t="s">
        <v>2</v>
      </c>
      <c r="B4" s="280"/>
      <c r="C4" s="280"/>
      <c r="D4" s="280"/>
      <c r="E4" s="280"/>
      <c r="F4" s="280" t="s">
        <v>3</v>
      </c>
      <c r="G4" s="280"/>
      <c r="H4" s="280"/>
      <c r="I4" s="280"/>
      <c r="J4" s="280"/>
    </row>
    <row r="5" spans="1:10" ht="15.75" customHeight="1">
      <c r="A5" s="5"/>
      <c r="B5" s="4"/>
      <c r="C5" s="3"/>
      <c r="D5" s="6"/>
      <c r="E5" s="6"/>
      <c r="F5" s="5"/>
      <c r="G5" s="4"/>
      <c r="H5" s="3"/>
      <c r="I5" s="6"/>
      <c r="J5" s="6" t="s">
        <v>4</v>
      </c>
    </row>
    <row r="6" spans="1:10" ht="45">
      <c r="A6" s="7" t="s">
        <v>5</v>
      </c>
      <c r="B6" s="8" t="s">
        <v>6</v>
      </c>
      <c r="C6" s="7" t="s">
        <v>7</v>
      </c>
      <c r="D6" s="7" t="s">
        <v>8</v>
      </c>
      <c r="E6" s="7" t="s">
        <v>9</v>
      </c>
      <c r="F6" s="7" t="s">
        <v>5</v>
      </c>
      <c r="G6" s="8" t="s">
        <v>6</v>
      </c>
      <c r="H6" s="7" t="s">
        <v>7</v>
      </c>
      <c r="I6" s="7" t="s">
        <v>8</v>
      </c>
      <c r="J6" s="7" t="s">
        <v>9</v>
      </c>
    </row>
    <row r="7" spans="1:10" ht="12.75">
      <c r="A7" s="7">
        <v>1</v>
      </c>
      <c r="B7" s="8">
        <v>2</v>
      </c>
      <c r="C7" s="7">
        <v>3</v>
      </c>
      <c r="D7" s="7">
        <v>4</v>
      </c>
      <c r="E7" s="7">
        <v>5</v>
      </c>
      <c r="F7" s="7">
        <v>1</v>
      </c>
      <c r="G7" s="8">
        <v>2</v>
      </c>
      <c r="H7" s="7">
        <v>3</v>
      </c>
      <c r="I7" s="7">
        <v>4</v>
      </c>
      <c r="J7" s="7">
        <v>5</v>
      </c>
    </row>
    <row r="8" spans="1:10" ht="30" customHeight="1">
      <c r="A8" s="9" t="s">
        <v>10</v>
      </c>
      <c r="B8" s="38">
        <f>SUM(B21,B29)</f>
        <v>1414534845</v>
      </c>
      <c r="C8" s="38">
        <f>SUM(C21,C29)</f>
        <v>404069000</v>
      </c>
      <c r="D8" s="39">
        <f>IF(ISERROR(C8/B8)," ",(C8/B8))</f>
        <v>0.2856550345353988</v>
      </c>
      <c r="E8" s="38">
        <f>SUM(E21,E29)</f>
        <v>102926671</v>
      </c>
      <c r="F8" s="9" t="s">
        <v>10</v>
      </c>
      <c r="G8" s="10">
        <v>1414536</v>
      </c>
      <c r="H8" s="10">
        <v>404069</v>
      </c>
      <c r="I8" s="11">
        <v>0.285654801291731</v>
      </c>
      <c r="J8" s="10">
        <v>102926</v>
      </c>
    </row>
    <row r="9" spans="1:10" ht="29.25" customHeight="1">
      <c r="A9" s="12" t="s">
        <v>11</v>
      </c>
      <c r="B9" s="38">
        <f>SUM(B10,B18,B19)</f>
        <v>720918773</v>
      </c>
      <c r="C9" s="38">
        <f>SUM(C10,C18,C19)</f>
        <v>208688000</v>
      </c>
      <c r="D9" s="39">
        <f aca="true" t="shared" si="0" ref="D9:D45">IF(ISERROR(C9/B9)," ",(C9/B9))</f>
        <v>0.28947505296827664</v>
      </c>
      <c r="E9" s="38">
        <f>SUM(E10,E18,E19)</f>
        <v>48331245</v>
      </c>
      <c r="F9" s="12" t="s">
        <v>11</v>
      </c>
      <c r="G9" s="13">
        <v>720919</v>
      </c>
      <c r="H9" s="13">
        <v>208688</v>
      </c>
      <c r="I9" s="14">
        <v>0.2894749618195664</v>
      </c>
      <c r="J9" s="13">
        <v>48331</v>
      </c>
    </row>
    <row r="10" spans="1:10" ht="19.5" customHeight="1">
      <c r="A10" s="15" t="s">
        <v>12</v>
      </c>
      <c r="B10" s="16">
        <f>SUM(B11,B13,B17)</f>
        <v>577462850</v>
      </c>
      <c r="C10" s="16">
        <f>SUM(C11,C13,C17)</f>
        <v>176886000</v>
      </c>
      <c r="D10" s="40">
        <f t="shared" si="0"/>
        <v>0.30631580888709986</v>
      </c>
      <c r="E10" s="16">
        <f>SUM(E11,E13,E17)</f>
        <v>41128260</v>
      </c>
      <c r="F10" s="15" t="s">
        <v>12</v>
      </c>
      <c r="G10" s="16">
        <v>577463</v>
      </c>
      <c r="H10" s="16">
        <v>176886</v>
      </c>
      <c r="I10" s="17">
        <v>0.3063157293194542</v>
      </c>
      <c r="J10" s="16">
        <v>41129</v>
      </c>
    </row>
    <row r="11" spans="1:10" ht="15.75" customHeight="1">
      <c r="A11" s="18" t="s">
        <v>13</v>
      </c>
      <c r="B11" s="16">
        <f>SUM(B12)</f>
        <v>90900000</v>
      </c>
      <c r="C11" s="16">
        <f>SUM(C12)</f>
        <v>32525000</v>
      </c>
      <c r="D11" s="40">
        <f t="shared" si="0"/>
        <v>0.3578107810781078</v>
      </c>
      <c r="E11" s="16">
        <f>SUM(E12)</f>
        <v>8271653</v>
      </c>
      <c r="F11" s="18" t="s">
        <v>13</v>
      </c>
      <c r="G11" s="16">
        <v>90900</v>
      </c>
      <c r="H11" s="16">
        <v>32525</v>
      </c>
      <c r="I11" s="17">
        <v>0.3578107810781078</v>
      </c>
      <c r="J11" s="16">
        <v>8272</v>
      </c>
    </row>
    <row r="12" spans="1:10" ht="15.75" customHeight="1">
      <c r="A12" s="19" t="s">
        <v>14</v>
      </c>
      <c r="B12" s="16">
        <f>90900000</f>
        <v>90900000</v>
      </c>
      <c r="C12" s="16">
        <v>32525000</v>
      </c>
      <c r="D12" s="40">
        <f t="shared" si="0"/>
        <v>0.3578107810781078</v>
      </c>
      <c r="E12" s="16">
        <f>C12-'[1]Marts'!C12</f>
        <v>8271653</v>
      </c>
      <c r="F12" s="19" t="s">
        <v>14</v>
      </c>
      <c r="G12" s="16">
        <v>90900</v>
      </c>
      <c r="H12" s="16">
        <v>32525</v>
      </c>
      <c r="I12" s="17">
        <v>0.3578107810781078</v>
      </c>
      <c r="J12" s="16">
        <v>8272</v>
      </c>
    </row>
    <row r="13" spans="1:10" ht="16.5" customHeight="1">
      <c r="A13" s="18" t="s">
        <v>15</v>
      </c>
      <c r="B13" s="16">
        <f>SUM(B14:B16)</f>
        <v>486562850</v>
      </c>
      <c r="C13" s="16">
        <f>SUM(C14:C16)</f>
        <v>139460000</v>
      </c>
      <c r="D13" s="40">
        <f t="shared" si="0"/>
        <v>0.2866227867581752</v>
      </c>
      <c r="E13" s="16">
        <f>SUM(E14:E16)</f>
        <v>34521825</v>
      </c>
      <c r="F13" s="18" t="s">
        <v>15</v>
      </c>
      <c r="G13" s="16">
        <v>486563</v>
      </c>
      <c r="H13" s="16">
        <v>139460</v>
      </c>
      <c r="I13" s="17">
        <v>0.2866226983967133</v>
      </c>
      <c r="J13" s="16">
        <v>34522</v>
      </c>
    </row>
    <row r="14" spans="1:10" ht="17.25" customHeight="1">
      <c r="A14" s="20" t="s">
        <v>16</v>
      </c>
      <c r="B14" s="16">
        <v>345763150</v>
      </c>
      <c r="C14" s="16">
        <v>99592000</v>
      </c>
      <c r="D14" s="40">
        <f t="shared" si="0"/>
        <v>0.28803532128857573</v>
      </c>
      <c r="E14" s="16">
        <f>C14-'[1]Marts'!C14</f>
        <v>24248570</v>
      </c>
      <c r="F14" s="20" t="s">
        <v>16</v>
      </c>
      <c r="G14" s="16">
        <v>345763</v>
      </c>
      <c r="H14" s="16">
        <v>99592</v>
      </c>
      <c r="I14" s="17">
        <v>0.2880354462449713</v>
      </c>
      <c r="J14" s="16">
        <v>24249</v>
      </c>
    </row>
    <row r="15" spans="1:10" ht="17.25" customHeight="1">
      <c r="A15" s="19" t="s">
        <v>17</v>
      </c>
      <c r="B15" s="16">
        <v>122199700</v>
      </c>
      <c r="C15" s="16">
        <v>34936000</v>
      </c>
      <c r="D15" s="40">
        <f t="shared" si="0"/>
        <v>0.2858926822242608</v>
      </c>
      <c r="E15" s="16">
        <f>C15-'[1]Marts'!C15</f>
        <v>8919962</v>
      </c>
      <c r="F15" s="19" t="s">
        <v>17</v>
      </c>
      <c r="G15" s="16">
        <v>122200</v>
      </c>
      <c r="H15" s="16">
        <v>34936</v>
      </c>
      <c r="I15" s="17">
        <v>0.28589198036006547</v>
      </c>
      <c r="J15" s="16">
        <v>8920</v>
      </c>
    </row>
    <row r="16" spans="1:10" ht="16.5" customHeight="1">
      <c r="A16" s="19" t="s">
        <v>18</v>
      </c>
      <c r="B16" s="16">
        <v>18600000</v>
      </c>
      <c r="C16" s="16">
        <v>4932000</v>
      </c>
      <c r="D16" s="40">
        <f t="shared" si="0"/>
        <v>0.2651612903225806</v>
      </c>
      <c r="E16" s="16">
        <f>C16-'[1]Marts'!C16</f>
        <v>1353293</v>
      </c>
      <c r="F16" s="19" t="s">
        <v>18</v>
      </c>
      <c r="G16" s="16">
        <v>18600</v>
      </c>
      <c r="H16" s="16">
        <v>4932</v>
      </c>
      <c r="I16" s="17">
        <v>0.2651612903225806</v>
      </c>
      <c r="J16" s="16">
        <v>1353</v>
      </c>
    </row>
    <row r="17" spans="1:10" ht="15.75" customHeight="1">
      <c r="A17" s="18" t="s">
        <v>19</v>
      </c>
      <c r="B17" s="16"/>
      <c r="C17" s="16">
        <v>4901000</v>
      </c>
      <c r="D17" s="40" t="str">
        <f t="shared" si="0"/>
        <v> </v>
      </c>
      <c r="E17" s="16">
        <f>C17-'[1]Marts'!C17</f>
        <v>-1665218</v>
      </c>
      <c r="F17" s="18" t="s">
        <v>19</v>
      </c>
      <c r="G17" s="16">
        <v>0</v>
      </c>
      <c r="H17" s="16">
        <v>4901</v>
      </c>
      <c r="I17" s="17" t="s">
        <v>92</v>
      </c>
      <c r="J17" s="16">
        <v>-1665</v>
      </c>
    </row>
    <row r="18" spans="1:10" ht="12.75">
      <c r="A18" s="15" t="s">
        <v>20</v>
      </c>
      <c r="B18" s="16">
        <v>80229200</v>
      </c>
      <c r="C18" s="16">
        <v>13044000</v>
      </c>
      <c r="D18" s="40">
        <f t="shared" si="0"/>
        <v>0.1625841962776645</v>
      </c>
      <c r="E18" s="16">
        <f>C18-'[1]Marts'!C18</f>
        <v>4679231</v>
      </c>
      <c r="F18" s="15" t="s">
        <v>20</v>
      </c>
      <c r="G18" s="16">
        <v>80229</v>
      </c>
      <c r="H18" s="16">
        <v>13044</v>
      </c>
      <c r="I18" s="17">
        <v>0.16258460157798302</v>
      </c>
      <c r="J18" s="16">
        <v>4679</v>
      </c>
    </row>
    <row r="19" spans="1:10" ht="15.75" customHeight="1">
      <c r="A19" s="21" t="s">
        <v>21</v>
      </c>
      <c r="B19" s="16">
        <v>63226723</v>
      </c>
      <c r="C19" s="16">
        <v>18758000</v>
      </c>
      <c r="D19" s="40">
        <f t="shared" si="0"/>
        <v>0.2966783522846819</v>
      </c>
      <c r="E19" s="16">
        <f>C19-'[1]Marts'!C19</f>
        <v>2523754</v>
      </c>
      <c r="F19" s="21" t="s">
        <v>21</v>
      </c>
      <c r="G19" s="16">
        <v>63227</v>
      </c>
      <c r="H19" s="16">
        <v>18758</v>
      </c>
      <c r="I19" s="17">
        <v>0.29667705252502885</v>
      </c>
      <c r="J19" s="16">
        <v>2523</v>
      </c>
    </row>
    <row r="20" spans="1:10" ht="15.75" customHeight="1">
      <c r="A20" s="22" t="s">
        <v>22</v>
      </c>
      <c r="B20" s="16">
        <v>49213200</v>
      </c>
      <c r="C20" s="16">
        <v>1834000</v>
      </c>
      <c r="D20" s="40">
        <f t="shared" si="0"/>
        <v>0.03726642445522746</v>
      </c>
      <c r="E20" s="16">
        <f>C20-'[1]Marts'!C20</f>
        <v>1508998</v>
      </c>
      <c r="F20" s="22" t="s">
        <v>23</v>
      </c>
      <c r="G20" s="23">
        <v>49213</v>
      </c>
      <c r="H20" s="23">
        <v>1834</v>
      </c>
      <c r="I20" s="24">
        <v>0.03726657590474062</v>
      </c>
      <c r="J20" s="16">
        <v>1509</v>
      </c>
    </row>
    <row r="21" spans="1:10" ht="19.5" customHeight="1">
      <c r="A21" s="12" t="s">
        <v>24</v>
      </c>
      <c r="B21" s="38">
        <f>SUM(B9-B20)</f>
        <v>671705573</v>
      </c>
      <c r="C21" s="38">
        <f>SUM(C9-C20)</f>
        <v>206854000</v>
      </c>
      <c r="D21" s="39">
        <f t="shared" si="0"/>
        <v>0.3079533776623884</v>
      </c>
      <c r="E21" s="38">
        <f>SUM(E9-E20)</f>
        <v>46822247</v>
      </c>
      <c r="F21" s="12" t="s">
        <v>24</v>
      </c>
      <c r="G21" s="13">
        <v>671706</v>
      </c>
      <c r="H21" s="13">
        <v>206854</v>
      </c>
      <c r="I21" s="14">
        <v>0.3079531818980328</v>
      </c>
      <c r="J21" s="13">
        <v>46822</v>
      </c>
    </row>
    <row r="22" spans="1:10" ht="20.25" customHeight="1">
      <c r="A22" s="25" t="s">
        <v>25</v>
      </c>
      <c r="B22" s="38">
        <f>SUM(B23)</f>
        <v>810358111</v>
      </c>
      <c r="C22" s="38">
        <f>SUM(C23)</f>
        <v>215375000</v>
      </c>
      <c r="D22" s="39">
        <f t="shared" si="0"/>
        <v>0.2657775581887154</v>
      </c>
      <c r="E22" s="38">
        <f>SUM(E23)</f>
        <v>68536257</v>
      </c>
      <c r="F22" s="25" t="s">
        <v>25</v>
      </c>
      <c r="G22" s="13">
        <v>810359</v>
      </c>
      <c r="H22" s="13">
        <v>215375</v>
      </c>
      <c r="I22" s="14">
        <v>0.2657772666188689</v>
      </c>
      <c r="J22" s="13">
        <v>68536</v>
      </c>
    </row>
    <row r="23" spans="1:10" ht="12.75">
      <c r="A23" s="15" t="s">
        <v>26</v>
      </c>
      <c r="B23" s="16">
        <f>SUM(B24:B27)</f>
        <v>810358111</v>
      </c>
      <c r="C23" s="16">
        <f>SUM(C24:C27)</f>
        <v>215375000</v>
      </c>
      <c r="D23" s="40">
        <f t="shared" si="0"/>
        <v>0.2657775581887154</v>
      </c>
      <c r="E23" s="16">
        <f>SUM(E24:E27)</f>
        <v>68536257</v>
      </c>
      <c r="F23" s="15" t="s">
        <v>26</v>
      </c>
      <c r="G23" s="16">
        <v>810359</v>
      </c>
      <c r="H23" s="16">
        <v>215375</v>
      </c>
      <c r="I23" s="17">
        <v>0.2657772666188689</v>
      </c>
      <c r="J23" s="16">
        <v>68536</v>
      </c>
    </row>
    <row r="24" spans="1:211" s="37" customFormat="1" ht="12.75">
      <c r="A24" s="19" t="s">
        <v>27</v>
      </c>
      <c r="B24" s="16">
        <v>472550000</v>
      </c>
      <c r="C24" s="16">
        <v>139444572</v>
      </c>
      <c r="D24" s="40">
        <f t="shared" si="0"/>
        <v>0.2950895608930272</v>
      </c>
      <c r="E24" s="16">
        <f>C24-'[1]Marts'!C24</f>
        <v>37308572</v>
      </c>
      <c r="F24" s="19" t="s">
        <v>27</v>
      </c>
      <c r="G24" s="16">
        <v>472550</v>
      </c>
      <c r="H24" s="16">
        <v>139445</v>
      </c>
      <c r="I24" s="17">
        <v>0.29509046661728916</v>
      </c>
      <c r="J24" s="16">
        <v>37309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</row>
    <row r="25" spans="1:211" s="37" customFormat="1" ht="12.75">
      <c r="A25" s="26" t="s">
        <v>28</v>
      </c>
      <c r="B25" s="16">
        <v>71100000</v>
      </c>
      <c r="C25" s="16">
        <v>11960000</v>
      </c>
      <c r="D25" s="40">
        <f t="shared" si="0"/>
        <v>0.1682137834036568</v>
      </c>
      <c r="E25" s="16">
        <f>C25-'[1]Marts'!C25</f>
        <v>4329685</v>
      </c>
      <c r="F25" s="26" t="s">
        <v>28</v>
      </c>
      <c r="G25" s="16">
        <v>71100</v>
      </c>
      <c r="H25" s="16">
        <v>11960</v>
      </c>
      <c r="I25" s="17">
        <v>0.1682137834036568</v>
      </c>
      <c r="J25" s="16">
        <v>4330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</row>
    <row r="26" spans="1:211" s="37" customFormat="1" ht="12.75">
      <c r="A26" s="26" t="s">
        <v>29</v>
      </c>
      <c r="B26" s="16">
        <v>69125600</v>
      </c>
      <c r="C26" s="16">
        <v>21903000</v>
      </c>
      <c r="D26" s="40">
        <f t="shared" si="0"/>
        <v>0.3168580091890703</v>
      </c>
      <c r="E26" s="16">
        <f>C26-'[1]Marts'!C26</f>
        <v>5599774</v>
      </c>
      <c r="F26" s="26" t="s">
        <v>29</v>
      </c>
      <c r="G26" s="16">
        <v>69126</v>
      </c>
      <c r="H26" s="16">
        <v>21903</v>
      </c>
      <c r="I26" s="17">
        <v>0.3168561756791945</v>
      </c>
      <c r="J26" s="16">
        <v>5600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</row>
    <row r="27" spans="1:211" s="37" customFormat="1" ht="12.75">
      <c r="A27" s="19" t="s">
        <v>30</v>
      </c>
      <c r="B27" s="16">
        <v>197582511</v>
      </c>
      <c r="C27" s="16">
        <f>215375000-173307572</f>
        <v>42067428</v>
      </c>
      <c r="D27" s="40">
        <f t="shared" si="0"/>
        <v>0.2129106862094692</v>
      </c>
      <c r="E27" s="16">
        <f>C27-'[1]Marts'!C27</f>
        <v>21298226</v>
      </c>
      <c r="F27" s="19" t="s">
        <v>30</v>
      </c>
      <c r="G27" s="16">
        <v>197583</v>
      </c>
      <c r="H27" s="16">
        <v>42067</v>
      </c>
      <c r="I27" s="17">
        <v>0.21290799309657207</v>
      </c>
      <c r="J27" s="16">
        <v>21297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</row>
    <row r="28" spans="1:211" s="37" customFormat="1" ht="12.75">
      <c r="A28" s="27" t="s">
        <v>31</v>
      </c>
      <c r="B28" s="16">
        <v>67528839</v>
      </c>
      <c r="C28" s="16">
        <v>18160000</v>
      </c>
      <c r="D28" s="40">
        <f t="shared" si="0"/>
        <v>0.26892214154607336</v>
      </c>
      <c r="E28" s="16">
        <f>C28-'[1]Marts'!C28</f>
        <v>12431833</v>
      </c>
      <c r="F28" s="27" t="s">
        <v>32</v>
      </c>
      <c r="G28" s="23">
        <v>67529</v>
      </c>
      <c r="H28" s="23">
        <v>18160</v>
      </c>
      <c r="I28" s="24">
        <v>0.268921500392424</v>
      </c>
      <c r="J28" s="16">
        <v>12432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</row>
    <row r="29" spans="1:10" ht="22.5" customHeight="1">
      <c r="A29" s="12" t="s">
        <v>33</v>
      </c>
      <c r="B29" s="38">
        <f>SUM(B22-B28)</f>
        <v>742829272</v>
      </c>
      <c r="C29" s="38">
        <f>SUM(C22-C28)</f>
        <v>197215000</v>
      </c>
      <c r="D29" s="39">
        <f t="shared" si="0"/>
        <v>0.2654916916090512</v>
      </c>
      <c r="E29" s="38">
        <f>SUM(E22-E28)</f>
        <v>56104424</v>
      </c>
      <c r="F29" s="12" t="s">
        <v>33</v>
      </c>
      <c r="G29" s="13">
        <v>742830</v>
      </c>
      <c r="H29" s="13">
        <v>197215</v>
      </c>
      <c r="I29" s="14">
        <v>0.26549143141768644</v>
      </c>
      <c r="J29" s="13">
        <v>56104</v>
      </c>
    </row>
    <row r="30" spans="1:10" ht="29.25" customHeight="1">
      <c r="A30" s="28" t="s">
        <v>34</v>
      </c>
      <c r="B30" s="38">
        <f>SUM(B31:B33)</f>
        <v>1475060465</v>
      </c>
      <c r="C30" s="38">
        <f>SUM(C31:C33)</f>
        <v>427649644</v>
      </c>
      <c r="D30" s="39">
        <f t="shared" si="0"/>
        <v>0.2899200772762898</v>
      </c>
      <c r="E30" s="38">
        <f>SUM(E31:E33)</f>
        <v>118873788</v>
      </c>
      <c r="F30" s="28" t="s">
        <v>34</v>
      </c>
      <c r="G30" s="10">
        <v>1475061</v>
      </c>
      <c r="H30" s="10">
        <v>427650</v>
      </c>
      <c r="I30" s="11">
        <v>0.2899202134691379</v>
      </c>
      <c r="J30" s="10">
        <v>118874</v>
      </c>
    </row>
    <row r="31" spans="1:10" ht="28.5" customHeight="1">
      <c r="A31" s="28" t="s">
        <v>35</v>
      </c>
      <c r="B31" s="38">
        <f>SUM(B43+B65)</f>
        <v>1343452121</v>
      </c>
      <c r="C31" s="38">
        <f>SUM(C43+C65)</f>
        <v>411336000</v>
      </c>
      <c r="D31" s="39">
        <f t="shared" si="0"/>
        <v>0.306178384454685</v>
      </c>
      <c r="E31" s="38">
        <f>SUM(E43+E65)</f>
        <v>111068764</v>
      </c>
      <c r="F31" s="28" t="s">
        <v>36</v>
      </c>
      <c r="G31" s="10">
        <v>1343453</v>
      </c>
      <c r="H31" s="10">
        <v>411336</v>
      </c>
      <c r="I31" s="11">
        <v>0.3061781841270219</v>
      </c>
      <c r="J31" s="10">
        <v>111069</v>
      </c>
    </row>
    <row r="32" spans="1:10" ht="25.5" customHeight="1">
      <c r="A32" s="28" t="s">
        <v>37</v>
      </c>
      <c r="B32" s="38">
        <f>SUM(B45+B67)</f>
        <v>43264522</v>
      </c>
      <c r="C32" s="38">
        <f>SUM(C45+C67)</f>
        <v>4569000</v>
      </c>
      <c r="D32" s="39">
        <f t="shared" si="0"/>
        <v>0.10560615924521251</v>
      </c>
      <c r="E32" s="38">
        <f>SUM(E45+E67)</f>
        <v>2175838</v>
      </c>
      <c r="F32" s="28" t="s">
        <v>38</v>
      </c>
      <c r="G32" s="10">
        <v>43264</v>
      </c>
      <c r="H32" s="10">
        <v>4569</v>
      </c>
      <c r="I32" s="11">
        <v>0.10560743343195267</v>
      </c>
      <c r="J32" s="10">
        <v>2175</v>
      </c>
    </row>
    <row r="33" spans="1:10" ht="30" customHeight="1">
      <c r="A33" s="28" t="s">
        <v>39</v>
      </c>
      <c r="B33" s="38">
        <f>SUM(B50+B69)</f>
        <v>88343822</v>
      </c>
      <c r="C33" s="38">
        <f>SUM(C50+C69)</f>
        <v>11744644</v>
      </c>
      <c r="D33" s="39">
        <f t="shared" si="0"/>
        <v>0.132942448426105</v>
      </c>
      <c r="E33" s="38">
        <f>SUM(E50+E69)</f>
        <v>5629186</v>
      </c>
      <c r="F33" s="28" t="s">
        <v>40</v>
      </c>
      <c r="G33" s="10">
        <v>88344</v>
      </c>
      <c r="H33" s="10">
        <v>11745</v>
      </c>
      <c r="I33" s="11">
        <v>0.13294621026894865</v>
      </c>
      <c r="J33" s="10">
        <v>5630</v>
      </c>
    </row>
    <row r="34" spans="1:10" ht="29.25" customHeight="1">
      <c r="A34" s="28" t="s">
        <v>41</v>
      </c>
      <c r="B34" s="38">
        <f>SUM(B8-B30)</f>
        <v>-60525620</v>
      </c>
      <c r="C34" s="38">
        <f>SUM(C8-C30)</f>
        <v>-23580644</v>
      </c>
      <c r="D34" s="39">
        <f t="shared" si="0"/>
        <v>0.3895977273756138</v>
      </c>
      <c r="E34" s="38">
        <f>SUM(E8-E30)</f>
        <v>-15947117</v>
      </c>
      <c r="F34" s="28" t="s">
        <v>41</v>
      </c>
      <c r="G34" s="10">
        <v>-60525</v>
      </c>
      <c r="H34" s="10">
        <v>-23581</v>
      </c>
      <c r="I34" s="11">
        <v>0.389607600165221</v>
      </c>
      <c r="J34" s="10">
        <v>-15948</v>
      </c>
    </row>
    <row r="35" spans="1:10" ht="19.5" customHeight="1">
      <c r="A35" s="28" t="s">
        <v>42</v>
      </c>
      <c r="B35" s="38">
        <f>SUM(B52+B71)</f>
        <v>51992655</v>
      </c>
      <c r="C35" s="38">
        <f>SUM(C52+C71)</f>
        <v>2180858</v>
      </c>
      <c r="D35" s="39">
        <f t="shared" si="0"/>
        <v>0.04194550172519561</v>
      </c>
      <c r="E35" s="38">
        <f>SUM(E52+E71)</f>
        <v>2595364</v>
      </c>
      <c r="F35" s="28" t="s">
        <v>42</v>
      </c>
      <c r="G35" s="10">
        <v>51993</v>
      </c>
      <c r="H35" s="10">
        <v>2181</v>
      </c>
      <c r="I35" s="11">
        <v>0.04194795453234089</v>
      </c>
      <c r="J35" s="10">
        <v>2595</v>
      </c>
    </row>
    <row r="36" spans="1:10" ht="30" customHeight="1">
      <c r="A36" s="28" t="s">
        <v>43</v>
      </c>
      <c r="B36" s="38">
        <f>SUM(B30+B35)</f>
        <v>1527053120</v>
      </c>
      <c r="C36" s="38">
        <f>SUM(C30+C35)</f>
        <v>429830502</v>
      </c>
      <c r="D36" s="39">
        <f t="shared" si="0"/>
        <v>0.2814771119422486</v>
      </c>
      <c r="E36" s="38">
        <f>SUM(E30+E35)</f>
        <v>121469152</v>
      </c>
      <c r="F36" s="28" t="s">
        <v>44</v>
      </c>
      <c r="G36" s="10">
        <v>1527054</v>
      </c>
      <c r="H36" s="10">
        <v>429831</v>
      </c>
      <c r="I36" s="11">
        <v>0.2814772758527203</v>
      </c>
      <c r="J36" s="10">
        <v>121469</v>
      </c>
    </row>
    <row r="37" spans="1:10" ht="27" customHeight="1">
      <c r="A37" s="28" t="s">
        <v>45</v>
      </c>
      <c r="B37" s="38">
        <f>IF((B34-B35=B8-B36)=TRUE,B34-B35,9)</f>
        <v>-112518275</v>
      </c>
      <c r="C37" s="38">
        <f>IF((C34-C35=C8-C36)=TRUE,C34-C35,9)</f>
        <v>-25761502</v>
      </c>
      <c r="D37" s="39">
        <f t="shared" si="0"/>
        <v>0.22895393659385554</v>
      </c>
      <c r="E37" s="38">
        <f>IF((E34-E35=E8-E36)=TRUE,E34-E35,9)</f>
        <v>-18542481</v>
      </c>
      <c r="F37" s="28" t="s">
        <v>45</v>
      </c>
      <c r="G37" s="10">
        <v>-112518</v>
      </c>
      <c r="H37" s="10">
        <v>-25762</v>
      </c>
      <c r="I37" s="11">
        <v>0.22895892212801508</v>
      </c>
      <c r="J37" s="10">
        <v>-18543</v>
      </c>
    </row>
    <row r="38" spans="1:10" ht="15.75" customHeight="1">
      <c r="A38" s="12" t="s">
        <v>46</v>
      </c>
      <c r="B38" s="38">
        <f>B41+B44+B48</f>
        <v>720918773</v>
      </c>
      <c r="C38" s="38">
        <f>C41+C44+C48</f>
        <v>212039000</v>
      </c>
      <c r="D38" s="39">
        <f t="shared" si="0"/>
        <v>0.29412328814469646</v>
      </c>
      <c r="E38" s="38">
        <f>E41+E44+E48</f>
        <v>66869723</v>
      </c>
      <c r="F38" s="12" t="s">
        <v>46</v>
      </c>
      <c r="G38" s="13">
        <v>720919</v>
      </c>
      <c r="H38" s="13">
        <v>212039</v>
      </c>
      <c r="I38" s="14">
        <v>0.2941231955323691</v>
      </c>
      <c r="J38" s="13">
        <v>66870</v>
      </c>
    </row>
    <row r="39" spans="1:10" ht="12.75">
      <c r="A39" s="29" t="s">
        <v>47</v>
      </c>
      <c r="B39" s="16">
        <f>B42+B49</f>
        <v>67528839</v>
      </c>
      <c r="C39" s="16">
        <f>C42+C49</f>
        <v>18160000</v>
      </c>
      <c r="D39" s="40">
        <f t="shared" si="0"/>
        <v>0.26892214154607336</v>
      </c>
      <c r="E39" s="16">
        <f>E42+E49</f>
        <v>12431833</v>
      </c>
      <c r="F39" s="29" t="s">
        <v>48</v>
      </c>
      <c r="G39" s="23">
        <v>67529</v>
      </c>
      <c r="H39" s="23">
        <v>18160</v>
      </c>
      <c r="I39" s="24">
        <v>0.268921500392424</v>
      </c>
      <c r="J39" s="16">
        <v>12432</v>
      </c>
    </row>
    <row r="40" spans="1:10" ht="20.25" customHeight="1">
      <c r="A40" s="12" t="s">
        <v>49</v>
      </c>
      <c r="B40" s="38">
        <f>SUM(B38-B39)</f>
        <v>653389934</v>
      </c>
      <c r="C40" s="38">
        <f>SUM(C38-C39)</f>
        <v>193879000</v>
      </c>
      <c r="D40" s="39">
        <f t="shared" si="0"/>
        <v>0.2967278648036228</v>
      </c>
      <c r="E40" s="38">
        <f>SUM(E38-E39)</f>
        <v>54437890</v>
      </c>
      <c r="F40" s="12" t="s">
        <v>49</v>
      </c>
      <c r="G40" s="13">
        <v>653390</v>
      </c>
      <c r="H40" s="13">
        <v>193879</v>
      </c>
      <c r="I40" s="14">
        <v>0.29672783483065246</v>
      </c>
      <c r="J40" s="13">
        <v>54438</v>
      </c>
    </row>
    <row r="41" spans="1:10" ht="12.75">
      <c r="A41" s="15" t="s">
        <v>50</v>
      </c>
      <c r="B41" s="16">
        <v>653325305</v>
      </c>
      <c r="C41" s="16">
        <v>202236000</v>
      </c>
      <c r="D41" s="40">
        <f t="shared" si="0"/>
        <v>0.3095487017757563</v>
      </c>
      <c r="E41" s="16">
        <f>C41-'[1]Marts'!C41</f>
        <v>61318264</v>
      </c>
      <c r="F41" s="15" t="s">
        <v>50</v>
      </c>
      <c r="G41" s="16">
        <v>653326</v>
      </c>
      <c r="H41" s="16">
        <v>202236</v>
      </c>
      <c r="I41" s="17">
        <v>0.30954837248173195</v>
      </c>
      <c r="J41" s="16">
        <v>61319</v>
      </c>
    </row>
    <row r="42" spans="1:10" ht="12.75">
      <c r="A42" s="27" t="s">
        <v>51</v>
      </c>
      <c r="B42" s="16">
        <v>65590839</v>
      </c>
      <c r="C42" s="16">
        <v>18121000</v>
      </c>
      <c r="D42" s="40">
        <f t="shared" si="0"/>
        <v>0.2762733375006836</v>
      </c>
      <c r="E42" s="16">
        <f>C42-'[1]Marts'!C42</f>
        <v>12392833</v>
      </c>
      <c r="F42" s="27" t="s">
        <v>52</v>
      </c>
      <c r="G42" s="23">
        <v>65591</v>
      </c>
      <c r="H42" s="23">
        <v>18121</v>
      </c>
      <c r="I42" s="24">
        <v>0.2762726593587535</v>
      </c>
      <c r="J42" s="16">
        <v>12393</v>
      </c>
    </row>
    <row r="43" spans="1:10" ht="15" customHeight="1">
      <c r="A43" s="12" t="s">
        <v>53</v>
      </c>
      <c r="B43" s="38">
        <f>SUM(B41-B42)</f>
        <v>587734466</v>
      </c>
      <c r="C43" s="38">
        <f>SUM(C41-C42)</f>
        <v>184115000</v>
      </c>
      <c r="D43" s="39">
        <f t="shared" si="0"/>
        <v>0.3132622138923532</v>
      </c>
      <c r="E43" s="38">
        <f>SUM(E41-E42)</f>
        <v>48925431</v>
      </c>
      <c r="F43" s="12" t="s">
        <v>53</v>
      </c>
      <c r="G43" s="13">
        <v>587735</v>
      </c>
      <c r="H43" s="13">
        <v>184115</v>
      </c>
      <c r="I43" s="14">
        <v>0.31326192927084484</v>
      </c>
      <c r="J43" s="13">
        <v>48926</v>
      </c>
    </row>
    <row r="44" spans="1:10" ht="15.75" customHeight="1">
      <c r="A44" s="15" t="s">
        <v>54</v>
      </c>
      <c r="B44" s="16">
        <v>14847167</v>
      </c>
      <c r="C44" s="16">
        <v>2095000</v>
      </c>
      <c r="D44" s="40">
        <f t="shared" si="0"/>
        <v>0.14110436017861186</v>
      </c>
      <c r="E44" s="16">
        <f>C44-'[1]Marts'!C44</f>
        <v>1246597</v>
      </c>
      <c r="F44" s="15" t="s">
        <v>54</v>
      </c>
      <c r="G44" s="16">
        <v>14847</v>
      </c>
      <c r="H44" s="16">
        <v>2095</v>
      </c>
      <c r="I44" s="17">
        <v>0.14110594732942683</v>
      </c>
      <c r="J44" s="16">
        <v>1246</v>
      </c>
    </row>
    <row r="45" spans="1:10" ht="19.5" customHeight="1">
      <c r="A45" s="12" t="s">
        <v>55</v>
      </c>
      <c r="B45" s="38">
        <f>SUM(B44)</f>
        <v>14847167</v>
      </c>
      <c r="C45" s="38">
        <f>SUM(C44)</f>
        <v>2095000</v>
      </c>
      <c r="D45" s="39">
        <f t="shared" si="0"/>
        <v>0.14110436017861186</v>
      </c>
      <c r="E45" s="38">
        <f>SUM(E44)</f>
        <v>1246597</v>
      </c>
      <c r="F45" s="12" t="s">
        <v>55</v>
      </c>
      <c r="G45" s="13">
        <v>14847</v>
      </c>
      <c r="H45" s="13">
        <v>2095</v>
      </c>
      <c r="I45" s="14">
        <v>0.14110594732942683</v>
      </c>
      <c r="J45" s="13">
        <v>1246</v>
      </c>
    </row>
    <row r="46" spans="1:10" ht="0.75" customHeight="1" hidden="1">
      <c r="A46" s="7" t="s">
        <v>5</v>
      </c>
      <c r="B46" s="8" t="s">
        <v>6</v>
      </c>
      <c r="C46" s="7" t="s">
        <v>7</v>
      </c>
      <c r="D46" s="7" t="s">
        <v>8</v>
      </c>
      <c r="E46" s="7" t="s">
        <v>56</v>
      </c>
      <c r="F46" s="7" t="s">
        <v>5</v>
      </c>
      <c r="G46" s="8" t="s">
        <v>6</v>
      </c>
      <c r="H46" s="7" t="s">
        <v>7</v>
      </c>
      <c r="I46" s="7" t="s">
        <v>8</v>
      </c>
      <c r="J46" s="7" t="s">
        <v>57</v>
      </c>
    </row>
    <row r="47" spans="1:10" ht="12.75" hidden="1">
      <c r="A47" s="7">
        <v>1</v>
      </c>
      <c r="B47" s="8">
        <v>2</v>
      </c>
      <c r="C47" s="7">
        <v>3</v>
      </c>
      <c r="D47" s="7">
        <v>4</v>
      </c>
      <c r="E47" s="7">
        <v>5</v>
      </c>
      <c r="F47" s="7">
        <v>1</v>
      </c>
      <c r="G47" s="8">
        <v>2</v>
      </c>
      <c r="H47" s="7">
        <v>3</v>
      </c>
      <c r="I47" s="7">
        <v>4</v>
      </c>
      <c r="J47" s="7">
        <v>5</v>
      </c>
    </row>
    <row r="48" spans="1:10" ht="12.75">
      <c r="A48" s="15" t="s">
        <v>58</v>
      </c>
      <c r="B48" s="16">
        <v>52746301</v>
      </c>
      <c r="C48" s="16">
        <v>7708000</v>
      </c>
      <c r="D48" s="40">
        <f aca="true" t="shared" si="1" ref="D48:D76">IF(ISERROR(C48/B48)," ",(C48/B48))</f>
        <v>0.14613347009868996</v>
      </c>
      <c r="E48" s="16">
        <f>C48-'[1]Marts'!C48</f>
        <v>4304862</v>
      </c>
      <c r="F48" s="15" t="s">
        <v>58</v>
      </c>
      <c r="G48" s="16">
        <v>52746</v>
      </c>
      <c r="H48" s="16">
        <v>7708</v>
      </c>
      <c r="I48" s="17">
        <v>0.14613430402305388</v>
      </c>
      <c r="J48" s="16">
        <v>4305</v>
      </c>
    </row>
    <row r="49" spans="1:211" s="15" customFormat="1" ht="12.75">
      <c r="A49" s="27" t="s">
        <v>59</v>
      </c>
      <c r="B49" s="16">
        <v>1938000</v>
      </c>
      <c r="C49" s="16">
        <v>39000</v>
      </c>
      <c r="D49" s="40">
        <f t="shared" si="1"/>
        <v>0.020123839009287926</v>
      </c>
      <c r="E49" s="16">
        <f>C49-'[1]Marts'!C49</f>
        <v>39000</v>
      </c>
      <c r="F49" s="27" t="s">
        <v>52</v>
      </c>
      <c r="G49" s="23">
        <v>1938</v>
      </c>
      <c r="H49" s="23">
        <v>39</v>
      </c>
      <c r="I49" s="24">
        <v>0.020123839009287926</v>
      </c>
      <c r="J49" s="16">
        <v>39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</row>
    <row r="50" spans="1:211" s="15" customFormat="1" ht="17.25" customHeight="1">
      <c r="A50" s="12" t="s">
        <v>60</v>
      </c>
      <c r="B50" s="38">
        <f>SUM(B48-B49)</f>
        <v>50808301</v>
      </c>
      <c r="C50" s="38">
        <f>SUM(C48-C49)</f>
        <v>7669000</v>
      </c>
      <c r="D50" s="39">
        <f t="shared" si="1"/>
        <v>0.15093990251711034</v>
      </c>
      <c r="E50" s="38">
        <f>SUM(E48-E49)</f>
        <v>4265862</v>
      </c>
      <c r="F50" s="12" t="s">
        <v>60</v>
      </c>
      <c r="G50" s="13">
        <v>50808</v>
      </c>
      <c r="H50" s="13">
        <v>7669</v>
      </c>
      <c r="I50" s="14">
        <v>0.15094079672492522</v>
      </c>
      <c r="J50" s="13">
        <v>4266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</row>
    <row r="51" spans="1:211" s="15" customFormat="1" ht="30" customHeight="1">
      <c r="A51" s="28" t="s">
        <v>61</v>
      </c>
      <c r="B51" s="38">
        <f>SUM(B9-B38)</f>
        <v>0</v>
      </c>
      <c r="C51" s="38">
        <f>SUM(C9-C38)</f>
        <v>-3351000</v>
      </c>
      <c r="D51" s="39" t="str">
        <f t="shared" si="1"/>
        <v> </v>
      </c>
      <c r="E51" s="38">
        <f>SUM(E9-E38)</f>
        <v>-18538478</v>
      </c>
      <c r="F51" s="28" t="s">
        <v>61</v>
      </c>
      <c r="G51" s="10">
        <v>0</v>
      </c>
      <c r="H51" s="10">
        <v>-3351</v>
      </c>
      <c r="I51" s="11" t="s">
        <v>92</v>
      </c>
      <c r="J51" s="10">
        <v>-18539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</row>
    <row r="52" spans="1:211" s="15" customFormat="1" ht="17.25" customHeight="1">
      <c r="A52" s="12" t="s">
        <v>62</v>
      </c>
      <c r="B52" s="38">
        <f>SUM(B55-B58)</f>
        <v>39241905</v>
      </c>
      <c r="C52" s="38">
        <f>SUM(C55-C58)</f>
        <v>2180858</v>
      </c>
      <c r="D52" s="39">
        <f t="shared" si="1"/>
        <v>0.05557472299063972</v>
      </c>
      <c r="E52" s="38">
        <f>SUM(E55-E58)</f>
        <v>2595364</v>
      </c>
      <c r="F52" s="12" t="s">
        <v>62</v>
      </c>
      <c r="G52" s="13">
        <v>39242</v>
      </c>
      <c r="H52" s="13">
        <v>2181</v>
      </c>
      <c r="I52" s="14">
        <v>0.05557820702308751</v>
      </c>
      <c r="J52" s="13">
        <v>2595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</row>
    <row r="53" spans="1:211" s="15" customFormat="1" ht="16.5" customHeight="1">
      <c r="A53" s="15" t="s">
        <v>63</v>
      </c>
      <c r="B53" s="16">
        <v>115425226</v>
      </c>
      <c r="C53" s="16">
        <v>40287000</v>
      </c>
      <c r="D53" s="40">
        <f t="shared" si="1"/>
        <v>0.3490311554598992</v>
      </c>
      <c r="E53" s="16">
        <f>C53-'[1]Marts'!C53</f>
        <v>4118301</v>
      </c>
      <c r="F53" s="15" t="s">
        <v>63</v>
      </c>
      <c r="G53" s="16">
        <v>115425</v>
      </c>
      <c r="H53" s="16">
        <v>40287</v>
      </c>
      <c r="I53" s="17">
        <v>0.34903183885640027</v>
      </c>
      <c r="J53" s="16">
        <v>4118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</row>
    <row r="54" spans="1:211" s="15" customFormat="1" ht="14.25" customHeight="1">
      <c r="A54" s="27" t="s">
        <v>59</v>
      </c>
      <c r="B54" s="16">
        <v>58334396</v>
      </c>
      <c r="C54" s="16">
        <f>27298795+1810343</f>
        <v>29109138</v>
      </c>
      <c r="D54" s="40">
        <f t="shared" si="1"/>
        <v>0.4990047038457379</v>
      </c>
      <c r="E54" s="16">
        <f>C54-'[1]Marts'!C54</f>
        <v>221138</v>
      </c>
      <c r="F54" s="27" t="s">
        <v>52</v>
      </c>
      <c r="G54" s="23">
        <v>58334</v>
      </c>
      <c r="H54" s="23">
        <v>29109</v>
      </c>
      <c r="I54" s="24">
        <v>0.4990057256488497</v>
      </c>
      <c r="J54" s="16">
        <v>221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</row>
    <row r="55" spans="1:211" s="15" customFormat="1" ht="15" customHeight="1">
      <c r="A55" s="15" t="s">
        <v>64</v>
      </c>
      <c r="B55" s="16">
        <f>SUM(B53-B54)</f>
        <v>57090830</v>
      </c>
      <c r="C55" s="16">
        <f>SUM(C53-C54)</f>
        <v>11177862</v>
      </c>
      <c r="D55" s="40">
        <f t="shared" si="1"/>
        <v>0.1957908476720342</v>
      </c>
      <c r="E55" s="16">
        <f>SUM(E53-E54)</f>
        <v>3897163</v>
      </c>
      <c r="F55" s="15" t="s">
        <v>64</v>
      </c>
      <c r="G55" s="16">
        <v>57091</v>
      </c>
      <c r="H55" s="16">
        <v>11178</v>
      </c>
      <c r="I55" s="17">
        <v>0.19579268185878684</v>
      </c>
      <c r="J55" s="16">
        <v>3897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</row>
    <row r="56" spans="1:211" s="15" customFormat="1" ht="15.75" customHeight="1">
      <c r="A56" s="15" t="s">
        <v>65</v>
      </c>
      <c r="B56" s="16">
        <f>19133003</f>
        <v>19133003</v>
      </c>
      <c r="C56" s="16">
        <v>24802258</v>
      </c>
      <c r="D56" s="40">
        <f t="shared" si="1"/>
        <v>1.2963076418270567</v>
      </c>
      <c r="E56" s="16">
        <f>C56-'[1]Marts'!C56</f>
        <v>1385053</v>
      </c>
      <c r="F56" s="15" t="s">
        <v>65</v>
      </c>
      <c r="G56" s="16">
        <v>19133</v>
      </c>
      <c r="H56" s="16">
        <v>24802</v>
      </c>
      <c r="I56" s="17">
        <v>1.296294360528929</v>
      </c>
      <c r="J56" s="16">
        <v>1385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</row>
    <row r="57" spans="1:211" s="15" customFormat="1" ht="15.75" customHeight="1">
      <c r="A57" s="27" t="s">
        <v>66</v>
      </c>
      <c r="B57" s="16">
        <v>1284078</v>
      </c>
      <c r="C57" s="16">
        <f>15250000+555254</f>
        <v>15805254</v>
      </c>
      <c r="D57" s="40">
        <f t="shared" si="1"/>
        <v>12.308640129337938</v>
      </c>
      <c r="E57" s="16">
        <f>C57-'[1]Marts'!C57</f>
        <v>83254</v>
      </c>
      <c r="F57" s="27" t="s">
        <v>67</v>
      </c>
      <c r="G57" s="23">
        <v>1284</v>
      </c>
      <c r="H57" s="23">
        <v>15805</v>
      </c>
      <c r="I57" s="24">
        <v>12.309190031152648</v>
      </c>
      <c r="J57" s="16">
        <v>83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</row>
    <row r="58" spans="1:211" s="15" customFormat="1" ht="16.5" customHeight="1">
      <c r="A58" s="15" t="s">
        <v>68</v>
      </c>
      <c r="B58" s="16">
        <f>SUM(B56-B57)</f>
        <v>17848925</v>
      </c>
      <c r="C58" s="16">
        <f>SUM(C56-C57)</f>
        <v>8997004</v>
      </c>
      <c r="D58" s="40">
        <f t="shared" si="1"/>
        <v>0.5040641943422363</v>
      </c>
      <c r="E58" s="16">
        <f>SUM(E56-E57)</f>
        <v>1301799</v>
      </c>
      <c r="F58" s="15" t="s">
        <v>68</v>
      </c>
      <c r="G58" s="16">
        <v>17849</v>
      </c>
      <c r="H58" s="16">
        <v>8997</v>
      </c>
      <c r="I58" s="17">
        <v>0.5040618522046053</v>
      </c>
      <c r="J58" s="16">
        <v>1302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</row>
    <row r="59" spans="1:211" s="15" customFormat="1" ht="32.25" customHeight="1">
      <c r="A59" s="28" t="s">
        <v>69</v>
      </c>
      <c r="B59" s="38">
        <f>B51-(B53-B56)</f>
        <v>-96292223</v>
      </c>
      <c r="C59" s="38">
        <f>C51-(C53-C56)</f>
        <v>-18835742</v>
      </c>
      <c r="D59" s="39">
        <f t="shared" si="1"/>
        <v>0.19561021039051096</v>
      </c>
      <c r="E59" s="38">
        <f>E51-(E53-E56)</f>
        <v>-21271726</v>
      </c>
      <c r="F59" s="28" t="s">
        <v>69</v>
      </c>
      <c r="G59" s="10">
        <v>-96292</v>
      </c>
      <c r="H59" s="10">
        <v>-18836</v>
      </c>
      <c r="I59" s="11">
        <v>0.19561334274913803</v>
      </c>
      <c r="J59" s="10">
        <v>-21272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</row>
    <row r="60" spans="1:211" s="15" customFormat="1" ht="17.25" customHeight="1">
      <c r="A60" s="12" t="s">
        <v>70</v>
      </c>
      <c r="B60" s="38">
        <f>B63+B66+B68</f>
        <v>870883731</v>
      </c>
      <c r="C60" s="38">
        <f>C63+C66+C68</f>
        <v>235604644</v>
      </c>
      <c r="D60" s="39">
        <f t="shared" si="1"/>
        <v>0.27053513071080665</v>
      </c>
      <c r="E60" s="38">
        <f>E63+E66+E68</f>
        <v>65944896</v>
      </c>
      <c r="F60" s="12" t="s">
        <v>70</v>
      </c>
      <c r="G60" s="13">
        <v>870884</v>
      </c>
      <c r="H60" s="13">
        <v>235605</v>
      </c>
      <c r="I60" s="14">
        <v>0.2705354559275403</v>
      </c>
      <c r="J60" s="13">
        <v>65945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</row>
    <row r="61" spans="1:211" s="15" customFormat="1" ht="19.5" customHeight="1">
      <c r="A61" s="27" t="s">
        <v>71</v>
      </c>
      <c r="B61" s="16">
        <f>B64</f>
        <v>49213200</v>
      </c>
      <c r="C61" s="16">
        <f>C20</f>
        <v>1834000</v>
      </c>
      <c r="D61" s="40">
        <f t="shared" si="1"/>
        <v>0.03726642445522746</v>
      </c>
      <c r="E61" s="16">
        <f>E64</f>
        <v>1508998</v>
      </c>
      <c r="F61" s="27" t="s">
        <v>72</v>
      </c>
      <c r="G61" s="23">
        <v>49213</v>
      </c>
      <c r="H61" s="23">
        <v>1834</v>
      </c>
      <c r="I61" s="24">
        <v>0.03726657590474062</v>
      </c>
      <c r="J61" s="16">
        <v>1509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</row>
    <row r="62" spans="1:211" s="15" customFormat="1" ht="19.5" customHeight="1">
      <c r="A62" s="12" t="s">
        <v>73</v>
      </c>
      <c r="B62" s="38">
        <f>SUM(B60-B61)</f>
        <v>821670531</v>
      </c>
      <c r="C62" s="38">
        <f>SUM(C60-C61)</f>
        <v>233770644</v>
      </c>
      <c r="D62" s="39">
        <f t="shared" si="1"/>
        <v>0.2845065451178996</v>
      </c>
      <c r="E62" s="38">
        <f>SUM(E60-E61)</f>
        <v>64435898</v>
      </c>
      <c r="F62" s="12" t="s">
        <v>73</v>
      </c>
      <c r="G62" s="13">
        <v>821671</v>
      </c>
      <c r="H62" s="13">
        <v>233771</v>
      </c>
      <c r="I62" s="14">
        <v>0.2845068159883944</v>
      </c>
      <c r="J62" s="13">
        <v>64436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</row>
    <row r="63" spans="1:211" s="15" customFormat="1" ht="15.75" customHeight="1">
      <c r="A63" s="15" t="s">
        <v>74</v>
      </c>
      <c r="B63" s="16">
        <v>804930855</v>
      </c>
      <c r="C63" s="16">
        <v>229055000</v>
      </c>
      <c r="D63" s="40">
        <f t="shared" si="1"/>
        <v>0.28456481519769794</v>
      </c>
      <c r="E63" s="16">
        <f>C63-'[1]Marts'!C63</f>
        <v>63652331</v>
      </c>
      <c r="F63" s="15" t="s">
        <v>74</v>
      </c>
      <c r="G63" s="16">
        <v>804931</v>
      </c>
      <c r="H63" s="16">
        <v>229055</v>
      </c>
      <c r="I63" s="17">
        <v>0.2845647639362877</v>
      </c>
      <c r="J63" s="16">
        <v>63652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</row>
    <row r="64" spans="1:211" s="15" customFormat="1" ht="15" customHeight="1">
      <c r="A64" s="27" t="s">
        <v>75</v>
      </c>
      <c r="B64" s="16">
        <v>49213200</v>
      </c>
      <c r="C64" s="16">
        <f>C20</f>
        <v>1834000</v>
      </c>
      <c r="D64" s="40">
        <f t="shared" si="1"/>
        <v>0.03726642445522746</v>
      </c>
      <c r="E64" s="16">
        <f>C64-'[1]Marts'!C64</f>
        <v>1508998</v>
      </c>
      <c r="F64" s="27" t="s">
        <v>72</v>
      </c>
      <c r="G64" s="23">
        <v>49213</v>
      </c>
      <c r="H64" s="23">
        <v>1834</v>
      </c>
      <c r="I64" s="24">
        <v>0.03726657590474062</v>
      </c>
      <c r="J64" s="16">
        <v>1509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</row>
    <row r="65" spans="1:211" s="15" customFormat="1" ht="27.75" customHeight="1">
      <c r="A65" s="12" t="s">
        <v>76</v>
      </c>
      <c r="B65" s="38">
        <f>SUM(B63-B64)</f>
        <v>755717655</v>
      </c>
      <c r="C65" s="38">
        <f>SUM(C63-C64)</f>
        <v>227221000</v>
      </c>
      <c r="D65" s="39">
        <f t="shared" si="1"/>
        <v>0.3006691698899108</v>
      </c>
      <c r="E65" s="38">
        <f>SUM(E63-E64)</f>
        <v>62143333</v>
      </c>
      <c r="F65" s="12" t="s">
        <v>76</v>
      </c>
      <c r="G65" s="13">
        <v>755718</v>
      </c>
      <c r="H65" s="13">
        <v>227221</v>
      </c>
      <c r="I65" s="14">
        <v>0.3006690326285731</v>
      </c>
      <c r="J65" s="13">
        <v>62143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</row>
    <row r="66" spans="1:211" s="15" customFormat="1" ht="17.25" customHeight="1">
      <c r="A66" s="15" t="s">
        <v>77</v>
      </c>
      <c r="B66" s="16">
        <v>28417355</v>
      </c>
      <c r="C66" s="16">
        <v>2474000</v>
      </c>
      <c r="D66" s="40">
        <f t="shared" si="1"/>
        <v>0.08705947474703399</v>
      </c>
      <c r="E66" s="16">
        <f>C66-'[1]Marts'!C66</f>
        <v>929241</v>
      </c>
      <c r="F66" s="15" t="s">
        <v>77</v>
      </c>
      <c r="G66" s="16">
        <v>28417</v>
      </c>
      <c r="H66" s="16">
        <v>2474</v>
      </c>
      <c r="I66" s="17">
        <v>0.0870605623394447</v>
      </c>
      <c r="J66" s="16">
        <v>929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</row>
    <row r="67" spans="1:211" s="15" customFormat="1" ht="18" customHeight="1">
      <c r="A67" s="12" t="s">
        <v>78</v>
      </c>
      <c r="B67" s="38">
        <f>SUM(B66)</f>
        <v>28417355</v>
      </c>
      <c r="C67" s="38">
        <f>SUM(C66)</f>
        <v>2474000</v>
      </c>
      <c r="D67" s="39">
        <f t="shared" si="1"/>
        <v>0.08705947474703399</v>
      </c>
      <c r="E67" s="38">
        <f>SUM(E66)</f>
        <v>929241</v>
      </c>
      <c r="F67" s="12" t="s">
        <v>78</v>
      </c>
      <c r="G67" s="13">
        <v>28417</v>
      </c>
      <c r="H67" s="13">
        <v>2474</v>
      </c>
      <c r="I67" s="14">
        <v>0.0870605623394447</v>
      </c>
      <c r="J67" s="13">
        <v>929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</row>
    <row r="68" spans="1:211" s="15" customFormat="1" ht="18" customHeight="1">
      <c r="A68" s="15" t="s">
        <v>79</v>
      </c>
      <c r="B68" s="16">
        <v>37535521</v>
      </c>
      <c r="C68" s="16">
        <v>4075644</v>
      </c>
      <c r="D68" s="40">
        <f t="shared" si="1"/>
        <v>0.10858098919154473</v>
      </c>
      <c r="E68" s="16">
        <f>C68-'[1]Marts'!C68</f>
        <v>1363324</v>
      </c>
      <c r="F68" s="15" t="s">
        <v>79</v>
      </c>
      <c r="G68" s="16">
        <v>37536</v>
      </c>
      <c r="H68" s="16">
        <v>4076</v>
      </c>
      <c r="I68" s="17">
        <v>0.10858908780903666</v>
      </c>
      <c r="J68" s="16">
        <v>1364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</row>
    <row r="69" spans="1:211" s="15" customFormat="1" ht="16.5" customHeight="1">
      <c r="A69" s="12" t="s">
        <v>80</v>
      </c>
      <c r="B69" s="38">
        <f>SUM(B68)</f>
        <v>37535521</v>
      </c>
      <c r="C69" s="38">
        <f>SUM(C68)</f>
        <v>4075644</v>
      </c>
      <c r="D69" s="39">
        <f t="shared" si="1"/>
        <v>0.10858098919154473</v>
      </c>
      <c r="E69" s="38">
        <f>SUM(E68)</f>
        <v>1363324</v>
      </c>
      <c r="F69" s="12" t="s">
        <v>80</v>
      </c>
      <c r="G69" s="13">
        <v>37536</v>
      </c>
      <c r="H69" s="13">
        <v>4076</v>
      </c>
      <c r="I69" s="14">
        <v>0.10858908780903666</v>
      </c>
      <c r="J69" s="13">
        <v>1364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</row>
    <row r="70" spans="1:211" s="15" customFormat="1" ht="30.75" customHeight="1">
      <c r="A70" s="28" t="s">
        <v>81</v>
      </c>
      <c r="B70" s="38">
        <f>SUM(B22-B60)</f>
        <v>-60525620</v>
      </c>
      <c r="C70" s="38">
        <f>SUM(C22-C60)</f>
        <v>-20229644</v>
      </c>
      <c r="D70" s="39">
        <f t="shared" si="1"/>
        <v>0.33423274309292494</v>
      </c>
      <c r="E70" s="38">
        <f>SUM(E22-E60)</f>
        <v>2591361</v>
      </c>
      <c r="F70" s="28" t="s">
        <v>81</v>
      </c>
      <c r="G70" s="10">
        <v>-60525</v>
      </c>
      <c r="H70" s="10">
        <v>-20230</v>
      </c>
      <c r="I70" s="11">
        <v>0.33424204874019</v>
      </c>
      <c r="J70" s="10">
        <v>2591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</row>
    <row r="71" spans="1:211" s="15" customFormat="1" ht="16.5" customHeight="1">
      <c r="A71" s="12" t="s">
        <v>82</v>
      </c>
      <c r="B71" s="38">
        <f>SUM(B72-B74)</f>
        <v>12750750</v>
      </c>
      <c r="C71" s="38">
        <f>SUM(C72-C74)</f>
        <v>0</v>
      </c>
      <c r="D71" s="39">
        <f t="shared" si="1"/>
        <v>0</v>
      </c>
      <c r="E71" s="38">
        <f>SUM(E72-E74)</f>
        <v>0</v>
      </c>
      <c r="F71" s="12" t="s">
        <v>82</v>
      </c>
      <c r="G71" s="13">
        <v>12751</v>
      </c>
      <c r="H71" s="13">
        <v>0</v>
      </c>
      <c r="I71" s="14">
        <v>0</v>
      </c>
      <c r="J71" s="13">
        <v>0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</row>
    <row r="72" spans="1:211" s="15" customFormat="1" ht="20.25" customHeight="1">
      <c r="A72" s="15" t="s">
        <v>83</v>
      </c>
      <c r="B72" s="16">
        <f>12756000</f>
        <v>12756000</v>
      </c>
      <c r="C72" s="16"/>
      <c r="D72" s="40">
        <f t="shared" si="1"/>
        <v>0</v>
      </c>
      <c r="E72" s="16">
        <f>C72-'[1]Marts'!C72</f>
        <v>0</v>
      </c>
      <c r="F72" s="15" t="s">
        <v>83</v>
      </c>
      <c r="G72" s="16">
        <v>12756</v>
      </c>
      <c r="H72" s="16">
        <v>0</v>
      </c>
      <c r="I72" s="17">
        <v>0</v>
      </c>
      <c r="J72" s="16">
        <v>0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</row>
    <row r="73" spans="1:211" s="15" customFormat="1" ht="15.75" customHeight="1">
      <c r="A73" s="15" t="s">
        <v>84</v>
      </c>
      <c r="B73" s="16">
        <f>SUM(B72)</f>
        <v>12756000</v>
      </c>
      <c r="C73" s="16">
        <f>SUM(C72)</f>
        <v>0</v>
      </c>
      <c r="D73" s="40">
        <f t="shared" si="1"/>
        <v>0</v>
      </c>
      <c r="E73" s="16">
        <f>SUM(E72)</f>
        <v>0</v>
      </c>
      <c r="F73" s="15" t="s">
        <v>84</v>
      </c>
      <c r="G73" s="16">
        <v>12756</v>
      </c>
      <c r="H73" s="16">
        <v>0</v>
      </c>
      <c r="I73" s="17">
        <v>0</v>
      </c>
      <c r="J73" s="16">
        <v>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</row>
    <row r="74" spans="1:211" s="15" customFormat="1" ht="18" customHeight="1">
      <c r="A74" s="15" t="s">
        <v>85</v>
      </c>
      <c r="B74" s="16">
        <v>5250</v>
      </c>
      <c r="C74" s="16"/>
      <c r="D74" s="40">
        <f t="shared" si="1"/>
        <v>0</v>
      </c>
      <c r="E74" s="16">
        <f>C74-'[1]Marts'!C74</f>
        <v>0</v>
      </c>
      <c r="F74" s="15" t="s">
        <v>85</v>
      </c>
      <c r="G74" s="16">
        <v>5</v>
      </c>
      <c r="H74" s="16">
        <v>0</v>
      </c>
      <c r="I74" s="17">
        <v>0</v>
      </c>
      <c r="J74" s="16">
        <v>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</row>
    <row r="75" spans="1:211" s="15" customFormat="1" ht="16.5" customHeight="1">
      <c r="A75" s="15" t="s">
        <v>86</v>
      </c>
      <c r="B75" s="16">
        <f>SUM(B74)</f>
        <v>5250</v>
      </c>
      <c r="C75" s="16">
        <f>SUM(C74)</f>
        <v>0</v>
      </c>
      <c r="D75" s="40">
        <f t="shared" si="1"/>
        <v>0</v>
      </c>
      <c r="E75" s="16">
        <f>SUM(E74)</f>
        <v>0</v>
      </c>
      <c r="F75" s="15" t="s">
        <v>86</v>
      </c>
      <c r="G75" s="16">
        <v>5</v>
      </c>
      <c r="H75" s="16">
        <v>0</v>
      </c>
      <c r="I75" s="17">
        <v>0</v>
      </c>
      <c r="J75" s="16">
        <v>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</row>
    <row r="76" spans="1:211" s="15" customFormat="1" ht="30.75" customHeight="1">
      <c r="A76" s="28" t="s">
        <v>87</v>
      </c>
      <c r="B76" s="38">
        <f>SUM(B70-B71)</f>
        <v>-73276370</v>
      </c>
      <c r="C76" s="38">
        <f>SUM(C70-C71)</f>
        <v>-20229644</v>
      </c>
      <c r="D76" s="39">
        <f t="shared" si="1"/>
        <v>0.2760732279724009</v>
      </c>
      <c r="E76" s="38">
        <f>SUM(E70-E71)</f>
        <v>2591361</v>
      </c>
      <c r="F76" s="28" t="s">
        <v>87</v>
      </c>
      <c r="G76" s="10">
        <v>-73276</v>
      </c>
      <c r="H76" s="10">
        <v>-20230</v>
      </c>
      <c r="I76" s="11">
        <v>0.27607948032097823</v>
      </c>
      <c r="J76" s="10">
        <v>2591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</row>
    <row r="77" spans="1:211" s="32" customFormat="1" ht="12.75">
      <c r="A77" s="30"/>
      <c r="B77" s="31"/>
      <c r="F77" s="30"/>
      <c r="G77" s="31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</row>
    <row r="78" spans="1:211" s="32" customFormat="1" ht="12.75">
      <c r="A78" s="30"/>
      <c r="B78" s="31"/>
      <c r="F78" s="33"/>
      <c r="G78" s="31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</row>
    <row r="79" spans="1:10" ht="12.75">
      <c r="A79" s="34"/>
      <c r="F79" s="34"/>
      <c r="G79" s="2"/>
      <c r="H79" s="1"/>
      <c r="I79" s="1"/>
      <c r="J79" s="1"/>
    </row>
    <row r="80" spans="1:10" ht="12.75">
      <c r="A80" s="34"/>
      <c r="F80" s="34"/>
      <c r="G80" s="2"/>
      <c r="H80" s="1"/>
      <c r="I80" s="1"/>
      <c r="J80" s="1"/>
    </row>
    <row r="81" spans="1:10" ht="12.75">
      <c r="A81" s="32"/>
      <c r="F81" s="32"/>
      <c r="G81" s="2"/>
      <c r="H81" s="1"/>
      <c r="I81" s="1"/>
      <c r="J81" s="1"/>
    </row>
    <row r="82" spans="1:10" ht="12.75">
      <c r="A82" s="35" t="s">
        <v>88</v>
      </c>
      <c r="B82" s="4"/>
      <c r="C82" s="36"/>
      <c r="D82" s="36"/>
      <c r="E82" s="36"/>
      <c r="F82" s="35" t="s">
        <v>88</v>
      </c>
      <c r="G82" s="4"/>
      <c r="H82" s="36"/>
      <c r="I82" s="36"/>
      <c r="J82" s="36"/>
    </row>
    <row r="83" spans="1:10" ht="12.75">
      <c r="A83" s="37"/>
      <c r="F83" s="37"/>
      <c r="G83" s="2"/>
      <c r="H83" s="1"/>
      <c r="I83" s="1"/>
      <c r="J83" s="1"/>
    </row>
    <row r="84" spans="1:10" ht="12.75">
      <c r="A84" s="37"/>
      <c r="C84" s="6"/>
      <c r="D84" s="6"/>
      <c r="E84" s="6"/>
      <c r="F84" s="37"/>
      <c r="G84" s="2"/>
      <c r="H84" s="6"/>
      <c r="I84" s="6"/>
      <c r="J84" s="6"/>
    </row>
    <row r="85" spans="6:10" ht="12.75">
      <c r="F85" s="1"/>
      <c r="G85" s="2"/>
      <c r="H85" s="1"/>
      <c r="I85" s="1"/>
      <c r="J85" s="1"/>
    </row>
    <row r="86" spans="6:10" ht="12.75">
      <c r="F86" s="1"/>
      <c r="G86" s="2"/>
      <c r="H86" s="1"/>
      <c r="I86" s="1"/>
      <c r="J86" s="1"/>
    </row>
    <row r="87" spans="6:10" ht="12.75">
      <c r="F87" s="1"/>
      <c r="G87" s="2"/>
      <c r="H87" s="1"/>
      <c r="I87" s="1"/>
      <c r="J87" s="1"/>
    </row>
    <row r="88" spans="1:10" ht="12.75">
      <c r="A88" s="37" t="s">
        <v>89</v>
      </c>
      <c r="F88" s="37" t="s">
        <v>89</v>
      </c>
      <c r="G88" s="2"/>
      <c r="H88" s="1"/>
      <c r="I88" s="1"/>
      <c r="J88" s="1"/>
    </row>
    <row r="89" spans="1:10" ht="12.75">
      <c r="A89" s="37" t="s">
        <v>90</v>
      </c>
      <c r="F89" s="37" t="s">
        <v>91</v>
      </c>
      <c r="G89" s="2"/>
      <c r="H89" s="1"/>
      <c r="I89" s="1"/>
      <c r="J89" s="1"/>
    </row>
    <row r="90" spans="6:10" ht="12.75">
      <c r="F90" s="1"/>
      <c r="G90" s="2"/>
      <c r="H90" s="1"/>
      <c r="I90" s="1"/>
      <c r="J90" s="1"/>
    </row>
    <row r="91" spans="1:5" ht="15" customHeight="1">
      <c r="A91"/>
      <c r="B91"/>
      <c r="C91"/>
      <c r="D91"/>
      <c r="E91"/>
    </row>
    <row r="92" spans="1:5" ht="16.5" customHeight="1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mergeCells count="2"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1:K63"/>
  <sheetViews>
    <sheetView workbookViewId="0" topLeftCell="A39">
      <selection activeCell="E1" sqref="E1"/>
    </sheetView>
  </sheetViews>
  <sheetFormatPr defaultColWidth="9.140625" defaultRowHeight="12.75"/>
  <cols>
    <col min="1" max="1" width="24.7109375" style="284" customWidth="1"/>
    <col min="2" max="3" width="13.140625" style="284" customWidth="1"/>
    <col min="4" max="4" width="14.00390625" style="284" customWidth="1"/>
    <col min="5" max="5" width="16.57421875" style="284" customWidth="1"/>
    <col min="6" max="6" width="13.57421875" style="284" customWidth="1"/>
    <col min="7" max="7" width="9.7109375" style="284" customWidth="1"/>
    <col min="8" max="9" width="8.8515625" style="284" customWidth="1"/>
    <col min="10" max="10" width="14.8515625" style="284" customWidth="1"/>
    <col min="11" max="16384" width="8.00390625" style="284" customWidth="1"/>
  </cols>
  <sheetData>
    <row r="1" spans="1:11" ht="12.75" customHeight="1">
      <c r="A1" s="285" t="s">
        <v>681</v>
      </c>
      <c r="B1" s="285"/>
      <c r="C1" s="285"/>
      <c r="D1" s="285"/>
      <c r="E1" s="285"/>
      <c r="F1" s="285"/>
      <c r="G1" s="285"/>
      <c r="H1" s="285"/>
      <c r="I1" s="285"/>
      <c r="J1" s="500" t="s">
        <v>682</v>
      </c>
      <c r="K1" s="290"/>
    </row>
    <row r="2" spans="1:10" ht="12">
      <c r="A2" s="342"/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2">
      <c r="A3" s="342"/>
      <c r="B3" s="342"/>
      <c r="C3" s="342"/>
      <c r="D3" s="342"/>
      <c r="E3" s="342"/>
      <c r="F3" s="342"/>
      <c r="G3" s="342"/>
      <c r="H3" s="342"/>
      <c r="I3" s="342"/>
      <c r="J3" s="342"/>
    </row>
    <row r="4" spans="1:10" ht="15.75">
      <c r="A4" s="286" t="s">
        <v>683</v>
      </c>
      <c r="B4" s="399"/>
      <c r="C4" s="399"/>
      <c r="D4" s="399"/>
      <c r="E4" s="399"/>
      <c r="F4" s="399"/>
      <c r="G4" s="399"/>
      <c r="H4" s="399"/>
      <c r="I4" s="399"/>
      <c r="J4" s="399"/>
    </row>
    <row r="5" spans="1:10" ht="15.75">
      <c r="A5" s="286" t="s">
        <v>434</v>
      </c>
      <c r="B5" s="317"/>
      <c r="C5" s="286"/>
      <c r="D5" s="286"/>
      <c r="E5" s="286"/>
      <c r="F5" s="286"/>
      <c r="G5" s="314"/>
      <c r="H5" s="314"/>
      <c r="I5" s="314"/>
      <c r="J5" s="314"/>
    </row>
    <row r="6" spans="1:10" ht="15.75">
      <c r="A6" s="402"/>
      <c r="B6" s="342"/>
      <c r="C6" s="342"/>
      <c r="D6" s="342"/>
      <c r="E6" s="342"/>
      <c r="F6" s="342"/>
      <c r="G6" s="342"/>
      <c r="H6" s="342"/>
      <c r="I6" s="342"/>
      <c r="J6" s="342"/>
    </row>
    <row r="7" spans="1:10" ht="11.25">
      <c r="A7" s="472"/>
      <c r="B7" s="472"/>
      <c r="C7" s="472"/>
      <c r="D7" s="472"/>
      <c r="E7" s="472"/>
      <c r="F7" s="472"/>
      <c r="G7" s="472"/>
      <c r="H7" s="472"/>
      <c r="I7" s="472"/>
      <c r="J7" s="472" t="s">
        <v>684</v>
      </c>
    </row>
    <row r="8" spans="1:10" ht="56.25">
      <c r="A8" s="289" t="s">
        <v>685</v>
      </c>
      <c r="B8" s="289" t="s">
        <v>686</v>
      </c>
      <c r="C8" s="289" t="s">
        <v>687</v>
      </c>
      <c r="D8" s="289" t="s">
        <v>688</v>
      </c>
      <c r="E8" s="289" t="s">
        <v>689</v>
      </c>
      <c r="F8" s="289" t="s">
        <v>690</v>
      </c>
      <c r="G8" s="289" t="s">
        <v>691</v>
      </c>
      <c r="H8" s="501" t="s">
        <v>692</v>
      </c>
      <c r="I8" s="502"/>
      <c r="J8" s="289" t="s">
        <v>693</v>
      </c>
    </row>
    <row r="9" spans="1:10" ht="11.25">
      <c r="A9" s="289"/>
      <c r="B9" s="289"/>
      <c r="C9" s="289"/>
      <c r="D9" s="289"/>
      <c r="E9" s="289"/>
      <c r="F9" s="289"/>
      <c r="G9" s="289"/>
      <c r="H9" s="289" t="s">
        <v>694</v>
      </c>
      <c r="I9" s="289" t="s">
        <v>695</v>
      </c>
      <c r="J9" s="289"/>
    </row>
    <row r="10" spans="1:10" ht="11.25">
      <c r="A10" s="503">
        <v>1</v>
      </c>
      <c r="B10" s="503">
        <v>2</v>
      </c>
      <c r="C10" s="503">
        <v>3</v>
      </c>
      <c r="D10" s="503">
        <v>4</v>
      </c>
      <c r="E10" s="503">
        <v>5</v>
      </c>
      <c r="F10" s="503">
        <v>6</v>
      </c>
      <c r="G10" s="503">
        <v>7</v>
      </c>
      <c r="H10" s="503">
        <v>8</v>
      </c>
      <c r="I10" s="503">
        <v>9</v>
      </c>
      <c r="J10" s="503">
        <v>10</v>
      </c>
    </row>
    <row r="11" spans="1:10" ht="12">
      <c r="A11" s="325" t="s">
        <v>696</v>
      </c>
      <c r="B11" s="504">
        <v>90000</v>
      </c>
      <c r="C11" s="504">
        <v>1187975</v>
      </c>
      <c r="D11" s="293">
        <v>22350</v>
      </c>
      <c r="E11" s="504">
        <v>5794225</v>
      </c>
      <c r="F11" s="504">
        <v>5631</v>
      </c>
      <c r="G11" s="293"/>
      <c r="H11" s="293"/>
      <c r="I11" s="293"/>
      <c r="J11" s="504">
        <f aca="true" t="shared" si="0" ref="J11:J44">SUM(B11:I11)</f>
        <v>7100181</v>
      </c>
    </row>
    <row r="12" spans="1:10" ht="12">
      <c r="A12" s="325" t="s">
        <v>697</v>
      </c>
      <c r="B12" s="293">
        <v>50000</v>
      </c>
      <c r="C12" s="293">
        <v>154762</v>
      </c>
      <c r="D12" s="293">
        <v>2196</v>
      </c>
      <c r="E12" s="504">
        <v>919015</v>
      </c>
      <c r="F12" s="504">
        <v>4861</v>
      </c>
      <c r="G12" s="293"/>
      <c r="H12" s="293"/>
      <c r="I12" s="293"/>
      <c r="J12" s="504">
        <f t="shared" si="0"/>
        <v>1130834</v>
      </c>
    </row>
    <row r="13" spans="1:10" ht="12">
      <c r="A13" s="325" t="s">
        <v>698</v>
      </c>
      <c r="B13" s="293">
        <v>130000</v>
      </c>
      <c r="C13" s="293">
        <v>131281</v>
      </c>
      <c r="D13" s="293">
        <v>6223</v>
      </c>
      <c r="E13" s="504">
        <v>579282</v>
      </c>
      <c r="F13" s="293">
        <v>2097</v>
      </c>
      <c r="G13" s="293"/>
      <c r="H13" s="293"/>
      <c r="I13" s="293"/>
      <c r="J13" s="504">
        <f t="shared" si="0"/>
        <v>848883</v>
      </c>
    </row>
    <row r="14" spans="1:10" ht="12">
      <c r="A14" s="325" t="s">
        <v>699</v>
      </c>
      <c r="B14" s="293"/>
      <c r="C14" s="293">
        <v>39845</v>
      </c>
      <c r="D14" s="293">
        <v>390</v>
      </c>
      <c r="E14" s="504">
        <v>452972</v>
      </c>
      <c r="F14" s="293">
        <v>588</v>
      </c>
      <c r="G14" s="293"/>
      <c r="H14" s="293"/>
      <c r="I14" s="293"/>
      <c r="J14" s="504">
        <f t="shared" si="0"/>
        <v>493795</v>
      </c>
    </row>
    <row r="15" spans="1:10" ht="12">
      <c r="A15" s="325" t="s">
        <v>700</v>
      </c>
      <c r="B15" s="293">
        <v>52000</v>
      </c>
      <c r="C15" s="293">
        <v>195746</v>
      </c>
      <c r="D15" s="293">
        <v>2197</v>
      </c>
      <c r="E15" s="504">
        <v>709029</v>
      </c>
      <c r="F15" s="293">
        <v>2138</v>
      </c>
      <c r="G15" s="293"/>
      <c r="H15" s="293"/>
      <c r="I15" s="293"/>
      <c r="J15" s="504">
        <f t="shared" si="0"/>
        <v>961110</v>
      </c>
    </row>
    <row r="16" spans="1:10" ht="12">
      <c r="A16" s="325" t="s">
        <v>701</v>
      </c>
      <c r="B16" s="293"/>
      <c r="C16" s="293">
        <v>137959</v>
      </c>
      <c r="D16" s="293">
        <v>1830</v>
      </c>
      <c r="E16" s="293">
        <v>347047</v>
      </c>
      <c r="F16" s="293">
        <v>2259</v>
      </c>
      <c r="G16" s="293"/>
      <c r="H16" s="293"/>
      <c r="I16" s="293"/>
      <c r="J16" s="504">
        <f t="shared" si="0"/>
        <v>489095</v>
      </c>
    </row>
    <row r="17" spans="1:10" ht="12">
      <c r="A17" s="325" t="s">
        <v>702</v>
      </c>
      <c r="B17" s="293"/>
      <c r="C17" s="293">
        <v>40728</v>
      </c>
      <c r="D17" s="293">
        <v>1464</v>
      </c>
      <c r="E17" s="504">
        <v>361214</v>
      </c>
      <c r="F17" s="293">
        <v>60</v>
      </c>
      <c r="G17" s="293"/>
      <c r="H17" s="293"/>
      <c r="I17" s="293"/>
      <c r="J17" s="504">
        <f t="shared" si="0"/>
        <v>403466</v>
      </c>
    </row>
    <row r="18" spans="1:10" ht="12">
      <c r="A18" s="325" t="s">
        <v>703</v>
      </c>
      <c r="B18" s="293">
        <v>19600</v>
      </c>
      <c r="C18" s="293">
        <v>131969</v>
      </c>
      <c r="D18" s="293">
        <v>1464</v>
      </c>
      <c r="E18" s="504">
        <v>495431</v>
      </c>
      <c r="F18" s="293">
        <v>1280</v>
      </c>
      <c r="G18" s="293"/>
      <c r="H18" s="293">
        <v>1750</v>
      </c>
      <c r="I18" s="293"/>
      <c r="J18" s="504">
        <f t="shared" si="0"/>
        <v>651494</v>
      </c>
    </row>
    <row r="19" spans="1:10" ht="12">
      <c r="A19" s="325" t="s">
        <v>704</v>
      </c>
      <c r="B19" s="293">
        <v>5000</v>
      </c>
      <c r="C19" s="293">
        <v>150240</v>
      </c>
      <c r="D19" s="293">
        <v>1830</v>
      </c>
      <c r="E19" s="293">
        <v>301206</v>
      </c>
      <c r="F19" s="293">
        <v>1174</v>
      </c>
      <c r="G19" s="293"/>
      <c r="H19" s="293"/>
      <c r="I19" s="293"/>
      <c r="J19" s="504">
        <f t="shared" si="0"/>
        <v>459450</v>
      </c>
    </row>
    <row r="20" spans="1:10" ht="12">
      <c r="A20" s="325" t="s">
        <v>705</v>
      </c>
      <c r="B20" s="293">
        <v>37000</v>
      </c>
      <c r="C20" s="293">
        <v>123604</v>
      </c>
      <c r="D20" s="293">
        <v>2929</v>
      </c>
      <c r="E20" s="293">
        <v>338333</v>
      </c>
      <c r="F20" s="293">
        <v>1878</v>
      </c>
      <c r="G20" s="293"/>
      <c r="H20" s="293">
        <v>1750</v>
      </c>
      <c r="I20" s="293"/>
      <c r="J20" s="504">
        <f t="shared" si="0"/>
        <v>505494</v>
      </c>
    </row>
    <row r="21" spans="1:10" ht="12">
      <c r="A21" s="325" t="s">
        <v>706</v>
      </c>
      <c r="B21" s="293">
        <v>10000</v>
      </c>
      <c r="C21" s="293">
        <v>206213</v>
      </c>
      <c r="D21" s="293">
        <v>2563</v>
      </c>
      <c r="E21" s="504">
        <v>571564</v>
      </c>
      <c r="F21" s="293">
        <v>1166</v>
      </c>
      <c r="G21" s="293"/>
      <c r="H21" s="293"/>
      <c r="I21" s="293"/>
      <c r="J21" s="504">
        <f t="shared" si="0"/>
        <v>791506</v>
      </c>
    </row>
    <row r="22" spans="1:10" ht="12">
      <c r="A22" s="325" t="s">
        <v>707</v>
      </c>
      <c r="B22" s="293"/>
      <c r="C22" s="504">
        <v>366826</v>
      </c>
      <c r="D22" s="293">
        <v>2929</v>
      </c>
      <c r="E22" s="504">
        <v>692634</v>
      </c>
      <c r="F22" s="293">
        <v>1640</v>
      </c>
      <c r="G22" s="293"/>
      <c r="H22" s="293"/>
      <c r="I22" s="293"/>
      <c r="J22" s="504">
        <f t="shared" si="0"/>
        <v>1064029</v>
      </c>
    </row>
    <row r="23" spans="1:10" ht="12">
      <c r="A23" s="325" t="s">
        <v>708</v>
      </c>
      <c r="B23" s="293">
        <v>80000</v>
      </c>
      <c r="C23" s="293">
        <v>110606</v>
      </c>
      <c r="D23" s="293">
        <v>1098</v>
      </c>
      <c r="E23" s="504">
        <v>414171</v>
      </c>
      <c r="F23" s="293">
        <v>1623</v>
      </c>
      <c r="G23" s="293"/>
      <c r="H23" s="293"/>
      <c r="I23" s="293"/>
      <c r="J23" s="504">
        <f t="shared" si="0"/>
        <v>607498</v>
      </c>
    </row>
    <row r="24" spans="1:10" ht="12">
      <c r="A24" s="325" t="s">
        <v>709</v>
      </c>
      <c r="B24" s="293">
        <v>13200</v>
      </c>
      <c r="C24" s="293">
        <v>48794</v>
      </c>
      <c r="D24" s="293">
        <v>1831</v>
      </c>
      <c r="E24" s="504">
        <v>487181</v>
      </c>
      <c r="F24" s="293">
        <v>358</v>
      </c>
      <c r="G24" s="293"/>
      <c r="H24" s="293">
        <v>3250</v>
      </c>
      <c r="I24" s="293"/>
      <c r="J24" s="504">
        <f t="shared" si="0"/>
        <v>554614</v>
      </c>
    </row>
    <row r="25" spans="1:10" ht="12">
      <c r="A25" s="325" t="s">
        <v>710</v>
      </c>
      <c r="B25" s="293">
        <v>16200</v>
      </c>
      <c r="C25" s="293">
        <v>47419</v>
      </c>
      <c r="D25" s="293">
        <v>1098</v>
      </c>
      <c r="E25" s="293">
        <v>314191</v>
      </c>
      <c r="F25" s="293">
        <v>120</v>
      </c>
      <c r="G25" s="293"/>
      <c r="H25" s="293"/>
      <c r="I25" s="293"/>
      <c r="J25" s="504">
        <f t="shared" si="0"/>
        <v>379028</v>
      </c>
    </row>
    <row r="26" spans="1:10" ht="12">
      <c r="A26" s="325" t="s">
        <v>711</v>
      </c>
      <c r="B26" s="293"/>
      <c r="C26" s="293">
        <v>95072</v>
      </c>
      <c r="D26" s="293">
        <v>1464</v>
      </c>
      <c r="E26" s="504">
        <v>413790</v>
      </c>
      <c r="F26" s="293">
        <v>2070</v>
      </c>
      <c r="G26" s="293"/>
      <c r="H26" s="293"/>
      <c r="I26" s="293"/>
      <c r="J26" s="504">
        <f t="shared" si="0"/>
        <v>512396</v>
      </c>
    </row>
    <row r="27" spans="1:10" ht="12">
      <c r="A27" s="325" t="s">
        <v>712</v>
      </c>
      <c r="B27" s="293">
        <v>20000</v>
      </c>
      <c r="C27" s="293">
        <v>163511</v>
      </c>
      <c r="D27" s="293">
        <v>1831</v>
      </c>
      <c r="E27" s="504">
        <v>566304</v>
      </c>
      <c r="F27" s="293">
        <v>3370</v>
      </c>
      <c r="G27" s="293"/>
      <c r="H27" s="293"/>
      <c r="I27" s="293"/>
      <c r="J27" s="504">
        <f t="shared" si="0"/>
        <v>755016</v>
      </c>
    </row>
    <row r="28" spans="1:10" ht="12">
      <c r="A28" s="325" t="s">
        <v>713</v>
      </c>
      <c r="B28" s="293">
        <v>4000</v>
      </c>
      <c r="C28" s="293">
        <v>49099</v>
      </c>
      <c r="D28" s="293">
        <v>1164</v>
      </c>
      <c r="E28" s="504">
        <v>413733</v>
      </c>
      <c r="F28" s="293">
        <v>1964</v>
      </c>
      <c r="G28" s="293"/>
      <c r="H28" s="293">
        <v>1750</v>
      </c>
      <c r="I28" s="293"/>
      <c r="J28" s="504">
        <f t="shared" si="0"/>
        <v>471710</v>
      </c>
    </row>
    <row r="29" spans="1:10" ht="12">
      <c r="A29" s="325" t="s">
        <v>714</v>
      </c>
      <c r="B29" s="293">
        <v>81000</v>
      </c>
      <c r="C29" s="293">
        <v>158864</v>
      </c>
      <c r="D29" s="293">
        <v>1830</v>
      </c>
      <c r="E29" s="504">
        <v>499507</v>
      </c>
      <c r="F29" s="293">
        <v>554</v>
      </c>
      <c r="G29" s="293"/>
      <c r="H29" s="293"/>
      <c r="I29" s="293"/>
      <c r="J29" s="504">
        <f t="shared" si="0"/>
        <v>741755</v>
      </c>
    </row>
    <row r="30" spans="1:10" ht="12">
      <c r="A30" s="325" t="s">
        <v>715</v>
      </c>
      <c r="B30" s="293">
        <v>10000</v>
      </c>
      <c r="C30" s="293">
        <v>184394</v>
      </c>
      <c r="D30" s="293">
        <v>1830</v>
      </c>
      <c r="E30" s="504">
        <v>549719</v>
      </c>
      <c r="F30" s="293">
        <v>543</v>
      </c>
      <c r="G30" s="293"/>
      <c r="H30" s="293">
        <v>1750</v>
      </c>
      <c r="I30" s="293"/>
      <c r="J30" s="504">
        <f t="shared" si="0"/>
        <v>748236</v>
      </c>
    </row>
    <row r="31" spans="1:10" ht="12">
      <c r="A31" s="325" t="s">
        <v>716</v>
      </c>
      <c r="B31" s="293">
        <v>10000</v>
      </c>
      <c r="C31" s="293">
        <v>56611</v>
      </c>
      <c r="D31" s="293">
        <v>1830</v>
      </c>
      <c r="E31" s="504">
        <v>445905</v>
      </c>
      <c r="F31" s="293">
        <v>696</v>
      </c>
      <c r="G31" s="293"/>
      <c r="H31" s="293">
        <v>1750</v>
      </c>
      <c r="I31" s="293"/>
      <c r="J31" s="504">
        <f t="shared" si="0"/>
        <v>516792</v>
      </c>
    </row>
    <row r="32" spans="1:10" ht="12">
      <c r="A32" s="325" t="s">
        <v>717</v>
      </c>
      <c r="B32" s="293"/>
      <c r="C32" s="293">
        <v>50744</v>
      </c>
      <c r="D32" s="293">
        <v>1830</v>
      </c>
      <c r="E32" s="504">
        <v>374446</v>
      </c>
      <c r="F32" s="293">
        <v>2484</v>
      </c>
      <c r="G32" s="293"/>
      <c r="H32" s="293"/>
      <c r="I32" s="293"/>
      <c r="J32" s="504">
        <f t="shared" si="0"/>
        <v>429504</v>
      </c>
    </row>
    <row r="33" spans="1:10" ht="12">
      <c r="A33" s="325" t="s">
        <v>718</v>
      </c>
      <c r="B33" s="293">
        <v>70000</v>
      </c>
      <c r="C33" s="293">
        <v>96741</v>
      </c>
      <c r="D33" s="293">
        <v>3295</v>
      </c>
      <c r="E33" s="504">
        <v>503459</v>
      </c>
      <c r="F33" s="293">
        <v>1071</v>
      </c>
      <c r="G33" s="293"/>
      <c r="H33" s="293"/>
      <c r="I33" s="293"/>
      <c r="J33" s="504">
        <f t="shared" si="0"/>
        <v>674566</v>
      </c>
    </row>
    <row r="34" spans="1:10" ht="12">
      <c r="A34" s="325" t="s">
        <v>719</v>
      </c>
      <c r="B34" s="293"/>
      <c r="C34" s="293">
        <v>97683</v>
      </c>
      <c r="D34" s="293">
        <v>2929</v>
      </c>
      <c r="E34" s="504">
        <v>650242</v>
      </c>
      <c r="F34" s="293">
        <v>756</v>
      </c>
      <c r="G34" s="293"/>
      <c r="H34" s="293"/>
      <c r="I34" s="293"/>
      <c r="J34" s="504">
        <f t="shared" si="0"/>
        <v>751610</v>
      </c>
    </row>
    <row r="35" spans="1:10" ht="12">
      <c r="A35" s="325" t="s">
        <v>720</v>
      </c>
      <c r="B35" s="293">
        <v>40000</v>
      </c>
      <c r="C35" s="293">
        <v>138032</v>
      </c>
      <c r="D35" s="293">
        <v>2928</v>
      </c>
      <c r="E35" s="504">
        <v>462697</v>
      </c>
      <c r="F35" s="293">
        <v>1896</v>
      </c>
      <c r="G35" s="293"/>
      <c r="H35" s="293"/>
      <c r="I35" s="293"/>
      <c r="J35" s="504">
        <f t="shared" si="0"/>
        <v>645553</v>
      </c>
    </row>
    <row r="36" spans="1:10" ht="12">
      <c r="A36" s="325" t="s">
        <v>721</v>
      </c>
      <c r="B36" s="293"/>
      <c r="C36" s="293">
        <v>211281</v>
      </c>
      <c r="D36" s="293">
        <v>1830</v>
      </c>
      <c r="E36" s="504">
        <v>432205</v>
      </c>
      <c r="F36" s="293">
        <v>3175</v>
      </c>
      <c r="G36" s="293"/>
      <c r="H36" s="293"/>
      <c r="I36" s="293"/>
      <c r="J36" s="504">
        <f t="shared" si="0"/>
        <v>648491</v>
      </c>
    </row>
    <row r="37" spans="1:10" ht="12">
      <c r="A37" s="325" t="s">
        <v>722</v>
      </c>
      <c r="B37" s="293">
        <v>95000</v>
      </c>
      <c r="C37" s="293">
        <v>191885</v>
      </c>
      <c r="D37" s="293">
        <v>5856</v>
      </c>
      <c r="E37" s="504">
        <v>1232582</v>
      </c>
      <c r="F37" s="293">
        <v>1413</v>
      </c>
      <c r="G37" s="293"/>
      <c r="H37" s="293">
        <v>6520</v>
      </c>
      <c r="I37" s="293"/>
      <c r="J37" s="504">
        <f t="shared" si="0"/>
        <v>1533256</v>
      </c>
    </row>
    <row r="38" spans="1:10" ht="12">
      <c r="A38" s="325" t="s">
        <v>723</v>
      </c>
      <c r="B38" s="293">
        <v>29000</v>
      </c>
      <c r="C38" s="293">
        <v>213650</v>
      </c>
      <c r="D38" s="293">
        <v>1830</v>
      </c>
      <c r="E38" s="504">
        <v>444169</v>
      </c>
      <c r="F38" s="293">
        <v>727</v>
      </c>
      <c r="G38" s="293"/>
      <c r="H38" s="293"/>
      <c r="I38" s="293"/>
      <c r="J38" s="504">
        <f t="shared" si="0"/>
        <v>689376</v>
      </c>
    </row>
    <row r="39" spans="1:10" ht="12">
      <c r="A39" s="325" t="s">
        <v>724</v>
      </c>
      <c r="B39" s="293">
        <v>10000</v>
      </c>
      <c r="C39" s="293">
        <v>79180</v>
      </c>
      <c r="D39" s="293">
        <v>2562</v>
      </c>
      <c r="E39" s="504">
        <v>577623</v>
      </c>
      <c r="F39" s="293">
        <v>1157</v>
      </c>
      <c r="G39" s="293"/>
      <c r="H39" s="293">
        <v>1750</v>
      </c>
      <c r="I39" s="293"/>
      <c r="J39" s="504">
        <f t="shared" si="0"/>
        <v>672272</v>
      </c>
    </row>
    <row r="40" spans="1:10" ht="12">
      <c r="A40" s="325" t="s">
        <v>725</v>
      </c>
      <c r="B40" s="504">
        <v>1000</v>
      </c>
      <c r="C40" s="293">
        <v>276474</v>
      </c>
      <c r="D40" s="293">
        <v>1830</v>
      </c>
      <c r="E40" s="504">
        <v>590995</v>
      </c>
      <c r="F40" s="293">
        <v>859</v>
      </c>
      <c r="G40" s="504"/>
      <c r="H40" s="504"/>
      <c r="I40" s="504"/>
      <c r="J40" s="504">
        <f t="shared" si="0"/>
        <v>871158</v>
      </c>
    </row>
    <row r="41" spans="1:10" ht="12">
      <c r="A41" s="325" t="s">
        <v>726</v>
      </c>
      <c r="B41" s="293">
        <v>76000</v>
      </c>
      <c r="C41" s="293">
        <v>67343</v>
      </c>
      <c r="D41" s="293">
        <v>2928</v>
      </c>
      <c r="E41" s="504">
        <v>380312</v>
      </c>
      <c r="F41" s="293">
        <v>124</v>
      </c>
      <c r="G41" s="504"/>
      <c r="H41" s="504">
        <v>1750</v>
      </c>
      <c r="I41" s="504"/>
      <c r="J41" s="504">
        <f t="shared" si="0"/>
        <v>528457</v>
      </c>
    </row>
    <row r="42" spans="1:10" ht="12">
      <c r="A42" s="325" t="s">
        <v>727</v>
      </c>
      <c r="B42" s="293"/>
      <c r="C42" s="293">
        <v>251545</v>
      </c>
      <c r="D42" s="293">
        <v>3294</v>
      </c>
      <c r="E42" s="504">
        <v>702112</v>
      </c>
      <c r="F42" s="293">
        <v>148</v>
      </c>
      <c r="G42" s="504"/>
      <c r="H42" s="504"/>
      <c r="I42" s="504"/>
      <c r="J42" s="504">
        <f t="shared" si="0"/>
        <v>957099</v>
      </c>
    </row>
    <row r="43" spans="1:10" ht="12">
      <c r="A43" s="325" t="s">
        <v>728</v>
      </c>
      <c r="B43" s="325">
        <v>1000</v>
      </c>
      <c r="C43" s="293">
        <v>65197</v>
      </c>
      <c r="D43" s="293">
        <v>1398</v>
      </c>
      <c r="E43" s="293">
        <v>163444</v>
      </c>
      <c r="F43" s="293">
        <v>120</v>
      </c>
      <c r="G43" s="325"/>
      <c r="H43" s="504"/>
      <c r="I43" s="504"/>
      <c r="J43" s="504">
        <f t="shared" si="0"/>
        <v>231159</v>
      </c>
    </row>
    <row r="44" spans="1:10" ht="12">
      <c r="A44" s="505" t="s">
        <v>729</v>
      </c>
      <c r="B44" s="506">
        <f>SUM(B11:B43)</f>
        <v>950000</v>
      </c>
      <c r="C44" s="506">
        <f>SUM(C11:C43)</f>
        <v>5521273</v>
      </c>
      <c r="D44" s="506">
        <f>SUM(D11:D43)</f>
        <v>94851</v>
      </c>
      <c r="E44" s="506">
        <f>SUM(E11:E43)</f>
        <v>22180739</v>
      </c>
      <c r="F44" s="506">
        <f>SUM(F11:F43)</f>
        <v>50000</v>
      </c>
      <c r="G44" s="504"/>
      <c r="H44" s="506">
        <f>SUM(H11:H43)</f>
        <v>22020</v>
      </c>
      <c r="I44" s="507"/>
      <c r="J44" s="506">
        <f t="shared" si="0"/>
        <v>28818883</v>
      </c>
    </row>
    <row r="45" spans="1:10" ht="12">
      <c r="A45" s="508"/>
      <c r="B45" s="509"/>
      <c r="C45" s="509"/>
      <c r="D45" s="509"/>
      <c r="E45" s="509"/>
      <c r="F45" s="509"/>
      <c r="G45" s="509"/>
      <c r="H45" s="509"/>
      <c r="I45" s="509"/>
      <c r="J45" s="509"/>
    </row>
    <row r="46" spans="1:10" ht="12">
      <c r="A46" s="508"/>
      <c r="B46" s="509"/>
      <c r="C46" s="509"/>
      <c r="D46" s="510"/>
      <c r="E46" s="509"/>
      <c r="F46" s="509"/>
      <c r="G46" s="509"/>
      <c r="H46" s="509"/>
      <c r="I46" s="509"/>
      <c r="J46" s="509"/>
    </row>
    <row r="47" spans="1:10" ht="12">
      <c r="A47" s="508"/>
      <c r="B47" s="509"/>
      <c r="C47" s="509"/>
      <c r="D47" s="509"/>
      <c r="E47" s="509"/>
      <c r="F47" s="509"/>
      <c r="G47" s="509"/>
      <c r="H47" s="509"/>
      <c r="I47" s="509"/>
      <c r="J47" s="509"/>
    </row>
    <row r="48" spans="1:9" ht="12.75">
      <c r="A48" s="511"/>
      <c r="B48" s="512"/>
      <c r="C48" s="513"/>
      <c r="D48" s="514"/>
      <c r="E48" s="514"/>
      <c r="F48" s="514"/>
      <c r="G48" s="514"/>
      <c r="H48" s="514"/>
      <c r="I48" s="514"/>
    </row>
    <row r="49" spans="1:10" s="342" customFormat="1" ht="12">
      <c r="A49" s="395" t="s">
        <v>544</v>
      </c>
      <c r="B49" s="395"/>
      <c r="C49" s="515"/>
      <c r="D49" s="516"/>
      <c r="E49" s="369"/>
      <c r="F49" s="369"/>
      <c r="G49" s="395" t="s">
        <v>650</v>
      </c>
      <c r="H49" s="516"/>
      <c r="I49" s="369"/>
      <c r="J49" s="307" t="s">
        <v>479</v>
      </c>
    </row>
    <row r="50" spans="1:10" ht="12">
      <c r="A50" s="517"/>
      <c r="B50" s="518"/>
      <c r="C50" s="518"/>
      <c r="D50" s="518"/>
      <c r="E50" s="516"/>
      <c r="F50" s="516"/>
      <c r="G50" s="519"/>
      <c r="H50" s="519"/>
      <c r="I50" s="519"/>
      <c r="J50" s="516"/>
    </row>
    <row r="62" ht="11.25">
      <c r="A62" s="288" t="s">
        <v>480</v>
      </c>
    </row>
    <row r="63" ht="11.25">
      <c r="A63" s="284" t="s">
        <v>481</v>
      </c>
    </row>
  </sheetData>
  <printOptions/>
  <pageMargins left="0.45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119"/>
  <sheetViews>
    <sheetView workbookViewId="0" topLeftCell="G1">
      <selection activeCell="I16" sqref="I16"/>
    </sheetView>
  </sheetViews>
  <sheetFormatPr defaultColWidth="9.140625" defaultRowHeight="12.75"/>
  <cols>
    <col min="1" max="1" width="39.7109375" style="1" hidden="1" customWidth="1"/>
    <col min="2" max="2" width="15.140625" style="1" hidden="1" customWidth="1"/>
    <col min="3" max="3" width="10.28125" style="41" hidden="1" customWidth="1"/>
    <col min="4" max="4" width="11.7109375" style="1" hidden="1" customWidth="1"/>
    <col min="5" max="5" width="7.421875" style="1" hidden="1" customWidth="1"/>
    <col min="6" max="6" width="11.421875" style="1" hidden="1" customWidth="1"/>
    <col min="7" max="7" width="37.421875" style="1" customWidth="1"/>
    <col min="8" max="8" width="12.28125" style="1" customWidth="1"/>
    <col min="9" max="10" width="11.140625" style="1" customWidth="1"/>
    <col min="11" max="11" width="10.8515625" style="1" customWidth="1"/>
    <col min="12" max="12" width="10.57421875" style="1" customWidth="1"/>
    <col min="13" max="16384" width="9.140625" style="1" customWidth="1"/>
  </cols>
  <sheetData>
    <row r="1" spans="6:12" ht="12.75">
      <c r="F1" s="42" t="s">
        <v>93</v>
      </c>
      <c r="L1" s="42" t="s">
        <v>93</v>
      </c>
    </row>
    <row r="2" spans="1:11" ht="14.25">
      <c r="A2" s="43" t="s">
        <v>94</v>
      </c>
      <c r="B2" s="3"/>
      <c r="C2" s="44"/>
      <c r="D2" s="45"/>
      <c r="E2" s="3"/>
      <c r="G2" s="43" t="s">
        <v>94</v>
      </c>
      <c r="H2" s="3"/>
      <c r="I2" s="43"/>
      <c r="J2" s="45"/>
      <c r="K2" s="3"/>
    </row>
    <row r="3" spans="1:11" ht="6" customHeight="1">
      <c r="A3" s="46"/>
      <c r="B3" s="37"/>
      <c r="C3" s="47"/>
      <c r="D3" s="37"/>
      <c r="E3" s="37"/>
      <c r="G3" s="46"/>
      <c r="H3" s="37"/>
      <c r="I3" s="37"/>
      <c r="J3" s="37"/>
      <c r="K3" s="37"/>
    </row>
    <row r="4" spans="1:11" ht="15.75">
      <c r="A4" s="48" t="s">
        <v>95</v>
      </c>
      <c r="B4" s="43"/>
      <c r="C4" s="44"/>
      <c r="D4" s="43"/>
      <c r="E4" s="43"/>
      <c r="G4" s="48" t="s">
        <v>96</v>
      </c>
      <c r="H4" s="43"/>
      <c r="I4" s="43"/>
      <c r="J4" s="43"/>
      <c r="K4" s="43"/>
    </row>
    <row r="5" spans="1:12" ht="9" customHeight="1">
      <c r="A5" s="49"/>
      <c r="B5" s="37"/>
      <c r="C5" s="47"/>
      <c r="D5" s="50"/>
      <c r="E5" s="51"/>
      <c r="F5" s="52" t="s">
        <v>97</v>
      </c>
      <c r="G5" s="49"/>
      <c r="H5" s="37"/>
      <c r="I5" s="37"/>
      <c r="J5" s="50"/>
      <c r="K5" s="51"/>
      <c r="L5" s="52" t="s">
        <v>97</v>
      </c>
    </row>
    <row r="6" spans="1:12" ht="44.25" customHeight="1">
      <c r="A6" s="7" t="s">
        <v>5</v>
      </c>
      <c r="B6" s="7" t="s">
        <v>6</v>
      </c>
      <c r="C6" s="53" t="s">
        <v>98</v>
      </c>
      <c r="D6" s="7" t="s">
        <v>7</v>
      </c>
      <c r="E6" s="7" t="s">
        <v>99</v>
      </c>
      <c r="F6" s="7" t="s">
        <v>100</v>
      </c>
      <c r="G6" s="7" t="s">
        <v>5</v>
      </c>
      <c r="H6" s="7" t="s">
        <v>6</v>
      </c>
      <c r="I6" s="7" t="s">
        <v>98</v>
      </c>
      <c r="J6" s="7" t="s">
        <v>7</v>
      </c>
      <c r="K6" s="7" t="s">
        <v>99</v>
      </c>
      <c r="L6" s="7" t="s">
        <v>100</v>
      </c>
    </row>
    <row r="7" spans="1:12" ht="15.75" customHeight="1">
      <c r="A7" s="54">
        <v>1</v>
      </c>
      <c r="B7" s="55">
        <v>2</v>
      </c>
      <c r="C7" s="56">
        <v>3</v>
      </c>
      <c r="D7" s="57">
        <v>4</v>
      </c>
      <c r="E7" s="57">
        <v>5</v>
      </c>
      <c r="F7" s="55">
        <v>6</v>
      </c>
      <c r="G7" s="54">
        <v>1</v>
      </c>
      <c r="H7" s="55">
        <v>2</v>
      </c>
      <c r="I7" s="57">
        <v>3</v>
      </c>
      <c r="J7" s="57">
        <v>4</v>
      </c>
      <c r="K7" s="57">
        <v>5</v>
      </c>
      <c r="L7" s="55">
        <v>6</v>
      </c>
    </row>
    <row r="8" spans="1:12" ht="15" customHeight="1">
      <c r="A8" s="58" t="s">
        <v>101</v>
      </c>
      <c r="B8" s="59">
        <f>SUM(B9,B17,B33)</f>
        <v>720918773</v>
      </c>
      <c r="C8" s="60">
        <v>0.928</v>
      </c>
      <c r="D8" s="59">
        <f>SUM(D9,D17,D33)</f>
        <v>208689377</v>
      </c>
      <c r="E8" s="40">
        <f aca="true" t="shared" si="0" ref="E8:E34">IF(ISERROR(D8/B8)," ",(D8/B8))</f>
        <v>0.28947696303089615</v>
      </c>
      <c r="F8" s="59">
        <f>SUM(F9,F17,F33)</f>
        <v>48332622</v>
      </c>
      <c r="G8" s="58" t="s">
        <v>101</v>
      </c>
      <c r="H8" s="59">
        <v>720919</v>
      </c>
      <c r="I8" s="61">
        <v>0.928</v>
      </c>
      <c r="J8" s="59">
        <v>208688</v>
      </c>
      <c r="K8" s="62">
        <v>0.2894749618195664</v>
      </c>
      <c r="L8" s="59">
        <v>48331</v>
      </c>
    </row>
    <row r="9" spans="1:12" ht="12.75">
      <c r="A9" s="63" t="s">
        <v>102</v>
      </c>
      <c r="B9" s="59">
        <f>SUM(B10,B12,B16)</f>
        <v>577462850</v>
      </c>
      <c r="C9" s="60">
        <v>0.909</v>
      </c>
      <c r="D9" s="59">
        <f>SUM(D10,D12,D16)</f>
        <v>176887303</v>
      </c>
      <c r="E9" s="40">
        <f t="shared" si="0"/>
        <v>0.3063180653093095</v>
      </c>
      <c r="F9" s="59">
        <f>SUM(F10,F12,F16)</f>
        <v>41129563</v>
      </c>
      <c r="G9" s="63" t="s">
        <v>102</v>
      </c>
      <c r="H9" s="64">
        <v>577463</v>
      </c>
      <c r="I9" s="65">
        <v>0.909</v>
      </c>
      <c r="J9" s="64">
        <v>176886</v>
      </c>
      <c r="K9" s="66">
        <v>0.3063157293194542</v>
      </c>
      <c r="L9" s="64">
        <v>41129</v>
      </c>
    </row>
    <row r="10" spans="1:12" ht="15" customHeight="1">
      <c r="A10" s="67" t="s">
        <v>103</v>
      </c>
      <c r="B10" s="59">
        <f>SUM(B11)</f>
        <v>90900000</v>
      </c>
      <c r="C10" s="60">
        <v>0.918</v>
      </c>
      <c r="D10" s="59">
        <f>SUM(D11)</f>
        <v>32525290</v>
      </c>
      <c r="E10" s="40">
        <f t="shared" si="0"/>
        <v>0.3578139713971397</v>
      </c>
      <c r="F10" s="59">
        <f>SUM(F11)</f>
        <v>8271943</v>
      </c>
      <c r="G10" s="67" t="s">
        <v>103</v>
      </c>
      <c r="H10" s="68">
        <v>90900</v>
      </c>
      <c r="I10" s="69">
        <v>0.918</v>
      </c>
      <c r="J10" s="68">
        <v>32525</v>
      </c>
      <c r="K10" s="70">
        <v>0.3578107810781078</v>
      </c>
      <c r="L10" s="68">
        <v>8272</v>
      </c>
    </row>
    <row r="11" spans="1:12" ht="12.75">
      <c r="A11" s="18" t="s">
        <v>104</v>
      </c>
      <c r="B11" s="71">
        <v>90900000</v>
      </c>
      <c r="C11" s="72">
        <v>0.918</v>
      </c>
      <c r="D11" s="71">
        <v>32525290</v>
      </c>
      <c r="E11" s="40">
        <f t="shared" si="0"/>
        <v>0.3578139713971397</v>
      </c>
      <c r="F11" s="71">
        <f>D11-'[2]Marts'!D11</f>
        <v>8271943</v>
      </c>
      <c r="G11" s="18" t="s">
        <v>104</v>
      </c>
      <c r="H11" s="71">
        <v>90900</v>
      </c>
      <c r="I11" s="73">
        <v>0.918</v>
      </c>
      <c r="J11" s="71">
        <v>32525</v>
      </c>
      <c r="K11" s="74">
        <v>0.3578107810781078</v>
      </c>
      <c r="L11" s="71">
        <v>8272</v>
      </c>
    </row>
    <row r="12" spans="1:12" ht="12.75">
      <c r="A12" s="67" t="s">
        <v>105</v>
      </c>
      <c r="B12" s="59">
        <f>SUM(B13:B15)</f>
        <v>486562850</v>
      </c>
      <c r="C12" s="60">
        <v>0.8597</v>
      </c>
      <c r="D12" s="59">
        <f>SUM(D13:D15)</f>
        <v>139460831</v>
      </c>
      <c r="E12" s="40">
        <f t="shared" si="0"/>
        <v>0.286624494656754</v>
      </c>
      <c r="F12" s="59">
        <f>SUM(F13:F15)</f>
        <v>34522656</v>
      </c>
      <c r="G12" s="67" t="s">
        <v>105</v>
      </c>
      <c r="H12" s="68">
        <v>486563</v>
      </c>
      <c r="I12" s="69">
        <v>0.8597</v>
      </c>
      <c r="J12" s="68">
        <v>139460</v>
      </c>
      <c r="K12" s="70">
        <v>0.2866226983967133</v>
      </c>
      <c r="L12" s="68">
        <v>34522</v>
      </c>
    </row>
    <row r="13" spans="1:12" ht="12.75">
      <c r="A13" s="18" t="s">
        <v>106</v>
      </c>
      <c r="B13" s="71">
        <v>345763150</v>
      </c>
      <c r="C13" s="72">
        <v>0.896</v>
      </c>
      <c r="D13" s="71">
        <v>99592234</v>
      </c>
      <c r="E13" s="40">
        <f t="shared" si="0"/>
        <v>0.288035998052424</v>
      </c>
      <c r="F13" s="71">
        <f>D13-'[2]Marts'!D13</f>
        <v>24248804</v>
      </c>
      <c r="G13" s="18" t="s">
        <v>106</v>
      </c>
      <c r="H13" s="71">
        <v>345763</v>
      </c>
      <c r="I13" s="73">
        <v>0.896</v>
      </c>
      <c r="J13" s="71">
        <v>99592</v>
      </c>
      <c r="K13" s="74">
        <v>0.2880354462449713</v>
      </c>
      <c r="L13" s="71">
        <v>24249</v>
      </c>
    </row>
    <row r="14" spans="1:12" ht="12.75">
      <c r="A14" s="18" t="s">
        <v>107</v>
      </c>
      <c r="B14" s="71">
        <v>122199700</v>
      </c>
      <c r="C14" s="72">
        <v>0.909</v>
      </c>
      <c r="D14" s="71">
        <v>34936379</v>
      </c>
      <c r="E14" s="40">
        <f t="shared" si="0"/>
        <v>0.28589578370486995</v>
      </c>
      <c r="F14" s="71">
        <f>D14-'[2]Marts'!D14</f>
        <v>8920341</v>
      </c>
      <c r="G14" s="18" t="s">
        <v>107</v>
      </c>
      <c r="H14" s="71">
        <v>122200</v>
      </c>
      <c r="I14" s="73">
        <v>0.909</v>
      </c>
      <c r="J14" s="71">
        <v>34936</v>
      </c>
      <c r="K14" s="74">
        <v>0.28589198036006547</v>
      </c>
      <c r="L14" s="71">
        <v>8920</v>
      </c>
    </row>
    <row r="15" spans="1:12" ht="15.75" customHeight="1">
      <c r="A15" s="75" t="s">
        <v>108</v>
      </c>
      <c r="B15" s="71">
        <v>18600000</v>
      </c>
      <c r="C15" s="72">
        <v>0.774</v>
      </c>
      <c r="D15" s="71">
        <v>4932218</v>
      </c>
      <c r="E15" s="40">
        <f t="shared" si="0"/>
        <v>0.2651730107526882</v>
      </c>
      <c r="F15" s="71">
        <f>D15-'[2]Marts'!D15</f>
        <v>1353511</v>
      </c>
      <c r="G15" s="75" t="s">
        <v>108</v>
      </c>
      <c r="H15" s="71">
        <v>18600</v>
      </c>
      <c r="I15" s="73">
        <v>0.774</v>
      </c>
      <c r="J15" s="71">
        <v>4932</v>
      </c>
      <c r="K15" s="74">
        <v>0.2651612903225806</v>
      </c>
      <c r="L15" s="71">
        <v>1353</v>
      </c>
    </row>
    <row r="16" spans="1:12" ht="17.25" customHeight="1">
      <c r="A16" s="76" t="s">
        <v>109</v>
      </c>
      <c r="B16" s="71"/>
      <c r="C16" s="72"/>
      <c r="D16" s="71">
        <f>630+1820313+109133+1106359+2937+1854177+7633</f>
        <v>4901182</v>
      </c>
      <c r="E16" s="40" t="str">
        <f t="shared" si="0"/>
        <v> </v>
      </c>
      <c r="F16" s="71">
        <f>D16-'[2]Marts'!D16</f>
        <v>-1665036</v>
      </c>
      <c r="G16" s="76" t="s">
        <v>109</v>
      </c>
      <c r="H16" s="68">
        <v>0</v>
      </c>
      <c r="I16" s="69">
        <v>0</v>
      </c>
      <c r="J16" s="68">
        <v>4901</v>
      </c>
      <c r="K16" s="70" t="s">
        <v>92</v>
      </c>
      <c r="L16" s="71">
        <v>-1665</v>
      </c>
    </row>
    <row r="17" spans="1:12" ht="15.75" customHeight="1">
      <c r="A17" s="63" t="s">
        <v>110</v>
      </c>
      <c r="B17" s="59">
        <f>SUM(B18,B19,B20,B21,B22,B23,B24,B28,B30)</f>
        <v>80229200</v>
      </c>
      <c r="C17" s="60">
        <v>1.002</v>
      </c>
      <c r="D17" s="59">
        <f>SUM(D18,D19,D20,D21,D22,D23,D24,D28,D30)</f>
        <v>13044516</v>
      </c>
      <c r="E17" s="40">
        <f t="shared" si="0"/>
        <v>0.1625906278512063</v>
      </c>
      <c r="F17" s="59">
        <f>SUM(F18,F19,F20,F21,F22,F23,F24,F28,F30)</f>
        <v>4679747</v>
      </c>
      <c r="G17" s="63" t="s">
        <v>110</v>
      </c>
      <c r="H17" s="64">
        <v>80229</v>
      </c>
      <c r="I17" s="65">
        <v>1.002</v>
      </c>
      <c r="J17" s="64">
        <v>13044</v>
      </c>
      <c r="K17" s="66">
        <v>0.16258460157798302</v>
      </c>
      <c r="L17" s="64">
        <v>4679</v>
      </c>
    </row>
    <row r="18" spans="1:12" ht="15.75" customHeight="1">
      <c r="A18" s="77" t="s">
        <v>111</v>
      </c>
      <c r="B18" s="71">
        <v>1000000</v>
      </c>
      <c r="C18" s="72">
        <v>1</v>
      </c>
      <c r="D18" s="71">
        <v>170983</v>
      </c>
      <c r="E18" s="40">
        <f t="shared" si="0"/>
        <v>0.170983</v>
      </c>
      <c r="F18" s="71">
        <f>D18-'[2]Marts'!D18</f>
        <v>136563</v>
      </c>
      <c r="G18" s="77" t="s">
        <v>111</v>
      </c>
      <c r="H18" s="71">
        <v>1000</v>
      </c>
      <c r="I18" s="73">
        <v>1</v>
      </c>
      <c r="J18" s="71">
        <v>171</v>
      </c>
      <c r="K18" s="74">
        <v>0.171</v>
      </c>
      <c r="L18" s="71">
        <v>137</v>
      </c>
    </row>
    <row r="19" spans="1:12" ht="15" customHeight="1">
      <c r="A19" s="18" t="s">
        <v>112</v>
      </c>
      <c r="B19" s="71">
        <v>7006000</v>
      </c>
      <c r="C19" s="72">
        <v>1</v>
      </c>
      <c r="D19" s="71">
        <f>852530+1962556</f>
        <v>2815086</v>
      </c>
      <c r="E19" s="40">
        <f t="shared" si="0"/>
        <v>0.40181073365686554</v>
      </c>
      <c r="F19" s="71">
        <f>D19-'[2]Marts'!D19</f>
        <v>930529</v>
      </c>
      <c r="G19" s="18" t="s">
        <v>112</v>
      </c>
      <c r="H19" s="71">
        <v>7006</v>
      </c>
      <c r="I19" s="73">
        <v>1</v>
      </c>
      <c r="J19" s="71">
        <v>2815</v>
      </c>
      <c r="K19" s="74">
        <v>0.40179845846417356</v>
      </c>
      <c r="L19" s="71">
        <v>930</v>
      </c>
    </row>
    <row r="20" spans="1:12" ht="30" customHeight="1">
      <c r="A20" s="77" t="s">
        <v>113</v>
      </c>
      <c r="B20" s="71">
        <v>10860000</v>
      </c>
      <c r="C20" s="72">
        <v>1</v>
      </c>
      <c r="D20" s="71">
        <v>3135294</v>
      </c>
      <c r="E20" s="40">
        <f t="shared" si="0"/>
        <v>0.28870110497237567</v>
      </c>
      <c r="F20" s="71">
        <f>D20-'[2]Marts'!D20</f>
        <v>819197</v>
      </c>
      <c r="G20" s="77" t="s">
        <v>113</v>
      </c>
      <c r="H20" s="71">
        <v>10860</v>
      </c>
      <c r="I20" s="73">
        <v>1</v>
      </c>
      <c r="J20" s="71">
        <v>3135</v>
      </c>
      <c r="K20" s="74">
        <v>0.2886740331491713</v>
      </c>
      <c r="L20" s="71">
        <v>819</v>
      </c>
    </row>
    <row r="21" spans="1:12" ht="25.5" customHeight="1">
      <c r="A21" s="77" t="s">
        <v>114</v>
      </c>
      <c r="B21" s="71">
        <v>400000</v>
      </c>
      <c r="C21" s="72">
        <v>1</v>
      </c>
      <c r="D21" s="71">
        <v>178472</v>
      </c>
      <c r="E21" s="40">
        <f t="shared" si="0"/>
        <v>0.44618</v>
      </c>
      <c r="F21" s="71">
        <f>D21-'[2]Marts'!D21</f>
        <v>64719</v>
      </c>
      <c r="G21" s="77" t="s">
        <v>114</v>
      </c>
      <c r="H21" s="71">
        <v>400</v>
      </c>
      <c r="I21" s="73">
        <v>1</v>
      </c>
      <c r="J21" s="71">
        <v>179</v>
      </c>
      <c r="K21" s="74">
        <v>0.4475</v>
      </c>
      <c r="L21" s="71">
        <v>65</v>
      </c>
    </row>
    <row r="22" spans="1:12" ht="15.75" customHeight="1">
      <c r="A22" s="77" t="s">
        <v>115</v>
      </c>
      <c r="B22" s="71">
        <v>250000</v>
      </c>
      <c r="C22" s="72">
        <v>1.736</v>
      </c>
      <c r="D22" s="71">
        <v>515114</v>
      </c>
      <c r="E22" s="40">
        <f t="shared" si="0"/>
        <v>2.060456</v>
      </c>
      <c r="F22" s="71">
        <f>D22-'[2]Marts'!D22</f>
        <v>175253</v>
      </c>
      <c r="G22" s="77" t="s">
        <v>115</v>
      </c>
      <c r="H22" s="71">
        <v>250</v>
      </c>
      <c r="I22" s="73">
        <v>1.736</v>
      </c>
      <c r="J22" s="71">
        <v>515</v>
      </c>
      <c r="K22" s="74">
        <v>2.06</v>
      </c>
      <c r="L22" s="71">
        <v>175</v>
      </c>
    </row>
    <row r="23" spans="1:12" ht="15.75" customHeight="1">
      <c r="A23" s="18" t="s">
        <v>116</v>
      </c>
      <c r="B23" s="71">
        <v>4250000</v>
      </c>
      <c r="C23" s="72">
        <v>1</v>
      </c>
      <c r="D23" s="71">
        <v>1561142</v>
      </c>
      <c r="E23" s="40">
        <f t="shared" si="0"/>
        <v>0.3673275294117647</v>
      </c>
      <c r="F23" s="71">
        <f>D23-'[2]Marts'!D23</f>
        <v>494344</v>
      </c>
      <c r="G23" s="18" t="s">
        <v>116</v>
      </c>
      <c r="H23" s="71">
        <v>4250</v>
      </c>
      <c r="I23" s="73">
        <v>1</v>
      </c>
      <c r="J23" s="71">
        <v>1561</v>
      </c>
      <c r="K23" s="74">
        <v>0.3672941176470588</v>
      </c>
      <c r="L23" s="71">
        <v>494</v>
      </c>
    </row>
    <row r="24" spans="1:12" ht="15.75" customHeight="1">
      <c r="A24" s="18" t="s">
        <v>117</v>
      </c>
      <c r="B24" s="71">
        <f>SUM(B25,B26,B27)</f>
        <v>15801200</v>
      </c>
      <c r="C24" s="72">
        <v>1</v>
      </c>
      <c r="D24" s="71">
        <f>6760+4155+1318596+2850+2300431+5003</f>
        <v>3637795</v>
      </c>
      <c r="E24" s="40">
        <f t="shared" si="0"/>
        <v>0.23022270460471356</v>
      </c>
      <c r="F24" s="71">
        <f>D24-'[2]Marts'!D24</f>
        <v>2018367</v>
      </c>
      <c r="G24" s="18" t="s">
        <v>117</v>
      </c>
      <c r="H24" s="71">
        <v>15801</v>
      </c>
      <c r="I24" s="73">
        <v>1</v>
      </c>
      <c r="J24" s="71">
        <v>3638</v>
      </c>
      <c r="K24" s="74">
        <v>0.23023859249414594</v>
      </c>
      <c r="L24" s="71">
        <v>2019</v>
      </c>
    </row>
    <row r="25" spans="1:12" ht="27" customHeight="1">
      <c r="A25" s="78" t="s">
        <v>118</v>
      </c>
      <c r="B25" s="71">
        <v>11800000</v>
      </c>
      <c r="C25" s="72">
        <v>1</v>
      </c>
      <c r="D25" s="71">
        <v>1508656</v>
      </c>
      <c r="E25" s="40">
        <f t="shared" si="0"/>
        <v>0.1278522033898305</v>
      </c>
      <c r="F25" s="71">
        <f>D25-'[2]Marts'!D25</f>
        <v>1508656</v>
      </c>
      <c r="G25" s="78" t="s">
        <v>118</v>
      </c>
      <c r="H25" s="79">
        <v>11800</v>
      </c>
      <c r="I25" s="80">
        <v>1</v>
      </c>
      <c r="J25" s="79">
        <v>1509</v>
      </c>
      <c r="K25" s="81">
        <v>0.1278813559322034</v>
      </c>
      <c r="L25" s="79">
        <v>1509</v>
      </c>
    </row>
    <row r="26" spans="1:12" ht="25.5" customHeight="1">
      <c r="A26" s="78" t="s">
        <v>119</v>
      </c>
      <c r="B26" s="71">
        <v>1201200</v>
      </c>
      <c r="C26" s="72">
        <v>1</v>
      </c>
      <c r="D26" s="71">
        <v>325002</v>
      </c>
      <c r="E26" s="40">
        <f t="shared" si="0"/>
        <v>0.27056443556443555</v>
      </c>
      <c r="F26" s="71">
        <f>D26-'[2]Marts'!D26</f>
        <v>0</v>
      </c>
      <c r="G26" s="78" t="s">
        <v>119</v>
      </c>
      <c r="H26" s="79">
        <v>1201</v>
      </c>
      <c r="I26" s="80">
        <v>1</v>
      </c>
      <c r="J26" s="79">
        <v>325</v>
      </c>
      <c r="K26" s="81">
        <v>0.2706078268109908</v>
      </c>
      <c r="L26" s="79">
        <v>0</v>
      </c>
    </row>
    <row r="27" spans="1:12" ht="18" customHeight="1">
      <c r="A27" s="78" t="s">
        <v>120</v>
      </c>
      <c r="B27" s="71">
        <v>2800000</v>
      </c>
      <c r="C27" s="72">
        <v>1</v>
      </c>
      <c r="D27" s="71">
        <v>1804137</v>
      </c>
      <c r="E27" s="40">
        <f t="shared" si="0"/>
        <v>0.6443346428571428</v>
      </c>
      <c r="F27" s="71">
        <f>D27-'[2]Marts'!D27</f>
        <v>510137</v>
      </c>
      <c r="G27" s="78" t="s">
        <v>120</v>
      </c>
      <c r="H27" s="79">
        <v>2800</v>
      </c>
      <c r="I27" s="80">
        <v>1</v>
      </c>
      <c r="J27" s="79">
        <v>1804</v>
      </c>
      <c r="K27" s="81">
        <v>0.6442857142857142</v>
      </c>
      <c r="L27" s="79">
        <v>510</v>
      </c>
    </row>
    <row r="28" spans="1:12" ht="15" customHeight="1">
      <c r="A28" s="77" t="s">
        <v>121</v>
      </c>
      <c r="B28" s="71">
        <v>36212000</v>
      </c>
      <c r="C28" s="72">
        <v>1</v>
      </c>
      <c r="D28" s="71">
        <v>385</v>
      </c>
      <c r="E28" s="40">
        <f t="shared" si="0"/>
        <v>1.06318347509113E-05</v>
      </c>
      <c r="F28" s="71">
        <f>D28-'[2]Marts'!D28</f>
        <v>385</v>
      </c>
      <c r="G28" s="77" t="s">
        <v>121</v>
      </c>
      <c r="H28" s="71">
        <v>36212</v>
      </c>
      <c r="I28" s="73">
        <v>1</v>
      </c>
      <c r="J28" s="71">
        <v>0</v>
      </c>
      <c r="K28" s="74">
        <v>0</v>
      </c>
      <c r="L28" s="71">
        <v>0</v>
      </c>
    </row>
    <row r="29" spans="1:12" ht="27" customHeight="1">
      <c r="A29" s="78" t="s">
        <v>122</v>
      </c>
      <c r="B29" s="71">
        <v>36212000</v>
      </c>
      <c r="C29" s="72">
        <v>1</v>
      </c>
      <c r="D29" s="71"/>
      <c r="E29" s="40">
        <f t="shared" si="0"/>
        <v>0</v>
      </c>
      <c r="F29" s="71">
        <f>D29-'[2]Marts'!D29</f>
        <v>0</v>
      </c>
      <c r="G29" s="78" t="s">
        <v>122</v>
      </c>
      <c r="H29" s="79">
        <v>36212</v>
      </c>
      <c r="I29" s="80">
        <v>1</v>
      </c>
      <c r="J29" s="82">
        <v>0</v>
      </c>
      <c r="K29" s="81">
        <v>0</v>
      </c>
      <c r="L29" s="79">
        <v>0</v>
      </c>
    </row>
    <row r="30" spans="1:12" ht="15" customHeight="1">
      <c r="A30" s="77" t="s">
        <v>123</v>
      </c>
      <c r="B30" s="71">
        <f>SUM(B31,B32)</f>
        <v>4450000</v>
      </c>
      <c r="C30" s="72">
        <v>1</v>
      </c>
      <c r="D30" s="71">
        <f>SUM(D31,D32)</f>
        <v>1030245</v>
      </c>
      <c r="E30" s="40">
        <f t="shared" si="0"/>
        <v>0.23151573033707865</v>
      </c>
      <c r="F30" s="71">
        <f>D30-'[2]Marts'!D30</f>
        <v>40390</v>
      </c>
      <c r="G30" s="77" t="s">
        <v>123</v>
      </c>
      <c r="H30" s="71">
        <v>4450</v>
      </c>
      <c r="I30" s="73">
        <v>1</v>
      </c>
      <c r="J30" s="71">
        <v>1030</v>
      </c>
      <c r="K30" s="74">
        <v>0.23146067415730337</v>
      </c>
      <c r="L30" s="71">
        <v>40</v>
      </c>
    </row>
    <row r="31" spans="1:12" ht="26.25" customHeight="1">
      <c r="A31" s="78" t="s">
        <v>124</v>
      </c>
      <c r="B31" s="71">
        <v>1450000</v>
      </c>
      <c r="C31" s="72">
        <v>1</v>
      </c>
      <c r="D31" s="71">
        <v>711250</v>
      </c>
      <c r="E31" s="40">
        <f t="shared" si="0"/>
        <v>0.49051724137931035</v>
      </c>
      <c r="F31" s="71">
        <f>D31-'[2]Marts'!D31</f>
        <v>0</v>
      </c>
      <c r="G31" s="78" t="s">
        <v>124</v>
      </c>
      <c r="H31" s="79">
        <v>1450</v>
      </c>
      <c r="I31" s="80">
        <v>1</v>
      </c>
      <c r="J31" s="79">
        <v>711</v>
      </c>
      <c r="K31" s="81">
        <v>0.4903448275862069</v>
      </c>
      <c r="L31" s="79">
        <v>0</v>
      </c>
    </row>
    <row r="32" spans="1:12" ht="26.25" customHeight="1">
      <c r="A32" s="78" t="s">
        <v>125</v>
      </c>
      <c r="B32" s="71">
        <v>3000000</v>
      </c>
      <c r="C32" s="72">
        <v>1</v>
      </c>
      <c r="D32" s="71">
        <v>318995</v>
      </c>
      <c r="E32" s="40">
        <f t="shared" si="0"/>
        <v>0.10633166666666667</v>
      </c>
      <c r="F32" s="71">
        <f>D32-'[2]Marts'!D32</f>
        <v>40390</v>
      </c>
      <c r="G32" s="78" t="s">
        <v>125</v>
      </c>
      <c r="H32" s="79">
        <v>3000</v>
      </c>
      <c r="I32" s="80">
        <v>1</v>
      </c>
      <c r="J32" s="79">
        <v>319</v>
      </c>
      <c r="K32" s="81">
        <v>0.10633333333333334</v>
      </c>
      <c r="L32" s="79">
        <v>40</v>
      </c>
    </row>
    <row r="33" spans="1:12" ht="17.25" customHeight="1">
      <c r="A33" s="83" t="s">
        <v>126</v>
      </c>
      <c r="B33" s="59">
        <f>SUM(B34)</f>
        <v>63226723</v>
      </c>
      <c r="C33" s="60">
        <v>1</v>
      </c>
      <c r="D33" s="59">
        <f>SUM(D34)</f>
        <v>18757558</v>
      </c>
      <c r="E33" s="40">
        <f t="shared" si="0"/>
        <v>0.29667136156969576</v>
      </c>
      <c r="F33" s="59">
        <f>SUM(F34)</f>
        <v>2523312</v>
      </c>
      <c r="G33" s="83" t="s">
        <v>126</v>
      </c>
      <c r="H33" s="64">
        <v>63227</v>
      </c>
      <c r="I33" s="65">
        <v>1</v>
      </c>
      <c r="J33" s="64">
        <v>18758</v>
      </c>
      <c r="K33" s="66">
        <v>0.29667705252502885</v>
      </c>
      <c r="L33" s="64">
        <v>2523</v>
      </c>
    </row>
    <row r="34" spans="1:12" ht="29.25" customHeight="1">
      <c r="A34" s="77" t="s">
        <v>127</v>
      </c>
      <c r="B34" s="71">
        <v>63226723</v>
      </c>
      <c r="C34" s="72">
        <v>1</v>
      </c>
      <c r="D34" s="71">
        <f>18722994+34564</f>
        <v>18757558</v>
      </c>
      <c r="E34" s="40">
        <f t="shared" si="0"/>
        <v>0.29667136156969576</v>
      </c>
      <c r="F34" s="71">
        <f>D34-'[2]Marts'!D34</f>
        <v>2523312</v>
      </c>
      <c r="G34" s="77" t="s">
        <v>127</v>
      </c>
      <c r="H34" s="71">
        <v>63227</v>
      </c>
      <c r="I34" s="73">
        <v>1</v>
      </c>
      <c r="J34" s="71">
        <v>18758</v>
      </c>
      <c r="K34" s="74">
        <v>0.29667705252502885</v>
      </c>
      <c r="L34" s="71">
        <v>2523</v>
      </c>
    </row>
    <row r="35" spans="1:12" ht="18" customHeight="1">
      <c r="A35" s="84"/>
      <c r="B35" s="85"/>
      <c r="C35" s="86"/>
      <c r="D35" s="85"/>
      <c r="E35" s="87"/>
      <c r="G35" s="84"/>
      <c r="H35" s="85"/>
      <c r="I35" s="88"/>
      <c r="J35" s="85"/>
      <c r="K35" s="87"/>
      <c r="L35" s="89"/>
    </row>
    <row r="36" spans="1:11" ht="18" customHeight="1">
      <c r="A36" s="90" t="s">
        <v>128</v>
      </c>
      <c r="B36" s="85"/>
      <c r="C36" s="86"/>
      <c r="D36" s="85"/>
      <c r="E36" s="87"/>
      <c r="G36" s="90" t="s">
        <v>129</v>
      </c>
      <c r="H36" s="85"/>
      <c r="I36" s="88"/>
      <c r="J36" s="85"/>
      <c r="K36" s="87"/>
    </row>
    <row r="37" spans="1:11" ht="18" customHeight="1">
      <c r="A37" s="90" t="s">
        <v>130</v>
      </c>
      <c r="B37" s="85"/>
      <c r="C37" s="86"/>
      <c r="D37" s="85"/>
      <c r="E37" s="87"/>
      <c r="G37" s="90" t="s">
        <v>131</v>
      </c>
      <c r="H37" s="85"/>
      <c r="I37" s="88"/>
      <c r="J37" s="85"/>
      <c r="K37" s="87"/>
    </row>
    <row r="38" spans="1:11" ht="12.75">
      <c r="A38" s="90"/>
      <c r="B38" s="91"/>
      <c r="C38" s="44"/>
      <c r="D38" s="92"/>
      <c r="E38" s="92"/>
      <c r="G38" s="90"/>
      <c r="H38" s="91"/>
      <c r="I38" s="91"/>
      <c r="J38" s="92"/>
      <c r="K38" s="92"/>
    </row>
    <row r="39" spans="1:11" ht="12.75">
      <c r="A39" s="90"/>
      <c r="B39" s="93"/>
      <c r="C39" s="47"/>
      <c r="D39" s="94"/>
      <c r="E39" s="95"/>
      <c r="G39" s="90"/>
      <c r="H39" s="93"/>
      <c r="I39" s="96"/>
      <c r="J39" s="94"/>
      <c r="K39" s="95"/>
    </row>
    <row r="40" spans="1:11" ht="12.75">
      <c r="A40" s="90"/>
      <c r="B40" s="97"/>
      <c r="C40" s="47"/>
      <c r="D40" s="96"/>
      <c r="E40" s="98"/>
      <c r="G40" s="90"/>
      <c r="H40" s="97"/>
      <c r="I40" s="96"/>
      <c r="J40" s="96"/>
      <c r="K40" s="98"/>
    </row>
    <row r="41" spans="1:11" ht="12.75">
      <c r="A41" s="37" t="s">
        <v>132</v>
      </c>
      <c r="B41" s="99"/>
      <c r="C41" s="47"/>
      <c r="D41" s="100"/>
      <c r="E41" s="98"/>
      <c r="G41" s="37" t="s">
        <v>132</v>
      </c>
      <c r="H41" s="99"/>
      <c r="I41" s="96"/>
      <c r="J41" s="100"/>
      <c r="K41" s="98"/>
    </row>
    <row r="42" spans="1:11" ht="12.75">
      <c r="A42" s="6"/>
      <c r="B42" s="99"/>
      <c r="C42" s="47"/>
      <c r="D42" s="100"/>
      <c r="E42" s="98"/>
      <c r="G42" s="6"/>
      <c r="H42" s="99"/>
      <c r="I42" s="96"/>
      <c r="J42" s="100"/>
      <c r="K42" s="98"/>
    </row>
    <row r="43" spans="1:11" ht="12.75">
      <c r="A43" s="37"/>
      <c r="B43" s="96"/>
      <c r="C43" s="47"/>
      <c r="D43" s="96"/>
      <c r="E43" s="37"/>
      <c r="G43" s="37"/>
      <c r="H43" s="96"/>
      <c r="I43" s="96"/>
      <c r="J43" s="96"/>
      <c r="K43" s="37"/>
    </row>
    <row r="44" spans="1:11" ht="12.75">
      <c r="A44" s="37" t="s">
        <v>89</v>
      </c>
      <c r="B44" s="37"/>
      <c r="C44" s="47"/>
      <c r="D44" s="37"/>
      <c r="E44" s="37"/>
      <c r="G44" s="37" t="s">
        <v>89</v>
      </c>
      <c r="H44" s="37"/>
      <c r="I44" s="37"/>
      <c r="J44" s="37"/>
      <c r="K44" s="37"/>
    </row>
    <row r="45" spans="1:7" ht="12.75">
      <c r="A45" s="37" t="s">
        <v>133</v>
      </c>
      <c r="B45" s="37"/>
      <c r="C45" s="47"/>
      <c r="D45" s="37"/>
      <c r="E45" s="37"/>
      <c r="G45" s="37" t="s">
        <v>91</v>
      </c>
    </row>
    <row r="46" spans="1:5" ht="12.75">
      <c r="A46" s="37"/>
      <c r="B46" s="37"/>
      <c r="C46" s="47"/>
      <c r="D46" s="37"/>
      <c r="E46" s="37"/>
    </row>
    <row r="64" spans="1:5" ht="12.75">
      <c r="A64" s="37"/>
      <c r="B64" s="37"/>
      <c r="C64" s="47"/>
      <c r="D64" s="37"/>
      <c r="E64" s="37"/>
    </row>
    <row r="65" spans="1:5" ht="12.75">
      <c r="A65" s="37"/>
      <c r="B65" s="37"/>
      <c r="C65" s="47"/>
      <c r="D65" s="37"/>
      <c r="E65" s="37"/>
    </row>
    <row r="66" spans="1:5" ht="12.75">
      <c r="A66" s="37"/>
      <c r="B66" s="37"/>
      <c r="C66" s="47"/>
      <c r="D66" s="37"/>
      <c r="E66" s="37"/>
    </row>
    <row r="67" spans="1:5" ht="12.75">
      <c r="A67" s="37"/>
      <c r="B67" s="37"/>
      <c r="C67" s="47"/>
      <c r="D67" s="37"/>
      <c r="E67" s="37"/>
    </row>
    <row r="68" spans="1:5" ht="12.75">
      <c r="A68" s="37"/>
      <c r="B68" s="37"/>
      <c r="C68" s="47"/>
      <c r="D68" s="37"/>
      <c r="E68" s="37"/>
    </row>
    <row r="69" spans="1:5" ht="12.75">
      <c r="A69" s="37"/>
      <c r="B69" s="37"/>
      <c r="C69" s="47"/>
      <c r="D69" s="37"/>
      <c r="E69" s="37"/>
    </row>
    <row r="70" spans="1:5" ht="12.75">
      <c r="A70" s="37"/>
      <c r="B70" s="37"/>
      <c r="C70" s="47"/>
      <c r="D70" s="37"/>
      <c r="E70" s="37"/>
    </row>
    <row r="71" spans="1:5" ht="12.75">
      <c r="A71" s="37"/>
      <c r="B71" s="37"/>
      <c r="C71" s="47"/>
      <c r="D71" s="37"/>
      <c r="E71" s="37"/>
    </row>
    <row r="72" spans="1:5" ht="12.75">
      <c r="A72" s="37"/>
      <c r="B72" s="37"/>
      <c r="C72" s="47"/>
      <c r="D72" s="37"/>
      <c r="E72" s="37"/>
    </row>
    <row r="73" spans="1:5" ht="12.75">
      <c r="A73" s="37"/>
      <c r="B73" s="37"/>
      <c r="C73" s="47"/>
      <c r="D73" s="37"/>
      <c r="E73" s="37"/>
    </row>
    <row r="74" spans="1:5" ht="12.75">
      <c r="A74" s="37"/>
      <c r="B74" s="37"/>
      <c r="C74" s="47"/>
      <c r="D74" s="37"/>
      <c r="E74" s="37"/>
    </row>
    <row r="75" spans="1:5" ht="12.75">
      <c r="A75" s="37"/>
      <c r="B75" s="37"/>
      <c r="C75" s="47"/>
      <c r="D75" s="37"/>
      <c r="E75" s="37"/>
    </row>
    <row r="76" spans="1:5" ht="12.75">
      <c r="A76" s="37"/>
      <c r="B76" s="37"/>
      <c r="C76" s="47"/>
      <c r="D76" s="37"/>
      <c r="E76" s="37"/>
    </row>
    <row r="77" spans="1:5" ht="12.75">
      <c r="A77" s="37"/>
      <c r="B77" s="37"/>
      <c r="C77" s="47"/>
      <c r="D77" s="37"/>
      <c r="E77" s="37"/>
    </row>
    <row r="78" spans="1:5" ht="12.75">
      <c r="A78" s="37"/>
      <c r="B78" s="37"/>
      <c r="C78" s="47"/>
      <c r="D78" s="37"/>
      <c r="E78" s="37"/>
    </row>
    <row r="79" spans="1:5" ht="12.75">
      <c r="A79" s="37"/>
      <c r="B79" s="37"/>
      <c r="C79" s="47"/>
      <c r="D79" s="37"/>
      <c r="E79" s="37"/>
    </row>
    <row r="80" spans="1:5" ht="12.75">
      <c r="A80" s="37"/>
      <c r="B80" s="37"/>
      <c r="C80" s="47"/>
      <c r="D80" s="37"/>
      <c r="E80" s="37"/>
    </row>
    <row r="81" spans="1:5" ht="12.75">
      <c r="A81" s="37"/>
      <c r="B81" s="37"/>
      <c r="C81" s="47"/>
      <c r="D81" s="37"/>
      <c r="E81" s="37"/>
    </row>
    <row r="82" spans="1:5" ht="12.75">
      <c r="A82" s="37"/>
      <c r="B82" s="37"/>
      <c r="C82" s="47"/>
      <c r="D82" s="37"/>
      <c r="E82" s="37"/>
    </row>
    <row r="83" spans="1:5" ht="12.75">
      <c r="A83" s="37"/>
      <c r="B83" s="37"/>
      <c r="C83" s="47"/>
      <c r="D83" s="37"/>
      <c r="E83" s="37"/>
    </row>
    <row r="84" spans="1:5" ht="12.75">
      <c r="A84" s="37"/>
      <c r="B84" s="37"/>
      <c r="C84" s="47"/>
      <c r="D84" s="37"/>
      <c r="E84" s="37"/>
    </row>
    <row r="85" spans="1:5" ht="12.75">
      <c r="A85" s="37"/>
      <c r="B85" s="37"/>
      <c r="C85" s="47"/>
      <c r="D85" s="37"/>
      <c r="E85" s="37"/>
    </row>
    <row r="86" spans="1:5" ht="12.75">
      <c r="A86" s="37"/>
      <c r="B86" s="37"/>
      <c r="C86" s="47"/>
      <c r="D86" s="37"/>
      <c r="E86" s="37"/>
    </row>
    <row r="87" spans="1:5" ht="12.75">
      <c r="A87" s="37"/>
      <c r="B87" s="37"/>
      <c r="C87" s="47"/>
      <c r="D87" s="37"/>
      <c r="E87" s="37"/>
    </row>
    <row r="88" spans="1:5" ht="12.75">
      <c r="A88" s="37"/>
      <c r="B88" s="37"/>
      <c r="C88" s="47"/>
      <c r="D88" s="37"/>
      <c r="E88" s="37"/>
    </row>
    <row r="89" spans="1:5" ht="12.75">
      <c r="A89" s="37"/>
      <c r="B89" s="37"/>
      <c r="C89" s="47"/>
      <c r="D89" s="37"/>
      <c r="E89" s="37"/>
    </row>
    <row r="90" spans="1:5" ht="12.75">
      <c r="A90" s="37"/>
      <c r="B90" s="37"/>
      <c r="C90" s="47"/>
      <c r="D90" s="37"/>
      <c r="E90" s="37"/>
    </row>
    <row r="91" spans="1:5" ht="12.75">
      <c r="A91" s="37"/>
      <c r="B91" s="37"/>
      <c r="C91" s="47"/>
      <c r="D91" s="37"/>
      <c r="E91" s="37"/>
    </row>
    <row r="92" spans="1:5" ht="12.75">
      <c r="A92" s="37"/>
      <c r="B92" s="37"/>
      <c r="C92" s="47"/>
      <c r="D92" s="37"/>
      <c r="E92" s="37"/>
    </row>
    <row r="93" spans="1:5" ht="12.75">
      <c r="A93" s="37"/>
      <c r="B93" s="37"/>
      <c r="C93" s="47"/>
      <c r="D93" s="37"/>
      <c r="E93" s="37"/>
    </row>
    <row r="94" spans="1:5" ht="12.75">
      <c r="A94" s="37"/>
      <c r="B94" s="37"/>
      <c r="C94" s="47"/>
      <c r="D94" s="37"/>
      <c r="E94" s="37"/>
    </row>
    <row r="95" spans="1:5" ht="12.75">
      <c r="A95" s="37"/>
      <c r="B95" s="37"/>
      <c r="C95" s="47"/>
      <c r="D95" s="37"/>
      <c r="E95" s="37"/>
    </row>
    <row r="96" spans="1:5" ht="12.75">
      <c r="A96" s="37"/>
      <c r="B96" s="37"/>
      <c r="C96" s="47"/>
      <c r="D96" s="37"/>
      <c r="E96" s="37"/>
    </row>
    <row r="97" spans="1:5" ht="12.75">
      <c r="A97" s="37"/>
      <c r="B97" s="37"/>
      <c r="C97" s="47"/>
      <c r="D97" s="37"/>
      <c r="E97" s="37"/>
    </row>
    <row r="98" spans="1:5" ht="12.75">
      <c r="A98" s="37"/>
      <c r="B98" s="37"/>
      <c r="C98" s="47"/>
      <c r="D98" s="37"/>
      <c r="E98" s="37"/>
    </row>
    <row r="99" spans="1:5" ht="12.75">
      <c r="A99" s="37"/>
      <c r="B99" s="37"/>
      <c r="C99" s="47"/>
      <c r="D99" s="37"/>
      <c r="E99" s="37"/>
    </row>
    <row r="100" spans="1:5" ht="12.75">
      <c r="A100" s="37"/>
      <c r="B100" s="37"/>
      <c r="C100" s="47"/>
      <c r="D100" s="37"/>
      <c r="E100" s="37"/>
    </row>
    <row r="101" spans="1:5" ht="12.75">
      <c r="A101" s="37"/>
      <c r="B101" s="37"/>
      <c r="C101" s="47"/>
      <c r="D101" s="37"/>
      <c r="E101" s="37"/>
    </row>
    <row r="102" spans="1:5" ht="12.75">
      <c r="A102" s="37"/>
      <c r="B102" s="37"/>
      <c r="C102" s="47"/>
      <c r="D102" s="37"/>
      <c r="E102" s="37"/>
    </row>
    <row r="103" spans="1:5" ht="12.75">
      <c r="A103" s="37"/>
      <c r="B103" s="37"/>
      <c r="C103" s="47"/>
      <c r="D103" s="37"/>
      <c r="E103" s="37"/>
    </row>
    <row r="104" spans="1:5" ht="12.75">
      <c r="A104" s="37"/>
      <c r="B104" s="37"/>
      <c r="C104" s="47"/>
      <c r="D104" s="37"/>
      <c r="E104" s="37"/>
    </row>
    <row r="105" spans="1:5" ht="12.75">
      <c r="A105" s="37"/>
      <c r="B105" s="37"/>
      <c r="C105" s="47"/>
      <c r="D105" s="37"/>
      <c r="E105" s="37"/>
    </row>
    <row r="106" spans="1:5" ht="12.75">
      <c r="A106" s="37"/>
      <c r="B106" s="37"/>
      <c r="C106" s="47"/>
      <c r="D106" s="37"/>
      <c r="E106" s="37"/>
    </row>
    <row r="107" spans="1:5" ht="12.75">
      <c r="A107" s="37"/>
      <c r="B107" s="37"/>
      <c r="C107" s="47"/>
      <c r="D107" s="37"/>
      <c r="E107" s="37"/>
    </row>
    <row r="108" spans="1:5" ht="12.75">
      <c r="A108" s="37"/>
      <c r="B108" s="37"/>
      <c r="C108" s="47"/>
      <c r="D108" s="37"/>
      <c r="E108" s="37"/>
    </row>
    <row r="109" spans="1:5" ht="12.75">
      <c r="A109" s="37"/>
      <c r="B109" s="37"/>
      <c r="C109" s="47"/>
      <c r="D109" s="37"/>
      <c r="E109" s="37"/>
    </row>
    <row r="110" spans="1:5" ht="12.75">
      <c r="A110" s="37"/>
      <c r="B110" s="37"/>
      <c r="C110" s="47"/>
      <c r="D110" s="37"/>
      <c r="E110" s="37"/>
    </row>
    <row r="111" spans="1:5" ht="12.75">
      <c r="A111" s="37"/>
      <c r="B111" s="37"/>
      <c r="C111" s="47"/>
      <c r="D111" s="37"/>
      <c r="E111" s="37"/>
    </row>
    <row r="112" spans="1:5" ht="12.75">
      <c r="A112" s="37"/>
      <c r="B112" s="37"/>
      <c r="C112" s="47"/>
      <c r="D112" s="37"/>
      <c r="E112" s="37"/>
    </row>
    <row r="113" spans="1:5" ht="12.75">
      <c r="A113" s="37"/>
      <c r="B113" s="37"/>
      <c r="C113" s="47"/>
      <c r="D113" s="37"/>
      <c r="E113" s="37"/>
    </row>
    <row r="114" spans="1:5" ht="12.75">
      <c r="A114" s="37"/>
      <c r="B114" s="37"/>
      <c r="C114" s="47"/>
      <c r="D114" s="37"/>
      <c r="E114" s="37"/>
    </row>
    <row r="115" spans="1:5" ht="12.75">
      <c r="A115" s="37"/>
      <c r="B115" s="37"/>
      <c r="C115" s="47"/>
      <c r="D115" s="37"/>
      <c r="E115" s="37"/>
    </row>
    <row r="116" spans="1:5" ht="12.75">
      <c r="A116" s="37"/>
      <c r="B116" s="37"/>
      <c r="C116" s="47"/>
      <c r="D116" s="37"/>
      <c r="E116" s="37"/>
    </row>
    <row r="117" spans="1:5" ht="12.75">
      <c r="A117" s="37"/>
      <c r="B117" s="37"/>
      <c r="C117" s="47"/>
      <c r="D117" s="37"/>
      <c r="E117" s="37"/>
    </row>
    <row r="118" spans="1:5" ht="12.75">
      <c r="A118" s="37"/>
      <c r="B118" s="37"/>
      <c r="C118" s="47"/>
      <c r="D118" s="37"/>
      <c r="E118" s="37"/>
    </row>
    <row r="119" spans="1:5" ht="12.75">
      <c r="A119" s="37"/>
      <c r="B119" s="37"/>
      <c r="C119" s="47"/>
      <c r="D119" s="37"/>
      <c r="E119" s="3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Y253"/>
  <sheetViews>
    <sheetView workbookViewId="0" topLeftCell="H2">
      <selection activeCell="K19" sqref="K19"/>
    </sheetView>
  </sheetViews>
  <sheetFormatPr defaultColWidth="9.140625" defaultRowHeight="12.75"/>
  <cols>
    <col min="1" max="1" width="29.57421875" style="1" hidden="1" customWidth="1"/>
    <col min="2" max="2" width="11.421875" style="1" hidden="1" customWidth="1"/>
    <col min="3" max="3" width="13.421875" style="1" hidden="1" customWidth="1"/>
    <col min="4" max="4" width="12.8515625" style="1" hidden="1" customWidth="1"/>
    <col min="5" max="5" width="9.00390625" style="1" hidden="1" customWidth="1"/>
    <col min="6" max="6" width="10.57421875" style="1" hidden="1" customWidth="1"/>
    <col min="7" max="7" width="11.57421875" style="1" hidden="1" customWidth="1"/>
    <col min="8" max="8" width="31.421875" style="1" customWidth="1"/>
    <col min="9" max="9" width="9.8515625" style="1" customWidth="1"/>
    <col min="10" max="10" width="11.00390625" style="1" customWidth="1"/>
    <col min="11" max="11" width="9.7109375" style="1" customWidth="1"/>
    <col min="12" max="12" width="10.28125" style="1" customWidth="1"/>
    <col min="13" max="13" width="10.140625" style="1" customWidth="1"/>
    <col min="14" max="14" width="9.7109375" style="1" customWidth="1"/>
    <col min="15" max="16384" width="9.140625" style="1" customWidth="1"/>
  </cols>
  <sheetData>
    <row r="1" spans="1:24" ht="17.25" customHeight="1">
      <c r="A1" s="3" t="s">
        <v>134</v>
      </c>
      <c r="B1" s="3"/>
      <c r="C1" s="43"/>
      <c r="D1" s="3"/>
      <c r="E1" s="3"/>
      <c r="F1" s="43"/>
      <c r="G1" s="1" t="s">
        <v>135</v>
      </c>
      <c r="H1" s="3" t="s">
        <v>134</v>
      </c>
      <c r="I1" s="3"/>
      <c r="J1" s="43"/>
      <c r="K1" s="3"/>
      <c r="L1" s="3"/>
      <c r="M1" s="43"/>
      <c r="N1" s="1" t="s">
        <v>135</v>
      </c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6" customHeight="1">
      <c r="A2" s="3"/>
      <c r="B2" s="3"/>
      <c r="C2" s="43"/>
      <c r="D2" s="3"/>
      <c r="E2" s="3"/>
      <c r="F2" s="43"/>
      <c r="G2" s="37"/>
      <c r="H2" s="3"/>
      <c r="I2" s="3"/>
      <c r="J2" s="43"/>
      <c r="K2" s="3"/>
      <c r="L2" s="3"/>
      <c r="M2" s="43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8.75" customHeight="1">
      <c r="A3" s="48" t="s">
        <v>136</v>
      </c>
      <c r="B3" s="43"/>
      <c r="C3" s="43"/>
      <c r="D3" s="43"/>
      <c r="E3" s="43"/>
      <c r="F3" s="43"/>
      <c r="G3" s="37"/>
      <c r="H3" s="48" t="s">
        <v>136</v>
      </c>
      <c r="I3" s="43"/>
      <c r="J3" s="43"/>
      <c r="K3" s="43"/>
      <c r="L3" s="43"/>
      <c r="M3" s="43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9.5" customHeight="1">
      <c r="A4" s="48" t="s">
        <v>137</v>
      </c>
      <c r="B4" s="43"/>
      <c r="C4" s="43"/>
      <c r="D4" s="43"/>
      <c r="E4" s="43"/>
      <c r="F4" s="43"/>
      <c r="G4" s="37"/>
      <c r="H4" s="48" t="s">
        <v>137</v>
      </c>
      <c r="I4" s="43"/>
      <c r="J4" s="43"/>
      <c r="K4" s="43"/>
      <c r="L4" s="43"/>
      <c r="M4" s="43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13.5" customHeight="1">
      <c r="A5" s="37"/>
      <c r="B5" s="37"/>
      <c r="C5" s="37"/>
      <c r="D5" s="50"/>
      <c r="E5" s="42"/>
      <c r="F5" s="37"/>
      <c r="G5" s="37" t="s">
        <v>97</v>
      </c>
      <c r="H5" s="37"/>
      <c r="I5" s="37"/>
      <c r="J5" s="37"/>
      <c r="K5" s="50"/>
      <c r="L5" s="42"/>
      <c r="M5" s="37"/>
      <c r="N5" s="37" t="s">
        <v>97</v>
      </c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74.25" customHeight="1">
      <c r="A6" s="7" t="s">
        <v>5</v>
      </c>
      <c r="B6" s="7" t="s">
        <v>6</v>
      </c>
      <c r="C6" s="7" t="s">
        <v>138</v>
      </c>
      <c r="D6" s="7" t="s">
        <v>7</v>
      </c>
      <c r="E6" s="7" t="s">
        <v>139</v>
      </c>
      <c r="F6" s="7" t="s">
        <v>140</v>
      </c>
      <c r="G6" s="7" t="s">
        <v>100</v>
      </c>
      <c r="H6" s="7" t="s">
        <v>5</v>
      </c>
      <c r="I6" s="7" t="s">
        <v>6</v>
      </c>
      <c r="J6" s="7" t="s">
        <v>138</v>
      </c>
      <c r="K6" s="7" t="s">
        <v>7</v>
      </c>
      <c r="L6" s="7" t="s">
        <v>139</v>
      </c>
      <c r="M6" s="7" t="s">
        <v>141</v>
      </c>
      <c r="N6" s="7" t="s">
        <v>100</v>
      </c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101">
        <v>7</v>
      </c>
      <c r="H7" s="7">
        <v>1</v>
      </c>
      <c r="I7" s="7">
        <v>2</v>
      </c>
      <c r="J7" s="7">
        <v>3</v>
      </c>
      <c r="K7" s="7">
        <v>4</v>
      </c>
      <c r="L7" s="7">
        <v>5</v>
      </c>
      <c r="M7" s="7">
        <v>6</v>
      </c>
      <c r="N7" s="101">
        <v>7</v>
      </c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s="105" customFormat="1" ht="15" customHeight="1">
      <c r="A8" s="58" t="s">
        <v>142</v>
      </c>
      <c r="B8" s="102">
        <f>SUM(B9:B10)</f>
        <v>720918773</v>
      </c>
      <c r="C8" s="102">
        <f>SUM(C9:C10)</f>
        <v>222441182</v>
      </c>
      <c r="D8" s="102">
        <f>SUM(D9:D10)</f>
        <v>212038957</v>
      </c>
      <c r="E8" s="39">
        <f>IF(ISERROR(D8/B8)," ",(D8/B8))</f>
        <v>0.294123228498587</v>
      </c>
      <c r="F8" s="39">
        <f>IF(ISERROR(D8/C8)," ",(D8/C8))</f>
        <v>0.9532360648937749</v>
      </c>
      <c r="G8" s="102">
        <f>SUM(G9:G10)</f>
        <v>66869753</v>
      </c>
      <c r="H8" s="58" t="s">
        <v>142</v>
      </c>
      <c r="I8" s="102">
        <v>720919</v>
      </c>
      <c r="J8" s="102">
        <v>222441</v>
      </c>
      <c r="K8" s="102">
        <v>212039</v>
      </c>
      <c r="L8" s="103">
        <v>0.2941231955323691</v>
      </c>
      <c r="M8" s="103">
        <v>0.9532370381359552</v>
      </c>
      <c r="N8" s="102">
        <v>66870</v>
      </c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s="15" customFormat="1" ht="13.5" customHeight="1">
      <c r="A9" s="106" t="s">
        <v>143</v>
      </c>
      <c r="B9" s="107">
        <f>SUM(B12,B15,B18,B21,B24,B27,B30,B33,B36,B39,B42,B45,B48,B53,B56,B59,B62,B65,B68,B71,B74,B77,B79,B81,B84,B89,B92,B86)</f>
        <v>653325305</v>
      </c>
      <c r="C9" s="107">
        <f>SUM(C12,C15,C18,C21,C24,C27,C30,C33,C36,C39,C42,C45,C48,C53,C56,C59,C62,C65,C68,C71,C74,C77,C79,C81,C84,C89,C92,C86)</f>
        <v>209397359</v>
      </c>
      <c r="D9" s="107">
        <f>SUM(D12,D15,D18,D21,D24,D27,D30,D33,D36,D39,D42,D45,D48,D53,D56,D59,D62,D65,D68,D71,D74,D77,D79,D81,D84,D89,D92,D86)</f>
        <v>202236091</v>
      </c>
      <c r="E9" s="40">
        <f aca="true" t="shared" si="0" ref="E9:E72">IF(ISERROR(D9/B9)," ",(D9/B9))</f>
        <v>0.30954884106318215</v>
      </c>
      <c r="F9" s="40">
        <f aca="true" t="shared" si="1" ref="F9:F72">IF(ISERROR(D9/C9)," ",(D9/C9))</f>
        <v>0.9658005810856478</v>
      </c>
      <c r="G9" s="107">
        <f>SUM(G12,G15,G18,G21,G24,G27,G30,G33,G36,G39,G42,G45,G48,G53,G56,G59,G62,G65,G68,G71,G74,G77,G79,G81,G84,G89,G92,G86)</f>
        <v>61318428</v>
      </c>
      <c r="H9" s="106" t="s">
        <v>143</v>
      </c>
      <c r="I9" s="107">
        <v>653326</v>
      </c>
      <c r="J9" s="107">
        <v>209397</v>
      </c>
      <c r="K9" s="107">
        <v>202236</v>
      </c>
      <c r="L9" s="108">
        <v>0.30954837248173195</v>
      </c>
      <c r="M9" s="108">
        <v>0.9658018023180848</v>
      </c>
      <c r="N9" s="107">
        <v>61319</v>
      </c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15" customFormat="1" ht="14.25" customHeight="1">
      <c r="A10" s="106" t="s">
        <v>144</v>
      </c>
      <c r="B10" s="107">
        <f>SUM(B13,B16,B19,B22,B25,B28,B31,B34,B37,B40,B43,B46,B49,B54,B57,B60,B63,B66,B69,B72,B75,B82,B90,B87)</f>
        <v>67593468</v>
      </c>
      <c r="C10" s="107">
        <f>SUM(C13,C16,C19,C22,C25,C28,C31,C34,C37,C40,C43,C46,C49,C54,C57,C60,C63,C66,C69,C72,C75,C82,C90,C87)</f>
        <v>13043823</v>
      </c>
      <c r="D10" s="107">
        <f>SUM(D13,D16,D19,D22,D25,D28,D31,D34,D37,D40,D43,D46,D49,D54,D57,D60,D63,D66,D69,D72,D75,D82,D90,D87)</f>
        <v>9802866</v>
      </c>
      <c r="E10" s="40">
        <f t="shared" si="0"/>
        <v>0.14502682418958</v>
      </c>
      <c r="F10" s="40">
        <f t="shared" si="1"/>
        <v>0.7515331969776039</v>
      </c>
      <c r="G10" s="107">
        <f>SUM(G13,G16,G19,G22,G25,G28,G31,G34,G37,G40,G43,G46,G49,G54,G57,G60,G63,G66,G69,G72,G75,G82,G90,G87)</f>
        <v>5551325</v>
      </c>
      <c r="H10" s="106" t="s">
        <v>144</v>
      </c>
      <c r="I10" s="107">
        <v>67593</v>
      </c>
      <c r="J10" s="107">
        <v>13044</v>
      </c>
      <c r="K10" s="107">
        <v>9803</v>
      </c>
      <c r="L10" s="108">
        <v>0.1450298107792227</v>
      </c>
      <c r="M10" s="108">
        <v>0.7515332720024532</v>
      </c>
      <c r="N10" s="107">
        <v>5551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15" customFormat="1" ht="12" customHeight="1">
      <c r="A11" s="28" t="s">
        <v>145</v>
      </c>
      <c r="B11" s="109">
        <f>SUM(B12:B13)</f>
        <v>904668</v>
      </c>
      <c r="C11" s="109">
        <f>SUM(C12:C13)</f>
        <v>382961</v>
      </c>
      <c r="D11" s="109">
        <f>SUM(D12:D13)</f>
        <v>355106</v>
      </c>
      <c r="E11" s="39">
        <f t="shared" si="0"/>
        <v>0.3925263190474296</v>
      </c>
      <c r="F11" s="39">
        <f t="shared" si="1"/>
        <v>0.9272641339457542</v>
      </c>
      <c r="G11" s="109">
        <f>SUM(G12:G13)</f>
        <v>144215</v>
      </c>
      <c r="H11" s="28" t="s">
        <v>145</v>
      </c>
      <c r="I11" s="110">
        <v>904</v>
      </c>
      <c r="J11" s="110">
        <v>383</v>
      </c>
      <c r="K11" s="110">
        <v>355</v>
      </c>
      <c r="L11" s="111">
        <v>0.3926991150442478</v>
      </c>
      <c r="M11" s="111">
        <v>0.9268929503916449</v>
      </c>
      <c r="N11" s="110">
        <v>144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15" customFormat="1" ht="12.75">
      <c r="A12" s="75" t="s">
        <v>143</v>
      </c>
      <c r="B12" s="112">
        <v>820228</v>
      </c>
      <c r="C12" s="112">
        <v>333561</v>
      </c>
      <c r="D12" s="112">
        <f>355106-21584</f>
        <v>333522</v>
      </c>
      <c r="E12" s="40">
        <f t="shared" si="0"/>
        <v>0.40662108584442375</v>
      </c>
      <c r="F12" s="40">
        <f t="shared" si="1"/>
        <v>0.9998830798564581</v>
      </c>
      <c r="G12" s="112">
        <f>D12-'[3]Marts'!D12</f>
        <v>122631</v>
      </c>
      <c r="H12" s="75" t="s">
        <v>143</v>
      </c>
      <c r="I12" s="112">
        <v>820</v>
      </c>
      <c r="J12" s="112">
        <v>333</v>
      </c>
      <c r="K12" s="112">
        <v>334</v>
      </c>
      <c r="L12" s="108">
        <v>0.4073170731707317</v>
      </c>
      <c r="M12" s="108">
        <v>1.003003003003003</v>
      </c>
      <c r="N12" s="112">
        <v>123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15" customFormat="1" ht="12.75">
      <c r="A13" s="75" t="s">
        <v>144</v>
      </c>
      <c r="B13" s="112">
        <v>84440</v>
      </c>
      <c r="C13" s="112">
        <v>49400</v>
      </c>
      <c r="D13" s="112">
        <v>21584</v>
      </c>
      <c r="E13" s="40">
        <f t="shared" si="0"/>
        <v>0.25561345333964947</v>
      </c>
      <c r="F13" s="40">
        <f t="shared" si="1"/>
        <v>0.4369230769230769</v>
      </c>
      <c r="G13" s="112">
        <f>D13-'[3]Marts'!D13</f>
        <v>21584</v>
      </c>
      <c r="H13" s="75" t="s">
        <v>144</v>
      </c>
      <c r="I13" s="112">
        <v>84</v>
      </c>
      <c r="J13" s="112">
        <v>50</v>
      </c>
      <c r="K13" s="112">
        <v>21</v>
      </c>
      <c r="L13" s="108">
        <v>0.25</v>
      </c>
      <c r="M13" s="108">
        <v>0.42</v>
      </c>
      <c r="N13" s="112">
        <v>21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15" customFormat="1" ht="12.75" customHeight="1">
      <c r="A14" s="113" t="s">
        <v>146</v>
      </c>
      <c r="B14" s="109">
        <f>SUM(B15:B16)</f>
        <v>6388701</v>
      </c>
      <c r="C14" s="109">
        <f>SUM(C15:C16)</f>
        <v>1822171</v>
      </c>
      <c r="D14" s="109">
        <f>SUM(D15:D16)</f>
        <v>1608605</v>
      </c>
      <c r="E14" s="39">
        <f t="shared" si="0"/>
        <v>0.25178905696165776</v>
      </c>
      <c r="F14" s="39">
        <f t="shared" si="1"/>
        <v>0.8827958517614428</v>
      </c>
      <c r="G14" s="109">
        <f>SUM(G15:G16)</f>
        <v>600458</v>
      </c>
      <c r="H14" s="113" t="s">
        <v>146</v>
      </c>
      <c r="I14" s="110">
        <v>6388</v>
      </c>
      <c r="J14" s="110">
        <v>1822</v>
      </c>
      <c r="K14" s="110">
        <v>1608</v>
      </c>
      <c r="L14" s="111">
        <v>0.2517219787100814</v>
      </c>
      <c r="M14" s="111">
        <v>0.8825466520307355</v>
      </c>
      <c r="N14" s="110">
        <v>600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15" customFormat="1" ht="12.75">
      <c r="A15" s="75" t="s">
        <v>143</v>
      </c>
      <c r="B15" s="112">
        <v>5042250</v>
      </c>
      <c r="C15" s="112">
        <v>1597910</v>
      </c>
      <c r="D15" s="112">
        <f>1608605-140309</f>
        <v>1468296</v>
      </c>
      <c r="E15" s="40">
        <f t="shared" si="0"/>
        <v>0.29119857206604194</v>
      </c>
      <c r="F15" s="40">
        <f t="shared" si="1"/>
        <v>0.9188852939151767</v>
      </c>
      <c r="G15" s="112">
        <f>D15-'[3]Marts'!D15</f>
        <v>460149</v>
      </c>
      <c r="H15" s="75" t="s">
        <v>143</v>
      </c>
      <c r="I15" s="112">
        <v>5042</v>
      </c>
      <c r="J15" s="112">
        <v>1598</v>
      </c>
      <c r="K15" s="112">
        <v>1468</v>
      </c>
      <c r="L15" s="108">
        <v>0.2911543038476795</v>
      </c>
      <c r="M15" s="108">
        <v>0.918648310387985</v>
      </c>
      <c r="N15" s="112">
        <v>460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15" customFormat="1" ht="12.75">
      <c r="A16" s="75" t="s">
        <v>144</v>
      </c>
      <c r="B16" s="112">
        <v>1346451</v>
      </c>
      <c r="C16" s="112">
        <v>224261</v>
      </c>
      <c r="D16" s="112">
        <f>60252+80057</f>
        <v>140309</v>
      </c>
      <c r="E16" s="40">
        <f t="shared" si="0"/>
        <v>0.10420654000776858</v>
      </c>
      <c r="F16" s="40">
        <f t="shared" si="1"/>
        <v>0.6256504697651397</v>
      </c>
      <c r="G16" s="112">
        <f>D16-'[3]Marts'!D16</f>
        <v>140309</v>
      </c>
      <c r="H16" s="75" t="s">
        <v>144</v>
      </c>
      <c r="I16" s="112">
        <v>1346</v>
      </c>
      <c r="J16" s="112">
        <v>224</v>
      </c>
      <c r="K16" s="112">
        <v>140</v>
      </c>
      <c r="L16" s="108">
        <v>0.10401188707280833</v>
      </c>
      <c r="M16" s="108">
        <v>0.625</v>
      </c>
      <c r="N16" s="112">
        <v>140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15" customFormat="1" ht="13.5" customHeight="1">
      <c r="A17" s="113" t="s">
        <v>147</v>
      </c>
      <c r="B17" s="109">
        <f>SUM(B18:B19)</f>
        <v>3940406</v>
      </c>
      <c r="C17" s="109">
        <f>SUM(C18:C19)</f>
        <v>1258224</v>
      </c>
      <c r="D17" s="109">
        <f>SUM(D18:D19)</f>
        <v>1174807</v>
      </c>
      <c r="E17" s="39">
        <f t="shared" si="0"/>
        <v>0.2981436430662221</v>
      </c>
      <c r="F17" s="39">
        <f t="shared" si="1"/>
        <v>0.9337025839596129</v>
      </c>
      <c r="G17" s="109">
        <f>SUM(G18:G19)</f>
        <v>391570</v>
      </c>
      <c r="H17" s="113" t="s">
        <v>147</v>
      </c>
      <c r="I17" s="110">
        <v>3941</v>
      </c>
      <c r="J17" s="110">
        <v>1259</v>
      </c>
      <c r="K17" s="110">
        <v>1175</v>
      </c>
      <c r="L17" s="111">
        <v>0.2981476782542502</v>
      </c>
      <c r="M17" s="111">
        <v>0.9332803812549643</v>
      </c>
      <c r="N17" s="110">
        <v>391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15" customFormat="1" ht="12.75">
      <c r="A18" s="75" t="s">
        <v>143</v>
      </c>
      <c r="B18" s="112">
        <v>3712683</v>
      </c>
      <c r="C18" s="112">
        <v>1188634</v>
      </c>
      <c r="D18" s="112">
        <f>1174807-53336</f>
        <v>1121471</v>
      </c>
      <c r="E18" s="40">
        <f t="shared" si="0"/>
        <v>0.30206484097888237</v>
      </c>
      <c r="F18" s="40">
        <f t="shared" si="1"/>
        <v>0.9434956428976455</v>
      </c>
      <c r="G18" s="112">
        <f>D18-'[3]Marts'!D18</f>
        <v>380735</v>
      </c>
      <c r="H18" s="75" t="s">
        <v>143</v>
      </c>
      <c r="I18" s="112">
        <v>3713</v>
      </c>
      <c r="J18" s="112">
        <v>1189</v>
      </c>
      <c r="K18" s="112">
        <v>1122</v>
      </c>
      <c r="L18" s="108">
        <v>0.30218152437382173</v>
      </c>
      <c r="M18" s="108">
        <v>0.943650126156434</v>
      </c>
      <c r="N18" s="112">
        <v>381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15" customFormat="1" ht="12.75">
      <c r="A19" s="75" t="s">
        <v>144</v>
      </c>
      <c r="B19" s="112">
        <v>227723</v>
      </c>
      <c r="C19" s="112">
        <v>69590</v>
      </c>
      <c r="D19" s="112">
        <v>53336</v>
      </c>
      <c r="E19" s="40">
        <f t="shared" si="0"/>
        <v>0.2342143744812777</v>
      </c>
      <c r="F19" s="40">
        <f t="shared" si="1"/>
        <v>0.7664319586147434</v>
      </c>
      <c r="G19" s="112">
        <f>D19-'[3]Marts'!D19</f>
        <v>10835</v>
      </c>
      <c r="H19" s="75" t="s">
        <v>144</v>
      </c>
      <c r="I19" s="112">
        <v>228</v>
      </c>
      <c r="J19" s="112">
        <v>70</v>
      </c>
      <c r="K19" s="112">
        <v>53</v>
      </c>
      <c r="L19" s="108">
        <v>0.2324561403508772</v>
      </c>
      <c r="M19" s="108">
        <v>0.7571428571428571</v>
      </c>
      <c r="N19" s="112">
        <v>10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15" customFormat="1" ht="15" customHeight="1">
      <c r="A20" s="113" t="s">
        <v>148</v>
      </c>
      <c r="B20" s="109">
        <f>SUM(B21:B22)</f>
        <v>35413803</v>
      </c>
      <c r="C20" s="109">
        <f>SUM(C21:C22)</f>
        <v>7852020</v>
      </c>
      <c r="D20" s="109">
        <f>SUM(D21:D22)</f>
        <v>7336517</v>
      </c>
      <c r="E20" s="39">
        <f t="shared" si="0"/>
        <v>0.20716546596252314</v>
      </c>
      <c r="F20" s="39">
        <f t="shared" si="1"/>
        <v>0.9343477219874631</v>
      </c>
      <c r="G20" s="109">
        <f>SUM(G21:G22)</f>
        <v>2255162</v>
      </c>
      <c r="H20" s="113" t="s">
        <v>148</v>
      </c>
      <c r="I20" s="110">
        <v>35413</v>
      </c>
      <c r="J20" s="110">
        <v>7852</v>
      </c>
      <c r="K20" s="110">
        <v>7337</v>
      </c>
      <c r="L20" s="111">
        <v>0.2071838025583825</v>
      </c>
      <c r="M20" s="111">
        <v>0.9344116148751911</v>
      </c>
      <c r="N20" s="110">
        <v>2256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15" customFormat="1" ht="12.75">
      <c r="A21" s="75" t="s">
        <v>143</v>
      </c>
      <c r="B21" s="112">
        <v>30347352</v>
      </c>
      <c r="C21" s="112">
        <v>7700380</v>
      </c>
      <c r="D21" s="112">
        <f>7336517-69526</f>
        <v>7266991</v>
      </c>
      <c r="E21" s="40">
        <f t="shared" si="0"/>
        <v>0.2394604642935568</v>
      </c>
      <c r="F21" s="40">
        <f t="shared" si="1"/>
        <v>0.9437184918146897</v>
      </c>
      <c r="G21" s="112">
        <f>D21-'[3]Marts'!D21</f>
        <v>2185636</v>
      </c>
      <c r="H21" s="75" t="s">
        <v>143</v>
      </c>
      <c r="I21" s="112">
        <v>30347</v>
      </c>
      <c r="J21" s="112">
        <v>7700</v>
      </c>
      <c r="K21" s="112">
        <v>7267</v>
      </c>
      <c r="L21" s="108">
        <v>0.23946353840577322</v>
      </c>
      <c r="M21" s="108">
        <v>0.9437662337662338</v>
      </c>
      <c r="N21" s="112">
        <v>2186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s="15" customFormat="1" ht="12.75">
      <c r="A22" s="75" t="s">
        <v>144</v>
      </c>
      <c r="B22" s="112">
        <v>5066451</v>
      </c>
      <c r="C22" s="112">
        <v>151640</v>
      </c>
      <c r="D22" s="112">
        <f>6428+477+62621</f>
        <v>69526</v>
      </c>
      <c r="E22" s="40">
        <f t="shared" si="0"/>
        <v>0.013722820964813436</v>
      </c>
      <c r="F22" s="40">
        <f t="shared" si="1"/>
        <v>0.4584938011078871</v>
      </c>
      <c r="G22" s="112">
        <f>D22-'[3]Marts'!D22</f>
        <v>69526</v>
      </c>
      <c r="H22" s="75" t="s">
        <v>144</v>
      </c>
      <c r="I22" s="112">
        <v>5066</v>
      </c>
      <c r="J22" s="112">
        <v>152</v>
      </c>
      <c r="K22" s="112">
        <v>70</v>
      </c>
      <c r="L22" s="108">
        <v>0.01381760757994473</v>
      </c>
      <c r="M22" s="108">
        <v>0.4605263157894737</v>
      </c>
      <c r="N22" s="112">
        <v>70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15" customFormat="1" ht="16.5" customHeight="1">
      <c r="A23" s="113" t="s">
        <v>149</v>
      </c>
      <c r="B23" s="109">
        <f>SUM(B24:B25)</f>
        <v>10961663</v>
      </c>
      <c r="C23" s="109">
        <f>SUM(C24:C25)</f>
        <v>4051661</v>
      </c>
      <c r="D23" s="109">
        <f>SUM(D24:D25)</f>
        <v>3597334</v>
      </c>
      <c r="E23" s="39">
        <f t="shared" si="0"/>
        <v>0.3281741100780055</v>
      </c>
      <c r="F23" s="39">
        <f t="shared" si="1"/>
        <v>0.8878664824130154</v>
      </c>
      <c r="G23" s="109">
        <f>SUM(G24:G25)</f>
        <v>1014470</v>
      </c>
      <c r="H23" s="113" t="s">
        <v>149</v>
      </c>
      <c r="I23" s="110">
        <v>10962</v>
      </c>
      <c r="J23" s="110">
        <v>4052</v>
      </c>
      <c r="K23" s="110">
        <v>3598</v>
      </c>
      <c r="L23" s="111">
        <v>0.3282247765006386</v>
      </c>
      <c r="M23" s="111">
        <v>0.8879565646594274</v>
      </c>
      <c r="N23" s="110">
        <v>1015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s="15" customFormat="1" ht="12.75">
      <c r="A24" s="75" t="s">
        <v>143</v>
      </c>
      <c r="B24" s="112">
        <v>10549064</v>
      </c>
      <c r="C24" s="112">
        <v>3859661</v>
      </c>
      <c r="D24" s="112">
        <f>3597334-73653-37968</f>
        <v>3485713</v>
      </c>
      <c r="E24" s="40">
        <f t="shared" si="0"/>
        <v>0.33042865224819945</v>
      </c>
      <c r="F24" s="40">
        <f t="shared" si="1"/>
        <v>0.9031137708726232</v>
      </c>
      <c r="G24" s="112">
        <f>D24-'[3]Marts'!D24</f>
        <v>996988</v>
      </c>
      <c r="H24" s="75" t="s">
        <v>143</v>
      </c>
      <c r="I24" s="112">
        <v>10549</v>
      </c>
      <c r="J24" s="112">
        <v>3860</v>
      </c>
      <c r="K24" s="112">
        <v>3486</v>
      </c>
      <c r="L24" s="108">
        <v>0.33045786330457866</v>
      </c>
      <c r="M24" s="108">
        <v>0.9031088082901555</v>
      </c>
      <c r="N24" s="112">
        <v>997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s="15" customFormat="1" ht="12.75">
      <c r="A25" s="75" t="s">
        <v>144</v>
      </c>
      <c r="B25" s="112">
        <v>412599</v>
      </c>
      <c r="C25" s="112">
        <v>192000</v>
      </c>
      <c r="D25" s="112">
        <f>37968+73653</f>
        <v>111621</v>
      </c>
      <c r="E25" s="40">
        <f t="shared" si="0"/>
        <v>0.2705314360917016</v>
      </c>
      <c r="F25" s="40">
        <f t="shared" si="1"/>
        <v>0.581359375</v>
      </c>
      <c r="G25" s="112">
        <f>D25-'[3]Marts'!D25</f>
        <v>17482</v>
      </c>
      <c r="H25" s="75" t="s">
        <v>144</v>
      </c>
      <c r="I25" s="112">
        <v>413</v>
      </c>
      <c r="J25" s="112">
        <v>192</v>
      </c>
      <c r="K25" s="112">
        <v>112</v>
      </c>
      <c r="L25" s="108">
        <v>0.2711864406779661</v>
      </c>
      <c r="M25" s="108">
        <v>0.5833333333333334</v>
      </c>
      <c r="N25" s="112">
        <v>18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s="15" customFormat="1" ht="14.25" customHeight="1">
      <c r="A26" s="113" t="s">
        <v>150</v>
      </c>
      <c r="B26" s="109">
        <f>SUM(B27:B28)</f>
        <v>4419091</v>
      </c>
      <c r="C26" s="109">
        <f>SUM(C27:C28)</f>
        <v>1182644</v>
      </c>
      <c r="D26" s="109">
        <f>SUM(D27:D28)</f>
        <v>1295630</v>
      </c>
      <c r="E26" s="39">
        <f t="shared" si="0"/>
        <v>0.2931892554373739</v>
      </c>
      <c r="F26" s="39">
        <f t="shared" si="1"/>
        <v>1.0955367802990588</v>
      </c>
      <c r="G26" s="109">
        <f>SUM(G27:G28)</f>
        <v>355374</v>
      </c>
      <c r="H26" s="113" t="s">
        <v>150</v>
      </c>
      <c r="I26" s="110">
        <v>4419</v>
      </c>
      <c r="J26" s="110">
        <v>1183</v>
      </c>
      <c r="K26" s="110">
        <v>1295</v>
      </c>
      <c r="L26" s="111">
        <v>0.2930527268612808</v>
      </c>
      <c r="M26" s="111">
        <v>1.0946745562130178</v>
      </c>
      <c r="N26" s="110">
        <v>355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s="15" customFormat="1" ht="12.75">
      <c r="A27" s="75" t="s">
        <v>143</v>
      </c>
      <c r="B27" s="112">
        <v>4140751</v>
      </c>
      <c r="C27" s="112">
        <v>1127794</v>
      </c>
      <c r="D27" s="112">
        <f>1295630-33294</f>
        <v>1262336</v>
      </c>
      <c r="E27" s="40">
        <f t="shared" si="0"/>
        <v>0.30485677598097544</v>
      </c>
      <c r="F27" s="40">
        <f t="shared" si="1"/>
        <v>1.119296609132519</v>
      </c>
      <c r="G27" s="112">
        <f>D27-'[3]Marts'!D27</f>
        <v>322080</v>
      </c>
      <c r="H27" s="75" t="s">
        <v>143</v>
      </c>
      <c r="I27" s="112">
        <v>4141</v>
      </c>
      <c r="J27" s="112">
        <v>1128</v>
      </c>
      <c r="K27" s="112">
        <v>1262</v>
      </c>
      <c r="L27" s="108">
        <v>0.30475730499879256</v>
      </c>
      <c r="M27" s="108">
        <v>1.1187943262411348</v>
      </c>
      <c r="N27" s="112">
        <v>322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s="15" customFormat="1" ht="12.75">
      <c r="A28" s="75" t="s">
        <v>144</v>
      </c>
      <c r="B28" s="112">
        <v>278340</v>
      </c>
      <c r="C28" s="112">
        <v>54850</v>
      </c>
      <c r="D28" s="112">
        <f>12623+20671</f>
        <v>33294</v>
      </c>
      <c r="E28" s="40">
        <f t="shared" si="0"/>
        <v>0.11961629661564993</v>
      </c>
      <c r="F28" s="40">
        <f t="shared" si="1"/>
        <v>0.6070009115770283</v>
      </c>
      <c r="G28" s="112">
        <f>D28-'[3]Marts'!D28</f>
        <v>33294</v>
      </c>
      <c r="H28" s="75" t="s">
        <v>144</v>
      </c>
      <c r="I28" s="112">
        <v>278</v>
      </c>
      <c r="J28" s="112">
        <v>55</v>
      </c>
      <c r="K28" s="112">
        <v>33</v>
      </c>
      <c r="L28" s="108">
        <v>0.11870503597122302</v>
      </c>
      <c r="M28" s="108">
        <v>0.6</v>
      </c>
      <c r="N28" s="112">
        <v>33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15" customFormat="1" ht="14.25" customHeight="1">
      <c r="A29" s="113" t="s">
        <v>151</v>
      </c>
      <c r="B29" s="109">
        <f>SUM(B30:B31)</f>
        <v>105652273</v>
      </c>
      <c r="C29" s="109">
        <f>SUM(C30:C31)</f>
        <v>32234188</v>
      </c>
      <c r="D29" s="109">
        <f>SUM(D30:D31)</f>
        <v>24774911</v>
      </c>
      <c r="E29" s="39">
        <f t="shared" si="0"/>
        <v>0.2344948224634978</v>
      </c>
      <c r="F29" s="39">
        <f t="shared" si="1"/>
        <v>0.7685911306343439</v>
      </c>
      <c r="G29" s="109">
        <f>SUM(G30:G31)</f>
        <v>7953820</v>
      </c>
      <c r="H29" s="113" t="s">
        <v>151</v>
      </c>
      <c r="I29" s="110">
        <v>105652</v>
      </c>
      <c r="J29" s="110">
        <v>32234</v>
      </c>
      <c r="K29" s="110">
        <v>24775</v>
      </c>
      <c r="L29" s="111">
        <v>0.23449627077575436</v>
      </c>
      <c r="M29" s="111">
        <v>0.768598374387293</v>
      </c>
      <c r="N29" s="110">
        <v>7954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s="15" customFormat="1" ht="12.75">
      <c r="A30" s="75" t="s">
        <v>143</v>
      </c>
      <c r="B30" s="112">
        <v>92953898</v>
      </c>
      <c r="C30" s="112">
        <v>28725944</v>
      </c>
      <c r="D30" s="112">
        <f>24767770-2690795+7141</f>
        <v>22084116</v>
      </c>
      <c r="E30" s="40">
        <f t="shared" si="0"/>
        <v>0.23758138685050087</v>
      </c>
      <c r="F30" s="40">
        <f t="shared" si="1"/>
        <v>0.7687864322230803</v>
      </c>
      <c r="G30" s="112">
        <f>D30-'[3]Marts'!D30</f>
        <v>7137729</v>
      </c>
      <c r="H30" s="75" t="s">
        <v>143</v>
      </c>
      <c r="I30" s="112">
        <v>92954</v>
      </c>
      <c r="J30" s="112">
        <v>28726</v>
      </c>
      <c r="K30" s="112">
        <v>22084</v>
      </c>
      <c r="L30" s="108">
        <v>0.2375798782193343</v>
      </c>
      <c r="M30" s="108">
        <v>0.7687808953561234</v>
      </c>
      <c r="N30" s="112">
        <v>7138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s="15" customFormat="1" ht="12.75">
      <c r="A31" s="75" t="s">
        <v>144</v>
      </c>
      <c r="B31" s="112">
        <v>12698375</v>
      </c>
      <c r="C31" s="112">
        <v>3508244</v>
      </c>
      <c r="D31" s="112">
        <f>95166+29469+2566160</f>
        <v>2690795</v>
      </c>
      <c r="E31" s="40">
        <f t="shared" si="0"/>
        <v>0.211900735330308</v>
      </c>
      <c r="F31" s="40">
        <f t="shared" si="1"/>
        <v>0.7669919766128012</v>
      </c>
      <c r="G31" s="112">
        <f>D31-'[3]Marts'!D31</f>
        <v>816091</v>
      </c>
      <c r="H31" s="75" t="s">
        <v>144</v>
      </c>
      <c r="I31" s="112">
        <v>12698</v>
      </c>
      <c r="J31" s="112">
        <v>3508</v>
      </c>
      <c r="K31" s="112">
        <v>2691</v>
      </c>
      <c r="L31" s="108">
        <v>0.2119231375019688</v>
      </c>
      <c r="M31" s="108">
        <v>0.7671037628278221</v>
      </c>
      <c r="N31" s="112">
        <v>816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s="15" customFormat="1" ht="18" customHeight="1">
      <c r="A32" s="113" t="s">
        <v>152</v>
      </c>
      <c r="B32" s="109">
        <f>SUM(B33:B34)</f>
        <v>98512404</v>
      </c>
      <c r="C32" s="109">
        <f>SUM(C33:C34)</f>
        <v>31439624</v>
      </c>
      <c r="D32" s="109">
        <f>SUM(D33:D34)</f>
        <v>29639437</v>
      </c>
      <c r="E32" s="39">
        <f t="shared" si="0"/>
        <v>0.30087010159654615</v>
      </c>
      <c r="F32" s="39">
        <f t="shared" si="1"/>
        <v>0.9427414589945478</v>
      </c>
      <c r="G32" s="109">
        <f>SUM(G33:G34)</f>
        <v>8235207</v>
      </c>
      <c r="H32" s="113" t="s">
        <v>152</v>
      </c>
      <c r="I32" s="110">
        <v>98513</v>
      </c>
      <c r="J32" s="110">
        <v>31440</v>
      </c>
      <c r="K32" s="110">
        <v>29639</v>
      </c>
      <c r="L32" s="111">
        <v>0.3008638453808127</v>
      </c>
      <c r="M32" s="111">
        <v>0.9427162849872773</v>
      </c>
      <c r="N32" s="110">
        <v>8235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s="15" customFormat="1" ht="12.75">
      <c r="A33" s="75" t="s">
        <v>143</v>
      </c>
      <c r="B33" s="112">
        <v>83945620</v>
      </c>
      <c r="C33" s="112">
        <v>28699814</v>
      </c>
      <c r="D33" s="112">
        <f>29639437-1878167</f>
        <v>27761270</v>
      </c>
      <c r="E33" s="40">
        <f t="shared" si="0"/>
        <v>0.33070540190185027</v>
      </c>
      <c r="F33" s="40">
        <f t="shared" si="1"/>
        <v>0.9672979065299866</v>
      </c>
      <c r="G33" s="112">
        <f>D33-'[3]Marts'!D33</f>
        <v>7121588</v>
      </c>
      <c r="H33" s="75" t="s">
        <v>143</v>
      </c>
      <c r="I33" s="112">
        <v>83946</v>
      </c>
      <c r="J33" s="112">
        <v>28700</v>
      </c>
      <c r="K33" s="112">
        <v>27761</v>
      </c>
      <c r="L33" s="108">
        <v>0.3307006885378696</v>
      </c>
      <c r="M33" s="108">
        <v>0.9672822299651568</v>
      </c>
      <c r="N33" s="112">
        <v>7121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s="15" customFormat="1" ht="12.75">
      <c r="A34" s="75" t="s">
        <v>144</v>
      </c>
      <c r="B34" s="112">
        <v>14566784</v>
      </c>
      <c r="C34" s="112">
        <v>2739810</v>
      </c>
      <c r="D34" s="112">
        <v>1878167</v>
      </c>
      <c r="E34" s="40">
        <f t="shared" si="0"/>
        <v>0.1289349110963683</v>
      </c>
      <c r="F34" s="40">
        <f t="shared" si="1"/>
        <v>0.6855099441202127</v>
      </c>
      <c r="G34" s="112">
        <f>D34-'[3]Marts'!D34</f>
        <v>1113619</v>
      </c>
      <c r="H34" s="75" t="s">
        <v>144</v>
      </c>
      <c r="I34" s="112">
        <v>14567</v>
      </c>
      <c r="J34" s="112">
        <v>2740</v>
      </c>
      <c r="K34" s="112">
        <v>1878</v>
      </c>
      <c r="L34" s="108">
        <v>0.12892153497631634</v>
      </c>
      <c r="M34" s="108">
        <v>0.6854014598540146</v>
      </c>
      <c r="N34" s="112">
        <v>1114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s="15" customFormat="1" ht="12.75" customHeight="1">
      <c r="A35" s="28" t="s">
        <v>153</v>
      </c>
      <c r="B35" s="109">
        <f>SUM(B36:B37)</f>
        <v>63958464</v>
      </c>
      <c r="C35" s="109">
        <f>SUM(C36:C37)</f>
        <v>20950659</v>
      </c>
      <c r="D35" s="109">
        <f>SUM(D36:D37)</f>
        <v>18230453</v>
      </c>
      <c r="E35" s="39">
        <f t="shared" si="0"/>
        <v>0.285035816369824</v>
      </c>
      <c r="F35" s="39">
        <f t="shared" si="1"/>
        <v>0.8701613156894015</v>
      </c>
      <c r="G35" s="109">
        <f>SUM(G36:G37)</f>
        <v>5613494</v>
      </c>
      <c r="H35" s="28" t="s">
        <v>153</v>
      </c>
      <c r="I35" s="110">
        <v>63959</v>
      </c>
      <c r="J35" s="110">
        <v>20951</v>
      </c>
      <c r="K35" s="110">
        <v>18231</v>
      </c>
      <c r="L35" s="111">
        <v>0.2850419800184493</v>
      </c>
      <c r="M35" s="111">
        <v>0.8701732614195027</v>
      </c>
      <c r="N35" s="110">
        <v>5614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s="15" customFormat="1" ht="14.25" customHeight="1">
      <c r="A36" s="75" t="s">
        <v>143</v>
      </c>
      <c r="B36" s="112">
        <v>59036008</v>
      </c>
      <c r="C36" s="112">
        <v>20086705</v>
      </c>
      <c r="D36" s="112">
        <f>18920808-142450-704268+13913-336305-29081</f>
        <v>17722617</v>
      </c>
      <c r="E36" s="40">
        <f t="shared" si="0"/>
        <v>0.30020012532012663</v>
      </c>
      <c r="F36" s="40">
        <f t="shared" si="1"/>
        <v>0.882305833634735</v>
      </c>
      <c r="G36" s="112">
        <f>D36-'[3]Marts'!D36</f>
        <v>5432649</v>
      </c>
      <c r="H36" s="75" t="s">
        <v>143</v>
      </c>
      <c r="I36" s="112">
        <v>59036</v>
      </c>
      <c r="J36" s="112">
        <v>20087</v>
      </c>
      <c r="K36" s="112">
        <v>17723</v>
      </c>
      <c r="L36" s="108">
        <v>0.30020665356731485</v>
      </c>
      <c r="M36" s="108">
        <v>0.8823119430477423</v>
      </c>
      <c r="N36" s="112">
        <v>5433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s="15" customFormat="1" ht="12.75" customHeight="1">
      <c r="A37" s="75" t="s">
        <v>144</v>
      </c>
      <c r="B37" s="112">
        <v>4922456</v>
      </c>
      <c r="C37" s="112">
        <v>863954</v>
      </c>
      <c r="D37" s="112">
        <f>142450+336305+29081</f>
        <v>507836</v>
      </c>
      <c r="E37" s="40">
        <f t="shared" si="0"/>
        <v>0.10316719946303228</v>
      </c>
      <c r="F37" s="40">
        <f t="shared" si="1"/>
        <v>0.5878044432921197</v>
      </c>
      <c r="G37" s="112">
        <f>D37-'[3]Marts'!D37</f>
        <v>180845</v>
      </c>
      <c r="H37" s="75" t="s">
        <v>144</v>
      </c>
      <c r="I37" s="112">
        <v>4923</v>
      </c>
      <c r="J37" s="112">
        <v>864</v>
      </c>
      <c r="K37" s="112">
        <v>508</v>
      </c>
      <c r="L37" s="108">
        <v>0.10318911232988015</v>
      </c>
      <c r="M37" s="108">
        <v>0.5879629629629629</v>
      </c>
      <c r="N37" s="112">
        <v>181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5" customHeight="1">
      <c r="A38" s="113" t="s">
        <v>154</v>
      </c>
      <c r="B38" s="109">
        <f>SUM(B39:B40)</f>
        <v>48564873</v>
      </c>
      <c r="C38" s="109">
        <f>SUM(C39:C40)</f>
        <v>15206598</v>
      </c>
      <c r="D38" s="109">
        <f>SUM(D39:D40)</f>
        <v>13917238</v>
      </c>
      <c r="E38" s="39">
        <f t="shared" si="0"/>
        <v>0.2865700482733683</v>
      </c>
      <c r="F38" s="39">
        <f t="shared" si="1"/>
        <v>0.9152104895519695</v>
      </c>
      <c r="G38" s="109">
        <f>SUM(G39:G40)</f>
        <v>4459202</v>
      </c>
      <c r="H38" s="113" t="s">
        <v>154</v>
      </c>
      <c r="I38" s="110">
        <v>48565</v>
      </c>
      <c r="J38" s="110">
        <v>15207</v>
      </c>
      <c r="K38" s="110">
        <v>13917</v>
      </c>
      <c r="L38" s="111">
        <v>0.2865643982291774</v>
      </c>
      <c r="M38" s="111">
        <v>0.9151706450976524</v>
      </c>
      <c r="N38" s="110">
        <v>4459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12.75">
      <c r="A39" s="75" t="s">
        <v>143</v>
      </c>
      <c r="B39" s="112">
        <v>45158922</v>
      </c>
      <c r="C39" s="112">
        <v>14323736</v>
      </c>
      <c r="D39" s="112">
        <f>13917238-697644</f>
        <v>13219594</v>
      </c>
      <c r="E39" s="40">
        <f t="shared" si="0"/>
        <v>0.2927349328666437</v>
      </c>
      <c r="F39" s="40">
        <f t="shared" si="1"/>
        <v>0.9229152226765419</v>
      </c>
      <c r="G39" s="112">
        <f>D39-'[3]Marts'!D39</f>
        <v>3902290</v>
      </c>
      <c r="H39" s="75" t="s">
        <v>143</v>
      </c>
      <c r="I39" s="112">
        <v>45159</v>
      </c>
      <c r="J39" s="112">
        <v>14324</v>
      </c>
      <c r="K39" s="112">
        <v>13219</v>
      </c>
      <c r="L39" s="108">
        <v>0.29272127372173873</v>
      </c>
      <c r="M39" s="108">
        <v>0.9228567439262776</v>
      </c>
      <c r="N39" s="112">
        <v>3902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12.75">
      <c r="A40" s="75" t="s">
        <v>144</v>
      </c>
      <c r="B40" s="112">
        <v>3405951</v>
      </c>
      <c r="C40" s="112">
        <v>882862</v>
      </c>
      <c r="D40" s="112">
        <f>234878+27763+435003</f>
        <v>697644</v>
      </c>
      <c r="E40" s="40">
        <f t="shared" si="0"/>
        <v>0.20483089744978716</v>
      </c>
      <c r="F40" s="40">
        <f t="shared" si="1"/>
        <v>0.7902073030666175</v>
      </c>
      <c r="G40" s="112">
        <f>D40-'[3]Marts'!D40</f>
        <v>556912</v>
      </c>
      <c r="H40" s="75" t="s">
        <v>144</v>
      </c>
      <c r="I40" s="112">
        <v>3406</v>
      </c>
      <c r="J40" s="112">
        <v>883</v>
      </c>
      <c r="K40" s="112">
        <v>698</v>
      </c>
      <c r="L40" s="108">
        <v>0.20493247210804463</v>
      </c>
      <c r="M40" s="108">
        <v>0.7904869762174406</v>
      </c>
      <c r="N40" s="112">
        <v>557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ht="12.75" customHeight="1">
      <c r="A41" s="113" t="s">
        <v>155</v>
      </c>
      <c r="B41" s="109">
        <f>SUM(B42:B43)</f>
        <v>8419312</v>
      </c>
      <c r="C41" s="109">
        <f>SUM(C42:C43)</f>
        <v>2204010</v>
      </c>
      <c r="D41" s="109">
        <f>SUM(D42:D43)</f>
        <v>1983701</v>
      </c>
      <c r="E41" s="39">
        <f t="shared" si="0"/>
        <v>0.23561319499740596</v>
      </c>
      <c r="F41" s="39">
        <f t="shared" si="1"/>
        <v>0.9000417420973589</v>
      </c>
      <c r="G41" s="109">
        <f>SUM(G42:G43)</f>
        <v>609930</v>
      </c>
      <c r="H41" s="113" t="s">
        <v>155</v>
      </c>
      <c r="I41" s="110">
        <v>8419</v>
      </c>
      <c r="J41" s="110">
        <v>2204</v>
      </c>
      <c r="K41" s="110">
        <v>1984</v>
      </c>
      <c r="L41" s="111">
        <v>0.23565744150136597</v>
      </c>
      <c r="M41" s="111">
        <v>0.9001814882032668</v>
      </c>
      <c r="N41" s="110">
        <v>610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12.75">
      <c r="A42" s="75" t="s">
        <v>143</v>
      </c>
      <c r="B42" s="112">
        <v>5038312</v>
      </c>
      <c r="C42" s="112">
        <v>1662784</v>
      </c>
      <c r="D42" s="112">
        <f>1983701-527879</f>
        <v>1455822</v>
      </c>
      <c r="E42" s="40">
        <f t="shared" si="0"/>
        <v>0.28895034686220306</v>
      </c>
      <c r="F42" s="40">
        <f t="shared" si="1"/>
        <v>0.8755328413071091</v>
      </c>
      <c r="G42" s="112">
        <f>D42-'[3]Marts'!D42</f>
        <v>384151</v>
      </c>
      <c r="H42" s="75" t="s">
        <v>143</v>
      </c>
      <c r="I42" s="112">
        <v>5038</v>
      </c>
      <c r="J42" s="112">
        <v>1663</v>
      </c>
      <c r="K42" s="112">
        <v>1456</v>
      </c>
      <c r="L42" s="108">
        <v>0.28900357284636763</v>
      </c>
      <c r="M42" s="108">
        <v>0.8755261575466026</v>
      </c>
      <c r="N42" s="112">
        <v>384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ht="12.75">
      <c r="A43" s="75" t="s">
        <v>144</v>
      </c>
      <c r="B43" s="112">
        <v>3381000</v>
      </c>
      <c r="C43" s="112">
        <v>541226</v>
      </c>
      <c r="D43" s="112">
        <f>527782+97</f>
        <v>527879</v>
      </c>
      <c r="E43" s="40">
        <f t="shared" si="0"/>
        <v>0.1561310263235729</v>
      </c>
      <c r="F43" s="40">
        <f t="shared" si="1"/>
        <v>0.9753393222055112</v>
      </c>
      <c r="G43" s="112">
        <f>D43-'[3]Marts'!D43</f>
        <v>225779</v>
      </c>
      <c r="H43" s="75" t="s">
        <v>144</v>
      </c>
      <c r="I43" s="112">
        <v>3381</v>
      </c>
      <c r="J43" s="112">
        <v>541</v>
      </c>
      <c r="K43" s="112">
        <v>528</v>
      </c>
      <c r="L43" s="108">
        <v>0.15616681455190773</v>
      </c>
      <c r="M43" s="108">
        <v>0.9759704251386322</v>
      </c>
      <c r="N43" s="112">
        <v>226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5" customHeight="1">
      <c r="A44" s="113" t="s">
        <v>156</v>
      </c>
      <c r="B44" s="109">
        <f>SUM(B45:B46)</f>
        <v>162977723</v>
      </c>
      <c r="C44" s="109">
        <f>SUM(C45:C46)</f>
        <v>50553573</v>
      </c>
      <c r="D44" s="109">
        <f>SUM(D45:D46)</f>
        <v>57501298</v>
      </c>
      <c r="E44" s="39">
        <f t="shared" si="0"/>
        <v>0.35281691842019414</v>
      </c>
      <c r="F44" s="39">
        <f t="shared" si="1"/>
        <v>1.1374329169572248</v>
      </c>
      <c r="G44" s="109">
        <f>SUM(G45:G46)</f>
        <v>19686194</v>
      </c>
      <c r="H44" s="113" t="s">
        <v>156</v>
      </c>
      <c r="I44" s="110">
        <v>162977</v>
      </c>
      <c r="J44" s="110">
        <v>50554</v>
      </c>
      <c r="K44" s="110">
        <v>57501</v>
      </c>
      <c r="L44" s="111">
        <v>0.35281665511084387</v>
      </c>
      <c r="M44" s="111">
        <v>1.1374174150413419</v>
      </c>
      <c r="N44" s="110">
        <v>19686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12.75">
      <c r="A45" s="75" t="s">
        <v>143</v>
      </c>
      <c r="B45" s="112">
        <v>158099256</v>
      </c>
      <c r="C45" s="112">
        <v>49552600</v>
      </c>
      <c r="D45" s="112">
        <f>57501280-717025+18</f>
        <v>56784273</v>
      </c>
      <c r="E45" s="40">
        <f t="shared" si="0"/>
        <v>0.35916850234892944</v>
      </c>
      <c r="F45" s="40">
        <f t="shared" si="1"/>
        <v>1.1459393250808232</v>
      </c>
      <c r="G45" s="112">
        <f>D45-'[3]Marts'!D45</f>
        <v>19188491</v>
      </c>
      <c r="H45" s="75" t="s">
        <v>143</v>
      </c>
      <c r="I45" s="112">
        <v>158099</v>
      </c>
      <c r="J45" s="112">
        <v>49553</v>
      </c>
      <c r="K45" s="112">
        <v>56784</v>
      </c>
      <c r="L45" s="108">
        <v>0.3591673571622844</v>
      </c>
      <c r="M45" s="108">
        <v>1.1459245656166126</v>
      </c>
      <c r="N45" s="112">
        <v>19188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2.75">
      <c r="A46" s="75" t="s">
        <v>144</v>
      </c>
      <c r="B46" s="112">
        <v>4878467</v>
      </c>
      <c r="C46" s="112">
        <v>1000973</v>
      </c>
      <c r="D46" s="112">
        <f>141941+142+76057+498867+18</f>
        <v>717025</v>
      </c>
      <c r="E46" s="40">
        <f t="shared" si="0"/>
        <v>0.14697752388198998</v>
      </c>
      <c r="F46" s="40">
        <f t="shared" si="1"/>
        <v>0.7163280128435032</v>
      </c>
      <c r="G46" s="112">
        <f>D46-'[3]Marts'!D46</f>
        <v>497703</v>
      </c>
      <c r="H46" s="75" t="s">
        <v>144</v>
      </c>
      <c r="I46" s="112">
        <v>4878</v>
      </c>
      <c r="J46" s="112">
        <v>1001</v>
      </c>
      <c r="K46" s="112">
        <v>717</v>
      </c>
      <c r="L46" s="108">
        <v>0.14698646986469865</v>
      </c>
      <c r="M46" s="108">
        <v>0.7162837162837162</v>
      </c>
      <c r="N46" s="112">
        <v>498</v>
      </c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5.75" customHeight="1">
      <c r="A47" s="113" t="s">
        <v>157</v>
      </c>
      <c r="B47" s="109">
        <f>SUM(B48:B49)</f>
        <v>13496058</v>
      </c>
      <c r="C47" s="109">
        <f>SUM(C48:C49)</f>
        <v>4094897</v>
      </c>
      <c r="D47" s="109">
        <f>SUM(D48:D49)</f>
        <v>3712642</v>
      </c>
      <c r="E47" s="39">
        <f t="shared" si="0"/>
        <v>0.27509084504527176</v>
      </c>
      <c r="F47" s="39">
        <f t="shared" si="1"/>
        <v>0.9066508876780051</v>
      </c>
      <c r="G47" s="109">
        <f>SUM(G48:G49)</f>
        <v>1110252</v>
      </c>
      <c r="H47" s="113" t="s">
        <v>157</v>
      </c>
      <c r="I47" s="110">
        <v>13496</v>
      </c>
      <c r="J47" s="110">
        <v>4095</v>
      </c>
      <c r="K47" s="110">
        <v>3713</v>
      </c>
      <c r="L47" s="111">
        <v>0.2751185536455246</v>
      </c>
      <c r="M47" s="111">
        <v>0.9067155067155067</v>
      </c>
      <c r="N47" s="110">
        <v>1111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12.75">
      <c r="A48" s="75" t="s">
        <v>143</v>
      </c>
      <c r="B48" s="112">
        <v>12344655</v>
      </c>
      <c r="C48" s="112">
        <v>3968793</v>
      </c>
      <c r="D48" s="112">
        <f>3699588-76781+13054</f>
        <v>3635861</v>
      </c>
      <c r="E48" s="40">
        <f t="shared" si="0"/>
        <v>0.2945291707220655</v>
      </c>
      <c r="F48" s="40">
        <f t="shared" si="1"/>
        <v>0.9161125309382475</v>
      </c>
      <c r="G48" s="112">
        <f>D48-'[3]Marts'!D48</f>
        <v>1036797</v>
      </c>
      <c r="H48" s="75" t="s">
        <v>143</v>
      </c>
      <c r="I48" s="112">
        <v>12345</v>
      </c>
      <c r="J48" s="112">
        <v>3969</v>
      </c>
      <c r="K48" s="112">
        <v>3636</v>
      </c>
      <c r="L48" s="108">
        <v>0.2945321992709599</v>
      </c>
      <c r="M48" s="108">
        <v>0.9160997732426304</v>
      </c>
      <c r="N48" s="112">
        <v>1037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16.5" customHeight="1">
      <c r="A49" s="75" t="s">
        <v>144</v>
      </c>
      <c r="B49" s="112">
        <v>1151403</v>
      </c>
      <c r="C49" s="112">
        <v>126104</v>
      </c>
      <c r="D49" s="112">
        <f>35572+10000+2923+28286</f>
        <v>76781</v>
      </c>
      <c r="E49" s="40">
        <f t="shared" si="0"/>
        <v>0.06668473158398927</v>
      </c>
      <c r="F49" s="40">
        <f t="shared" si="1"/>
        <v>0.6088704561314471</v>
      </c>
      <c r="G49" s="112">
        <f>D49-'[3]Marts'!D49</f>
        <v>73455</v>
      </c>
      <c r="H49" s="75" t="s">
        <v>144</v>
      </c>
      <c r="I49" s="112">
        <v>1151</v>
      </c>
      <c r="J49" s="112">
        <v>126</v>
      </c>
      <c r="K49" s="112">
        <v>77</v>
      </c>
      <c r="L49" s="108">
        <v>0.06689834926151172</v>
      </c>
      <c r="M49" s="108">
        <v>0.6111111111111112</v>
      </c>
      <c r="N49" s="112">
        <v>74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69.75" customHeight="1" hidden="1">
      <c r="A50" s="7" t="s">
        <v>5</v>
      </c>
      <c r="B50" s="7" t="s">
        <v>6</v>
      </c>
      <c r="C50" s="7" t="s">
        <v>138</v>
      </c>
      <c r="D50" s="7" t="s">
        <v>7</v>
      </c>
      <c r="E50" s="7" t="s">
        <v>139</v>
      </c>
      <c r="F50" s="7" t="s">
        <v>140</v>
      </c>
      <c r="G50" s="7" t="s">
        <v>100</v>
      </c>
      <c r="H50" s="7" t="s">
        <v>5</v>
      </c>
      <c r="I50" s="7" t="s">
        <v>6</v>
      </c>
      <c r="J50" s="7" t="s">
        <v>138</v>
      </c>
      <c r="K50" s="7" t="s">
        <v>7</v>
      </c>
      <c r="L50" s="7" t="s">
        <v>139</v>
      </c>
      <c r="M50" s="7" t="s">
        <v>140</v>
      </c>
      <c r="N50" s="7" t="s">
        <v>100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12.75" hidden="1">
      <c r="A51" s="7">
        <v>1</v>
      </c>
      <c r="B51" s="7">
        <v>2</v>
      </c>
      <c r="C51" s="7">
        <v>3</v>
      </c>
      <c r="D51" s="7">
        <v>4</v>
      </c>
      <c r="E51" s="7">
        <v>5</v>
      </c>
      <c r="F51" s="7">
        <v>6</v>
      </c>
      <c r="G51" s="101">
        <v>7</v>
      </c>
      <c r="H51" s="7">
        <v>1</v>
      </c>
      <c r="I51" s="7">
        <v>2</v>
      </c>
      <c r="J51" s="7">
        <v>3</v>
      </c>
      <c r="K51" s="7">
        <v>4</v>
      </c>
      <c r="L51" s="7">
        <v>5</v>
      </c>
      <c r="M51" s="7">
        <v>6</v>
      </c>
      <c r="N51" s="101">
        <v>7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26.25" customHeight="1">
      <c r="A52" s="28" t="s">
        <v>158</v>
      </c>
      <c r="B52" s="109">
        <f>SUM(B53:B54)</f>
        <v>8329939</v>
      </c>
      <c r="C52" s="109">
        <f>SUM(C53:C54)</f>
        <v>2718829</v>
      </c>
      <c r="D52" s="109">
        <f>SUM(D53:D54)</f>
        <v>2265899</v>
      </c>
      <c r="E52" s="39">
        <f t="shared" si="0"/>
        <v>0.27201867864818696</v>
      </c>
      <c r="F52" s="39">
        <f t="shared" si="1"/>
        <v>0.8334098981583615</v>
      </c>
      <c r="G52" s="109">
        <f>SUM(G53:G54)</f>
        <v>956458</v>
      </c>
      <c r="H52" s="28" t="s">
        <v>158</v>
      </c>
      <c r="I52" s="110">
        <v>8330</v>
      </c>
      <c r="J52" s="110">
        <v>2718</v>
      </c>
      <c r="K52" s="110">
        <v>2266</v>
      </c>
      <c r="L52" s="111">
        <v>0.27202881152460984</v>
      </c>
      <c r="M52" s="111">
        <v>0.833701250919794</v>
      </c>
      <c r="N52" s="110">
        <v>957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12.75">
      <c r="A53" s="75" t="s">
        <v>143</v>
      </c>
      <c r="B53" s="112">
        <v>7032019</v>
      </c>
      <c r="C53" s="112">
        <v>2302531</v>
      </c>
      <c r="D53" s="112">
        <f>2265899-373083</f>
        <v>1892816</v>
      </c>
      <c r="E53" s="39">
        <f t="shared" si="0"/>
        <v>0.2691710588381516</v>
      </c>
      <c r="F53" s="39">
        <f t="shared" si="1"/>
        <v>0.8220588561022631</v>
      </c>
      <c r="G53" s="112">
        <f>D53-'[3]Marts'!D53</f>
        <v>583375</v>
      </c>
      <c r="H53" s="75" t="s">
        <v>143</v>
      </c>
      <c r="I53" s="112">
        <v>7032</v>
      </c>
      <c r="J53" s="112">
        <v>2302</v>
      </c>
      <c r="K53" s="112">
        <v>1893</v>
      </c>
      <c r="L53" s="108">
        <v>0.26919795221843</v>
      </c>
      <c r="M53" s="108">
        <v>0.8223284100781929</v>
      </c>
      <c r="N53" s="112">
        <v>584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12.75" customHeight="1">
      <c r="A54" s="114" t="s">
        <v>144</v>
      </c>
      <c r="B54" s="112">
        <v>1297920</v>
      </c>
      <c r="C54" s="112">
        <v>416298</v>
      </c>
      <c r="D54" s="112">
        <f>43083+330000</f>
        <v>373083</v>
      </c>
      <c r="E54" s="39">
        <f t="shared" si="0"/>
        <v>0.2874468380177515</v>
      </c>
      <c r="F54" s="39">
        <f t="shared" si="1"/>
        <v>0.8961921508150411</v>
      </c>
      <c r="G54" s="112">
        <f>D54-'[3]Marts'!D54</f>
        <v>373083</v>
      </c>
      <c r="H54" s="114" t="s">
        <v>144</v>
      </c>
      <c r="I54" s="112">
        <v>1298</v>
      </c>
      <c r="J54" s="112">
        <v>416</v>
      </c>
      <c r="K54" s="112">
        <v>373</v>
      </c>
      <c r="L54" s="108">
        <v>0.28736517719568566</v>
      </c>
      <c r="M54" s="108">
        <v>0.8966346153846154</v>
      </c>
      <c r="N54" s="112">
        <v>373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13.5" customHeight="1">
      <c r="A55" s="113" t="s">
        <v>159</v>
      </c>
      <c r="B55" s="109">
        <f>SUM(B56:B57)</f>
        <v>17001479</v>
      </c>
      <c r="C55" s="109">
        <f>SUM(C56:C57)</f>
        <v>5091955</v>
      </c>
      <c r="D55" s="109">
        <f>SUM(D56:D57)</f>
        <v>4606824</v>
      </c>
      <c r="E55" s="39">
        <f t="shared" si="0"/>
        <v>0.2709660730104716</v>
      </c>
      <c r="F55" s="39">
        <f t="shared" si="1"/>
        <v>0.9047259844205222</v>
      </c>
      <c r="G55" s="109">
        <f>SUM(G56:G57)</f>
        <v>1433781</v>
      </c>
      <c r="H55" s="113" t="s">
        <v>159</v>
      </c>
      <c r="I55" s="110">
        <v>17002</v>
      </c>
      <c r="J55" s="110">
        <v>5092</v>
      </c>
      <c r="K55" s="110">
        <v>4607</v>
      </c>
      <c r="L55" s="111">
        <v>0.27096812139748266</v>
      </c>
      <c r="M55" s="111">
        <v>0.904752553024352</v>
      </c>
      <c r="N55" s="110">
        <v>1434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12.75">
      <c r="A56" s="75" t="s">
        <v>143</v>
      </c>
      <c r="B56" s="112">
        <v>14652729</v>
      </c>
      <c r="C56" s="112">
        <v>4564529</v>
      </c>
      <c r="D56" s="112">
        <f>4606824-447878</f>
        <v>4158946</v>
      </c>
      <c r="E56" s="40">
        <f t="shared" si="0"/>
        <v>0.28383422637516875</v>
      </c>
      <c r="F56" s="40">
        <f t="shared" si="1"/>
        <v>0.9111446109773867</v>
      </c>
      <c r="G56" s="112">
        <f>D56-'[3]Marts'!D56</f>
        <v>1209823</v>
      </c>
      <c r="H56" s="75" t="s">
        <v>143</v>
      </c>
      <c r="I56" s="112">
        <v>14653</v>
      </c>
      <c r="J56" s="112">
        <v>4564</v>
      </c>
      <c r="K56" s="112">
        <v>4159</v>
      </c>
      <c r="L56" s="108">
        <v>0.28383266225346343</v>
      </c>
      <c r="M56" s="108">
        <v>0.911262050832603</v>
      </c>
      <c r="N56" s="112">
        <v>1210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12.75">
      <c r="A57" s="75" t="s">
        <v>144</v>
      </c>
      <c r="B57" s="112">
        <v>2348750</v>
      </c>
      <c r="C57" s="112">
        <v>527426</v>
      </c>
      <c r="D57" s="112">
        <f>5241+10954+60811+17501+353371</f>
        <v>447878</v>
      </c>
      <c r="E57" s="40">
        <f t="shared" si="0"/>
        <v>0.19068781266631188</v>
      </c>
      <c r="F57" s="40">
        <f t="shared" si="1"/>
        <v>0.8491769461497917</v>
      </c>
      <c r="G57" s="112">
        <f>D57-'[3]Marts'!D57</f>
        <v>223958</v>
      </c>
      <c r="H57" s="75" t="s">
        <v>144</v>
      </c>
      <c r="I57" s="112">
        <v>2349</v>
      </c>
      <c r="J57" s="112">
        <v>528</v>
      </c>
      <c r="K57" s="112">
        <v>448</v>
      </c>
      <c r="L57" s="108">
        <v>0.19071945508727117</v>
      </c>
      <c r="M57" s="108">
        <v>0.8484848484848485</v>
      </c>
      <c r="N57" s="112">
        <v>224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12.75">
      <c r="A58" s="113" t="s">
        <v>160</v>
      </c>
      <c r="B58" s="109">
        <f>SUM(B59:B60)</f>
        <v>13962751</v>
      </c>
      <c r="C58" s="109">
        <f>SUM(C59:C60)</f>
        <v>4871075</v>
      </c>
      <c r="D58" s="109">
        <f>SUM(D59:D60)</f>
        <v>3886192</v>
      </c>
      <c r="E58" s="39">
        <f t="shared" si="0"/>
        <v>0.2783256680578204</v>
      </c>
      <c r="F58" s="39">
        <f t="shared" si="1"/>
        <v>0.7978099290197749</v>
      </c>
      <c r="G58" s="109">
        <f>SUM(G59:G60)</f>
        <v>1237285</v>
      </c>
      <c r="H58" s="113" t="s">
        <v>160</v>
      </c>
      <c r="I58" s="110">
        <v>13963</v>
      </c>
      <c r="J58" s="110">
        <v>4871</v>
      </c>
      <c r="K58" s="110">
        <v>3886</v>
      </c>
      <c r="L58" s="111">
        <v>0.27830695409295997</v>
      </c>
      <c r="M58" s="111">
        <v>0.7977827961404229</v>
      </c>
      <c r="N58" s="110">
        <v>1237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12.75">
      <c r="A59" s="75" t="s">
        <v>143</v>
      </c>
      <c r="B59" s="112">
        <v>12200953</v>
      </c>
      <c r="C59" s="112">
        <v>4257596</v>
      </c>
      <c r="D59" s="112">
        <f>3886192-385176</f>
        <v>3501016</v>
      </c>
      <c r="E59" s="40">
        <f t="shared" si="0"/>
        <v>0.2869461098653523</v>
      </c>
      <c r="F59" s="40">
        <f t="shared" si="1"/>
        <v>0.8222987808143375</v>
      </c>
      <c r="G59" s="112">
        <f>D59-'[3]Marts'!D59</f>
        <v>934737</v>
      </c>
      <c r="H59" s="75" t="s">
        <v>143</v>
      </c>
      <c r="I59" s="112">
        <v>12201</v>
      </c>
      <c r="J59" s="112">
        <v>4258</v>
      </c>
      <c r="K59" s="112">
        <v>3501</v>
      </c>
      <c r="L59" s="108">
        <v>0.2869436931399066</v>
      </c>
      <c r="M59" s="108">
        <v>0.8222170032879286</v>
      </c>
      <c r="N59" s="112">
        <v>935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12.75">
      <c r="A60" s="75" t="s">
        <v>144</v>
      </c>
      <c r="B60" s="112">
        <v>1761798</v>
      </c>
      <c r="C60" s="112">
        <v>613479</v>
      </c>
      <c r="D60" s="112">
        <f>213066+12110+160000</f>
        <v>385176</v>
      </c>
      <c r="E60" s="40">
        <f t="shared" si="0"/>
        <v>0.21862665299881145</v>
      </c>
      <c r="F60" s="40">
        <f t="shared" si="1"/>
        <v>0.6278552322084374</v>
      </c>
      <c r="G60" s="112">
        <f>D60-'[3]Marts'!D60</f>
        <v>302548</v>
      </c>
      <c r="H60" s="75" t="s">
        <v>144</v>
      </c>
      <c r="I60" s="112">
        <v>1762</v>
      </c>
      <c r="J60" s="112">
        <v>613</v>
      </c>
      <c r="K60" s="112">
        <v>385</v>
      </c>
      <c r="L60" s="108">
        <v>0.2185017026106697</v>
      </c>
      <c r="M60" s="108">
        <v>0.6280587275693311</v>
      </c>
      <c r="N60" s="112">
        <v>302</v>
      </c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12.75">
      <c r="A61" s="113" t="s">
        <v>161</v>
      </c>
      <c r="B61" s="109">
        <f>SUM(B62:B63)</f>
        <v>1265070</v>
      </c>
      <c r="C61" s="109">
        <f>SUM(C62:C63)</f>
        <v>420619</v>
      </c>
      <c r="D61" s="109">
        <f>SUM(D62:D63)</f>
        <v>409120</v>
      </c>
      <c r="E61" s="39">
        <f t="shared" si="0"/>
        <v>0.32339712426980327</v>
      </c>
      <c r="F61" s="39">
        <f t="shared" si="1"/>
        <v>0.9726617199888735</v>
      </c>
      <c r="G61" s="109">
        <f>SUM(G62:G63)</f>
        <v>150737</v>
      </c>
      <c r="H61" s="113" t="s">
        <v>161</v>
      </c>
      <c r="I61" s="110">
        <v>1265</v>
      </c>
      <c r="J61" s="110">
        <v>420</v>
      </c>
      <c r="K61" s="110">
        <v>409</v>
      </c>
      <c r="L61" s="111">
        <v>0.3233201581027668</v>
      </c>
      <c r="M61" s="111">
        <v>0.9738095238095238</v>
      </c>
      <c r="N61" s="110">
        <v>150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12.75">
      <c r="A62" s="75" t="s">
        <v>143</v>
      </c>
      <c r="B62" s="112">
        <v>1222912</v>
      </c>
      <c r="C62" s="112">
        <v>387561</v>
      </c>
      <c r="D62" s="112">
        <f>409120-28666</f>
        <v>380454</v>
      </c>
      <c r="E62" s="40">
        <f t="shared" si="0"/>
        <v>0.3111049691228805</v>
      </c>
      <c r="F62" s="40">
        <f t="shared" si="1"/>
        <v>0.981662241556813</v>
      </c>
      <c r="G62" s="112">
        <f>D62-'[3]Marts'!D62</f>
        <v>148701</v>
      </c>
      <c r="H62" s="75" t="s">
        <v>143</v>
      </c>
      <c r="I62" s="112">
        <v>1223</v>
      </c>
      <c r="J62" s="112">
        <v>387</v>
      </c>
      <c r="K62" s="112">
        <v>380</v>
      </c>
      <c r="L62" s="108">
        <v>0.3107113654946852</v>
      </c>
      <c r="M62" s="108">
        <v>0.9819121447028424</v>
      </c>
      <c r="N62" s="112">
        <v>148</v>
      </c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12.75">
      <c r="A63" s="75" t="s">
        <v>144</v>
      </c>
      <c r="B63" s="112">
        <v>42158</v>
      </c>
      <c r="C63" s="112">
        <v>33058</v>
      </c>
      <c r="D63" s="112">
        <v>28666</v>
      </c>
      <c r="E63" s="40">
        <f t="shared" si="0"/>
        <v>0.6799658427819156</v>
      </c>
      <c r="F63" s="40">
        <f t="shared" si="1"/>
        <v>0.8671425978583096</v>
      </c>
      <c r="G63" s="112">
        <f>D63-'[3]Marts'!D63</f>
        <v>2036</v>
      </c>
      <c r="H63" s="75" t="s">
        <v>144</v>
      </c>
      <c r="I63" s="112">
        <v>42</v>
      </c>
      <c r="J63" s="112">
        <v>33</v>
      </c>
      <c r="K63" s="112">
        <v>29</v>
      </c>
      <c r="L63" s="108">
        <v>0.6904761904761905</v>
      </c>
      <c r="M63" s="108">
        <v>0.8787878787878788</v>
      </c>
      <c r="N63" s="112">
        <v>2</v>
      </c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12.75">
      <c r="A64" s="113" t="s">
        <v>162</v>
      </c>
      <c r="B64" s="109">
        <f>SUM(B65:B66)</f>
        <v>749995</v>
      </c>
      <c r="C64" s="109">
        <f>SUM(C65:C66)</f>
        <v>250299</v>
      </c>
      <c r="D64" s="109">
        <f>SUM(D65:D66)</f>
        <v>249173</v>
      </c>
      <c r="E64" s="39">
        <f t="shared" si="0"/>
        <v>0.33223288155254366</v>
      </c>
      <c r="F64" s="39">
        <f t="shared" si="1"/>
        <v>0.9955013803491025</v>
      </c>
      <c r="G64" s="109">
        <f>SUM(G65:G66)</f>
        <v>61892</v>
      </c>
      <c r="H64" s="113" t="s">
        <v>162</v>
      </c>
      <c r="I64" s="110">
        <v>750</v>
      </c>
      <c r="J64" s="110">
        <v>250</v>
      </c>
      <c r="K64" s="110">
        <v>249</v>
      </c>
      <c r="L64" s="111">
        <v>0.332</v>
      </c>
      <c r="M64" s="111">
        <v>0.996</v>
      </c>
      <c r="N64" s="110">
        <v>62</v>
      </c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12.75">
      <c r="A65" s="75" t="s">
        <v>143</v>
      </c>
      <c r="B65" s="112">
        <v>749995</v>
      </c>
      <c r="C65" s="112">
        <v>250299</v>
      </c>
      <c r="D65" s="112">
        <v>249173</v>
      </c>
      <c r="E65" s="40">
        <f t="shared" si="0"/>
        <v>0.33223288155254366</v>
      </c>
      <c r="F65" s="40">
        <f t="shared" si="1"/>
        <v>0.9955013803491025</v>
      </c>
      <c r="G65" s="112">
        <f>D65-'[3]Marts'!D65</f>
        <v>61892</v>
      </c>
      <c r="H65" s="75" t="s">
        <v>143</v>
      </c>
      <c r="I65" s="112">
        <v>750</v>
      </c>
      <c r="J65" s="112">
        <v>250</v>
      </c>
      <c r="K65" s="112">
        <v>249</v>
      </c>
      <c r="L65" s="108">
        <v>0.332</v>
      </c>
      <c r="M65" s="108">
        <v>0.996</v>
      </c>
      <c r="N65" s="112">
        <v>62</v>
      </c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12.75" hidden="1">
      <c r="A66" s="75"/>
      <c r="B66" s="112"/>
      <c r="C66" s="112"/>
      <c r="D66" s="112"/>
      <c r="E66" s="40"/>
      <c r="F66" s="40" t="str">
        <f t="shared" si="1"/>
        <v> </v>
      </c>
      <c r="G66" s="112"/>
      <c r="H66" s="75"/>
      <c r="I66" s="112"/>
      <c r="J66" s="112"/>
      <c r="K66" s="112"/>
      <c r="L66" s="108" t="s">
        <v>92</v>
      </c>
      <c r="M66" s="108" t="s">
        <v>92</v>
      </c>
      <c r="N66" s="112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12.75">
      <c r="A67" s="113" t="s">
        <v>163</v>
      </c>
      <c r="B67" s="109">
        <f>SUM(B68:B69)</f>
        <v>372243</v>
      </c>
      <c r="C67" s="109">
        <f>SUM(C68:C69)</f>
        <v>96273</v>
      </c>
      <c r="D67" s="109">
        <f>SUM(D68:D69)</f>
        <v>89845</v>
      </c>
      <c r="E67" s="39">
        <f t="shared" si="0"/>
        <v>0.2413611538699183</v>
      </c>
      <c r="F67" s="39">
        <f t="shared" si="1"/>
        <v>0.933231539476281</v>
      </c>
      <c r="G67" s="109">
        <f>SUM(G68:G69)</f>
        <v>25047</v>
      </c>
      <c r="H67" s="113" t="s">
        <v>163</v>
      </c>
      <c r="I67" s="110">
        <v>373</v>
      </c>
      <c r="J67" s="110">
        <v>96</v>
      </c>
      <c r="K67" s="110">
        <v>90</v>
      </c>
      <c r="L67" s="111">
        <v>0.24128686327077747</v>
      </c>
      <c r="M67" s="111">
        <v>0.9375</v>
      </c>
      <c r="N67" s="110">
        <v>25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12.75">
      <c r="A68" s="75" t="s">
        <v>143</v>
      </c>
      <c r="B68" s="112">
        <v>326743</v>
      </c>
      <c r="C68" s="112">
        <v>96273</v>
      </c>
      <c r="D68" s="112">
        <v>89845</v>
      </c>
      <c r="E68" s="40">
        <f t="shared" si="0"/>
        <v>0.2749714607504981</v>
      </c>
      <c r="F68" s="40">
        <f t="shared" si="1"/>
        <v>0.933231539476281</v>
      </c>
      <c r="G68" s="112">
        <f>D68-'[3]Marts'!D68</f>
        <v>25047</v>
      </c>
      <c r="H68" s="75" t="s">
        <v>143</v>
      </c>
      <c r="I68" s="112">
        <v>327</v>
      </c>
      <c r="J68" s="112">
        <v>96</v>
      </c>
      <c r="K68" s="112">
        <v>90</v>
      </c>
      <c r="L68" s="108">
        <v>0.27522935779816515</v>
      </c>
      <c r="M68" s="108">
        <v>0.9375</v>
      </c>
      <c r="N68" s="112">
        <v>25</v>
      </c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12.75">
      <c r="A69" s="75" t="s">
        <v>144</v>
      </c>
      <c r="B69" s="112">
        <v>45500</v>
      </c>
      <c r="C69" s="112"/>
      <c r="D69" s="112"/>
      <c r="E69" s="40">
        <f t="shared" si="0"/>
        <v>0</v>
      </c>
      <c r="F69" s="40" t="str">
        <f t="shared" si="1"/>
        <v> </v>
      </c>
      <c r="G69" s="112">
        <f>D69-'[3]Marts'!D69</f>
        <v>0</v>
      </c>
      <c r="H69" s="75" t="s">
        <v>144</v>
      </c>
      <c r="I69" s="112">
        <v>46</v>
      </c>
      <c r="J69" s="112">
        <v>0</v>
      </c>
      <c r="K69" s="112">
        <v>0</v>
      </c>
      <c r="L69" s="108">
        <v>0</v>
      </c>
      <c r="M69" s="108" t="s">
        <v>92</v>
      </c>
      <c r="N69" s="112">
        <v>0</v>
      </c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2.75">
      <c r="A70" s="113" t="s">
        <v>164</v>
      </c>
      <c r="B70" s="109">
        <f>SUM(B71:B72)</f>
        <v>6627804</v>
      </c>
      <c r="C70" s="109">
        <f>SUM(C71:C72)</f>
        <v>2014306</v>
      </c>
      <c r="D70" s="109">
        <f>SUM(D71:D72)</f>
        <v>2000092</v>
      </c>
      <c r="E70" s="39">
        <f t="shared" si="0"/>
        <v>0.30177295526542425</v>
      </c>
      <c r="F70" s="39">
        <f t="shared" si="1"/>
        <v>0.9929434753210287</v>
      </c>
      <c r="G70" s="109">
        <f>SUM(G71:G72)</f>
        <v>539494</v>
      </c>
      <c r="H70" s="113" t="s">
        <v>164</v>
      </c>
      <c r="I70" s="110">
        <v>6628</v>
      </c>
      <c r="J70" s="110">
        <v>2014</v>
      </c>
      <c r="K70" s="110">
        <v>2000</v>
      </c>
      <c r="L70" s="111">
        <v>0.30175015087507545</v>
      </c>
      <c r="M70" s="111">
        <v>0.9930486593843099</v>
      </c>
      <c r="N70" s="110">
        <v>539</v>
      </c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ht="12.75">
      <c r="A71" s="75" t="s">
        <v>143</v>
      </c>
      <c r="B71" s="112">
        <v>6094502</v>
      </c>
      <c r="C71" s="112">
        <v>1923306</v>
      </c>
      <c r="D71" s="112">
        <f>2000092-85820</f>
        <v>1914272</v>
      </c>
      <c r="E71" s="40">
        <f t="shared" si="0"/>
        <v>0.3140981822632924</v>
      </c>
      <c r="F71" s="40">
        <f t="shared" si="1"/>
        <v>0.9953028795209915</v>
      </c>
      <c r="G71" s="112">
        <f>D71-'[3]Marts'!D71</f>
        <v>453674</v>
      </c>
      <c r="H71" s="75" t="s">
        <v>143</v>
      </c>
      <c r="I71" s="112">
        <v>6095</v>
      </c>
      <c r="J71" s="112">
        <v>1923</v>
      </c>
      <c r="K71" s="112">
        <v>1914</v>
      </c>
      <c r="L71" s="108">
        <v>0.3140278917145201</v>
      </c>
      <c r="M71" s="108">
        <v>0.9953198127925117</v>
      </c>
      <c r="N71" s="112">
        <v>453</v>
      </c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ht="12.75">
      <c r="A72" s="75" t="s">
        <v>144</v>
      </c>
      <c r="B72" s="112">
        <v>533302</v>
      </c>
      <c r="C72" s="112">
        <v>91000</v>
      </c>
      <c r="D72" s="112">
        <f>6681+79139</f>
        <v>85820</v>
      </c>
      <c r="E72" s="40">
        <f t="shared" si="0"/>
        <v>0.16092195416480717</v>
      </c>
      <c r="F72" s="40">
        <f t="shared" si="1"/>
        <v>0.943076923076923</v>
      </c>
      <c r="G72" s="112">
        <f>D72-'[3]Marts'!D72</f>
        <v>85820</v>
      </c>
      <c r="H72" s="75" t="s">
        <v>144</v>
      </c>
      <c r="I72" s="112">
        <v>533</v>
      </c>
      <c r="J72" s="112">
        <v>91</v>
      </c>
      <c r="K72" s="112">
        <v>86</v>
      </c>
      <c r="L72" s="108">
        <v>0.16135084427767354</v>
      </c>
      <c r="M72" s="108">
        <v>0.945054945054945</v>
      </c>
      <c r="N72" s="112">
        <v>86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ht="12.75" customHeight="1">
      <c r="A73" s="115" t="s">
        <v>165</v>
      </c>
      <c r="B73" s="109">
        <f>SUM(B74:B75)</f>
        <v>77805</v>
      </c>
      <c r="C73" s="109">
        <f>SUM(C74:C75)</f>
        <v>25400</v>
      </c>
      <c r="D73" s="109">
        <f>SUM(D74:D75)</f>
        <v>23205</v>
      </c>
      <c r="E73" s="39">
        <f aca="true" t="shared" si="2" ref="E73:E92">IF(ISERROR(D73/B73)," ",(D73/B73))</f>
        <v>0.2982456140350877</v>
      </c>
      <c r="F73" s="39">
        <f aca="true" t="shared" si="3" ref="F73:F85">IF(ISERROR(D73/C73)," ",(D73/C73))</f>
        <v>0.9135826771653544</v>
      </c>
      <c r="G73" s="109">
        <f>SUM(G74:G75)</f>
        <v>4514</v>
      </c>
      <c r="H73" s="115" t="s">
        <v>165</v>
      </c>
      <c r="I73" s="110">
        <v>78</v>
      </c>
      <c r="J73" s="110">
        <v>25</v>
      </c>
      <c r="K73" s="110">
        <v>23</v>
      </c>
      <c r="L73" s="111">
        <v>0.2948717948717949</v>
      </c>
      <c r="M73" s="111">
        <v>0.92</v>
      </c>
      <c r="N73" s="110">
        <v>4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ht="12.75">
      <c r="A74" s="75" t="s">
        <v>143</v>
      </c>
      <c r="B74" s="112">
        <v>75305</v>
      </c>
      <c r="C74" s="112">
        <v>25100</v>
      </c>
      <c r="D74" s="112">
        <v>23205</v>
      </c>
      <c r="E74" s="40">
        <f t="shared" si="2"/>
        <v>0.30814686939778235</v>
      </c>
      <c r="F74" s="40">
        <f t="shared" si="3"/>
        <v>0.9245019920318726</v>
      </c>
      <c r="G74" s="112">
        <f>D74-'[3]Marts'!D74</f>
        <v>4514</v>
      </c>
      <c r="H74" s="75" t="s">
        <v>143</v>
      </c>
      <c r="I74" s="112">
        <v>75</v>
      </c>
      <c r="J74" s="112">
        <v>25</v>
      </c>
      <c r="K74" s="112">
        <v>23</v>
      </c>
      <c r="L74" s="108">
        <v>0.30666666666666664</v>
      </c>
      <c r="M74" s="108">
        <v>0.92</v>
      </c>
      <c r="N74" s="112">
        <v>4</v>
      </c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ht="12.75">
      <c r="A75" s="75" t="s">
        <v>144</v>
      </c>
      <c r="B75" s="112">
        <v>2500</v>
      </c>
      <c r="C75" s="112">
        <v>300</v>
      </c>
      <c r="D75" s="112"/>
      <c r="E75" s="40">
        <f t="shared" si="2"/>
        <v>0</v>
      </c>
      <c r="F75" s="40">
        <f t="shared" si="3"/>
        <v>0</v>
      </c>
      <c r="G75" s="112">
        <f>D75-'[3]Marts'!D75</f>
        <v>0</v>
      </c>
      <c r="H75" s="75" t="s">
        <v>144</v>
      </c>
      <c r="I75" s="112">
        <v>3</v>
      </c>
      <c r="J75" s="112">
        <v>0</v>
      </c>
      <c r="K75" s="112">
        <v>0</v>
      </c>
      <c r="L75" s="108">
        <v>0</v>
      </c>
      <c r="M75" s="108" t="s">
        <v>92</v>
      </c>
      <c r="N75" s="112">
        <v>0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13.5" customHeight="1">
      <c r="A76" s="28" t="s">
        <v>166</v>
      </c>
      <c r="B76" s="109">
        <f>SUM(B77)</f>
        <v>52453</v>
      </c>
      <c r="C76" s="109">
        <f>SUM(C77)</f>
        <v>16800</v>
      </c>
      <c r="D76" s="109">
        <f>SUM(D77)</f>
        <v>14667</v>
      </c>
      <c r="E76" s="39">
        <f t="shared" si="2"/>
        <v>0.2796217566202124</v>
      </c>
      <c r="F76" s="39">
        <f t="shared" si="3"/>
        <v>0.8730357142857142</v>
      </c>
      <c r="G76" s="109">
        <f>SUM(G77)</f>
        <v>3200</v>
      </c>
      <c r="H76" s="28" t="s">
        <v>166</v>
      </c>
      <c r="I76" s="110">
        <v>52</v>
      </c>
      <c r="J76" s="110">
        <v>17</v>
      </c>
      <c r="K76" s="110">
        <v>15</v>
      </c>
      <c r="L76" s="111">
        <v>0.28846153846153844</v>
      </c>
      <c r="M76" s="111">
        <v>0.8823529411764706</v>
      </c>
      <c r="N76" s="110">
        <v>4</v>
      </c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12.75">
      <c r="A77" s="75" t="s">
        <v>143</v>
      </c>
      <c r="B77" s="112">
        <v>52453</v>
      </c>
      <c r="C77" s="112">
        <v>16800</v>
      </c>
      <c r="D77" s="112">
        <v>14667</v>
      </c>
      <c r="E77" s="40">
        <f t="shared" si="2"/>
        <v>0.2796217566202124</v>
      </c>
      <c r="F77" s="40">
        <f t="shared" si="3"/>
        <v>0.8730357142857142</v>
      </c>
      <c r="G77" s="112">
        <f>D77-'[3]Marts'!D77</f>
        <v>3200</v>
      </c>
      <c r="H77" s="75" t="s">
        <v>143</v>
      </c>
      <c r="I77" s="112">
        <v>52</v>
      </c>
      <c r="J77" s="112">
        <v>17</v>
      </c>
      <c r="K77" s="112">
        <v>15</v>
      </c>
      <c r="L77" s="108">
        <v>0.28846153846153844</v>
      </c>
      <c r="M77" s="108">
        <v>0.8823529411764706</v>
      </c>
      <c r="N77" s="112">
        <v>4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ht="16.5" customHeight="1">
      <c r="A78" s="28" t="s">
        <v>167</v>
      </c>
      <c r="B78" s="109">
        <f>SUM(B79)</f>
        <v>789573</v>
      </c>
      <c r="C78" s="109">
        <f>SUM(C79)</f>
        <v>262894</v>
      </c>
      <c r="D78" s="109">
        <f>SUM(D79)</f>
        <v>262894</v>
      </c>
      <c r="E78" s="39">
        <f t="shared" si="2"/>
        <v>0.33295718065334046</v>
      </c>
      <c r="F78" s="39">
        <f t="shared" si="3"/>
        <v>1</v>
      </c>
      <c r="G78" s="109">
        <f>SUM(G79)</f>
        <v>65500</v>
      </c>
      <c r="H78" s="28" t="s">
        <v>167</v>
      </c>
      <c r="I78" s="110">
        <v>790</v>
      </c>
      <c r="J78" s="110">
        <v>263</v>
      </c>
      <c r="K78" s="110">
        <v>263</v>
      </c>
      <c r="L78" s="111">
        <v>0.3329113924050633</v>
      </c>
      <c r="M78" s="111">
        <v>1</v>
      </c>
      <c r="N78" s="110">
        <v>66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ht="12.75">
      <c r="A79" s="75" t="s">
        <v>143</v>
      </c>
      <c r="B79" s="112">
        <v>789573</v>
      </c>
      <c r="C79" s="112">
        <v>262894</v>
      </c>
      <c r="D79" s="112">
        <v>262894</v>
      </c>
      <c r="E79" s="40">
        <f t="shared" si="2"/>
        <v>0.33295718065334046</v>
      </c>
      <c r="F79" s="40">
        <f t="shared" si="3"/>
        <v>1</v>
      </c>
      <c r="G79" s="112">
        <f>D79-'[3]Marts'!D79</f>
        <v>65500</v>
      </c>
      <c r="H79" s="75" t="s">
        <v>143</v>
      </c>
      <c r="I79" s="112">
        <v>790</v>
      </c>
      <c r="J79" s="112">
        <v>263</v>
      </c>
      <c r="K79" s="112">
        <v>263</v>
      </c>
      <c r="L79" s="108">
        <v>0.3329113924050633</v>
      </c>
      <c r="M79" s="108">
        <v>1</v>
      </c>
      <c r="N79" s="112">
        <v>66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ht="12.75">
      <c r="A80" s="113" t="s">
        <v>168</v>
      </c>
      <c r="B80" s="109">
        <f>SUM(B81:B82)</f>
        <v>6551838</v>
      </c>
      <c r="C80" s="109">
        <f>SUM(C81:C82)</f>
        <v>2151838</v>
      </c>
      <c r="D80" s="109">
        <f>SUM(D81:D82)</f>
        <v>2148731</v>
      </c>
      <c r="E80" s="39">
        <f t="shared" si="2"/>
        <v>0.3279585056895485</v>
      </c>
      <c r="F80" s="39">
        <f t="shared" si="3"/>
        <v>0.9985561180720853</v>
      </c>
      <c r="G80" s="109">
        <f>SUM(G81:G82)</f>
        <v>613814</v>
      </c>
      <c r="H80" s="113" t="s">
        <v>168</v>
      </c>
      <c r="I80" s="110">
        <v>6552</v>
      </c>
      <c r="J80" s="110">
        <v>2152</v>
      </c>
      <c r="K80" s="110">
        <v>2149</v>
      </c>
      <c r="L80" s="111">
        <v>0.327991452991453</v>
      </c>
      <c r="M80" s="111">
        <v>0.9986059479553904</v>
      </c>
      <c r="N80" s="110">
        <v>614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24" ht="12.75">
      <c r="A81" s="75" t="s">
        <v>143</v>
      </c>
      <c r="B81" s="112">
        <v>6543838</v>
      </c>
      <c r="C81" s="112">
        <v>2147838</v>
      </c>
      <c r="D81" s="112">
        <f>2148731-3999</f>
        <v>2144732</v>
      </c>
      <c r="E81" s="40">
        <f t="shared" si="2"/>
        <v>0.32774833362317346</v>
      </c>
      <c r="F81" s="40">
        <f t="shared" si="3"/>
        <v>0.9985538946605843</v>
      </c>
      <c r="G81" s="112">
        <f>D81-'[3]Marts'!D81</f>
        <v>609815</v>
      </c>
      <c r="H81" s="75" t="s">
        <v>143</v>
      </c>
      <c r="I81" s="112">
        <v>6544</v>
      </c>
      <c r="J81" s="112">
        <v>2148</v>
      </c>
      <c r="K81" s="112">
        <v>2145</v>
      </c>
      <c r="L81" s="108">
        <v>0.327781173594132</v>
      </c>
      <c r="M81" s="108">
        <v>0.9986033519553073</v>
      </c>
      <c r="N81" s="112">
        <v>610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ht="12.75">
      <c r="A82" s="75" t="s">
        <v>144</v>
      </c>
      <c r="B82" s="112">
        <v>8000</v>
      </c>
      <c r="C82" s="112">
        <v>4000</v>
      </c>
      <c r="D82" s="112">
        <v>3999</v>
      </c>
      <c r="E82" s="40">
        <f t="shared" si="2"/>
        <v>0.499875</v>
      </c>
      <c r="F82" s="40">
        <f t="shared" si="3"/>
        <v>0.99975</v>
      </c>
      <c r="G82" s="112">
        <f>D82-'[3]Marts'!D82</f>
        <v>3999</v>
      </c>
      <c r="H82" s="75" t="s">
        <v>144</v>
      </c>
      <c r="I82" s="112">
        <v>8</v>
      </c>
      <c r="J82" s="112">
        <v>4</v>
      </c>
      <c r="K82" s="112">
        <v>4</v>
      </c>
      <c r="L82" s="108">
        <v>0.5</v>
      </c>
      <c r="M82" s="108">
        <v>1</v>
      </c>
      <c r="N82" s="112">
        <v>4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1:24" ht="13.5" customHeight="1">
      <c r="A83" s="28" t="s">
        <v>169</v>
      </c>
      <c r="B83" s="109">
        <f>SUM(B84)</f>
        <v>97907</v>
      </c>
      <c r="C83" s="109">
        <f>SUM(C84)</f>
        <v>25173</v>
      </c>
      <c r="D83" s="109">
        <f>SUM(D84)</f>
        <v>25173</v>
      </c>
      <c r="E83" s="39">
        <f t="shared" si="2"/>
        <v>0.2571113403536009</v>
      </c>
      <c r="F83" s="39">
        <f t="shared" si="3"/>
        <v>1</v>
      </c>
      <c r="G83" s="109">
        <f>SUM(G84)</f>
        <v>8129</v>
      </c>
      <c r="H83" s="28" t="s">
        <v>169</v>
      </c>
      <c r="I83" s="110">
        <v>98</v>
      </c>
      <c r="J83" s="110">
        <v>25</v>
      </c>
      <c r="K83" s="110">
        <v>25</v>
      </c>
      <c r="L83" s="111">
        <v>0.25510204081632654</v>
      </c>
      <c r="M83" s="111">
        <v>1</v>
      </c>
      <c r="N83" s="110">
        <v>8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ht="12.75">
      <c r="A84" s="75" t="s">
        <v>143</v>
      </c>
      <c r="B84" s="112">
        <v>97907</v>
      </c>
      <c r="C84" s="112">
        <v>25173</v>
      </c>
      <c r="D84" s="112">
        <v>25173</v>
      </c>
      <c r="E84" s="40">
        <f t="shared" si="2"/>
        <v>0.2571113403536009</v>
      </c>
      <c r="F84" s="40">
        <f t="shared" si="3"/>
        <v>1</v>
      </c>
      <c r="G84" s="112">
        <f>D84-'[3]Marts'!D84</f>
        <v>8129</v>
      </c>
      <c r="H84" s="75" t="s">
        <v>143</v>
      </c>
      <c r="I84" s="112">
        <v>98</v>
      </c>
      <c r="J84" s="112">
        <v>25</v>
      </c>
      <c r="K84" s="112">
        <v>25</v>
      </c>
      <c r="L84" s="108">
        <v>0.25510204081632654</v>
      </c>
      <c r="M84" s="108">
        <v>1</v>
      </c>
      <c r="N84" s="112">
        <v>8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ht="39.75" customHeight="1">
      <c r="A85" s="83" t="s">
        <v>170</v>
      </c>
      <c r="B85" s="109">
        <f>SUM(B86:B87)</f>
        <v>651209</v>
      </c>
      <c r="C85" s="109">
        <f>SUM(C86:C87)</f>
        <v>111290</v>
      </c>
      <c r="D85" s="109">
        <f>SUM(D86:D87)</f>
        <v>98262</v>
      </c>
      <c r="E85" s="39">
        <f>IF(ISERROR(D85/B85)," ",(D85/B85))</f>
        <v>0.15089164922474965</v>
      </c>
      <c r="F85" s="39">
        <f t="shared" si="3"/>
        <v>0.8829364722796298</v>
      </c>
      <c r="G85" s="109">
        <f>SUM(G86:G87)</f>
        <v>98262</v>
      </c>
      <c r="H85" s="83" t="s">
        <v>170</v>
      </c>
      <c r="I85" s="110">
        <v>651</v>
      </c>
      <c r="J85" s="110">
        <v>111</v>
      </c>
      <c r="K85" s="110">
        <v>98</v>
      </c>
      <c r="L85" s="111">
        <v>0.15053763440860216</v>
      </c>
      <c r="M85" s="111">
        <v>0.8828828828828829</v>
      </c>
      <c r="N85" s="110">
        <v>98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:24" ht="12.75">
      <c r="A86" s="75" t="s">
        <v>143</v>
      </c>
      <c r="B86" s="112">
        <v>641109</v>
      </c>
      <c r="C86" s="112">
        <v>107942</v>
      </c>
      <c r="D86" s="112">
        <f>98262-2447</f>
        <v>95815</v>
      </c>
      <c r="E86" s="40"/>
      <c r="F86" s="40"/>
      <c r="G86" s="112">
        <f>D86-'[3]Marts'!D86</f>
        <v>95815</v>
      </c>
      <c r="H86" s="75" t="s">
        <v>143</v>
      </c>
      <c r="I86" s="112">
        <v>641</v>
      </c>
      <c r="J86" s="112">
        <v>108</v>
      </c>
      <c r="K86" s="112">
        <v>96</v>
      </c>
      <c r="L86" s="108">
        <v>0.1497659906396256</v>
      </c>
      <c r="M86" s="108">
        <v>0.8888888888888888</v>
      </c>
      <c r="N86" s="112">
        <v>96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ht="12.75">
      <c r="A87" s="75" t="s">
        <v>144</v>
      </c>
      <c r="B87" s="112">
        <v>10100</v>
      </c>
      <c r="C87" s="112">
        <v>3348</v>
      </c>
      <c r="D87" s="112">
        <v>2447</v>
      </c>
      <c r="E87" s="40"/>
      <c r="F87" s="40"/>
      <c r="G87" s="112">
        <f>D87-'[3]Marts'!D87</f>
        <v>2447</v>
      </c>
      <c r="H87" s="75" t="s">
        <v>144</v>
      </c>
      <c r="I87" s="112">
        <v>10</v>
      </c>
      <c r="J87" s="112">
        <v>3</v>
      </c>
      <c r="K87" s="112">
        <v>2</v>
      </c>
      <c r="L87" s="108">
        <v>0.2</v>
      </c>
      <c r="M87" s="108">
        <v>0.6666666666666666</v>
      </c>
      <c r="N87" s="112">
        <v>2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ht="12.75" customHeight="1">
      <c r="A88" s="28" t="s">
        <v>171</v>
      </c>
      <c r="B88" s="109">
        <f>SUM(B89:B90)</f>
        <v>93876258</v>
      </c>
      <c r="C88" s="109">
        <f>SUM(C89:C90)</f>
        <v>29116863</v>
      </c>
      <c r="D88" s="109">
        <f>SUM(D89:D90)</f>
        <v>28796863</v>
      </c>
      <c r="E88" s="39">
        <f t="shared" si="2"/>
        <v>0.3067534178876197</v>
      </c>
      <c r="F88" s="39">
        <f>IF(ISERROR(D88/C88)," ",(D88/C88))</f>
        <v>0.989009805074125</v>
      </c>
      <c r="G88" s="109">
        <f>SUM(G89:G90)</f>
        <v>7883704</v>
      </c>
      <c r="H88" s="28" t="s">
        <v>171</v>
      </c>
      <c r="I88" s="110">
        <v>93876</v>
      </c>
      <c r="J88" s="110">
        <v>29117</v>
      </c>
      <c r="K88" s="110">
        <v>28797</v>
      </c>
      <c r="L88" s="111">
        <v>0.3067557203119008</v>
      </c>
      <c r="M88" s="111">
        <v>0.9890098567846962</v>
      </c>
      <c r="N88" s="110">
        <v>7884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:24" ht="12.75">
      <c r="A89" s="75" t="s">
        <v>143</v>
      </c>
      <c r="B89" s="112">
        <v>84753258</v>
      </c>
      <c r="C89" s="112">
        <v>28166863</v>
      </c>
      <c r="D89" s="112">
        <v>27846863</v>
      </c>
      <c r="E89" s="40">
        <f t="shared" si="2"/>
        <v>0.3285639237609013</v>
      </c>
      <c r="F89" s="40">
        <f>IF(ISERROR(D89/C89)," ",(D89/C89))</f>
        <v>0.9886391324443904</v>
      </c>
      <c r="G89" s="112">
        <f>D89-'[3]Marts'!D89</f>
        <v>7083704</v>
      </c>
      <c r="H89" s="75" t="s">
        <v>143</v>
      </c>
      <c r="I89" s="112">
        <v>84753</v>
      </c>
      <c r="J89" s="112">
        <v>28167</v>
      </c>
      <c r="K89" s="112">
        <v>27847</v>
      </c>
      <c r="L89" s="108">
        <v>0.32856654041744837</v>
      </c>
      <c r="M89" s="108">
        <v>0.9886391877019207</v>
      </c>
      <c r="N89" s="112">
        <v>7084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ht="12.75">
      <c r="A90" s="75" t="s">
        <v>144</v>
      </c>
      <c r="B90" s="112">
        <v>9123000</v>
      </c>
      <c r="C90" s="112">
        <v>950000</v>
      </c>
      <c r="D90" s="112">
        <v>950000</v>
      </c>
      <c r="E90" s="40">
        <f t="shared" si="2"/>
        <v>0.10413241258357997</v>
      </c>
      <c r="F90" s="40">
        <f>IF(ISERROR(D90/C90)," ",(D90/C90))</f>
        <v>1</v>
      </c>
      <c r="G90" s="112">
        <f>D90-'[3]Marts'!D90</f>
        <v>800000</v>
      </c>
      <c r="H90" s="75" t="s">
        <v>144</v>
      </c>
      <c r="I90" s="112">
        <v>9123</v>
      </c>
      <c r="J90" s="112">
        <v>950</v>
      </c>
      <c r="K90" s="112">
        <v>950</v>
      </c>
      <c r="L90" s="108">
        <v>0.10413241258357997</v>
      </c>
      <c r="M90" s="108">
        <v>1</v>
      </c>
      <c r="N90" s="112">
        <v>800</v>
      </c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ht="12.75" customHeight="1">
      <c r="A91" s="28" t="s">
        <v>172</v>
      </c>
      <c r="B91" s="109">
        <f>SUM(B92)</f>
        <v>6903010</v>
      </c>
      <c r="C91" s="109">
        <f>SUM(C92)</f>
        <v>2034338</v>
      </c>
      <c r="D91" s="109">
        <f>SUM(D92)</f>
        <v>2034338</v>
      </c>
      <c r="E91" s="39">
        <f t="shared" si="2"/>
        <v>0.2947030353425535</v>
      </c>
      <c r="F91" s="39">
        <f>IF(ISERROR(D91/C91)," ",(D91/C91))</f>
        <v>1</v>
      </c>
      <c r="G91" s="109">
        <f>SUM(G92)</f>
        <v>1358588</v>
      </c>
      <c r="H91" s="28" t="s">
        <v>172</v>
      </c>
      <c r="I91" s="110">
        <v>6903</v>
      </c>
      <c r="J91" s="110">
        <v>2034</v>
      </c>
      <c r="K91" s="110">
        <v>2034</v>
      </c>
      <c r="L91" s="111">
        <v>0.29465449804432853</v>
      </c>
      <c r="M91" s="111">
        <v>1</v>
      </c>
      <c r="N91" s="110">
        <v>1358</v>
      </c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ht="12.75">
      <c r="A92" s="77" t="s">
        <v>143</v>
      </c>
      <c r="B92" s="112">
        <v>6903010</v>
      </c>
      <c r="C92" s="112">
        <v>2034338</v>
      </c>
      <c r="D92" s="112">
        <v>2034338</v>
      </c>
      <c r="E92" s="40">
        <f t="shared" si="2"/>
        <v>0.2947030353425535</v>
      </c>
      <c r="F92" s="40">
        <f>IF(ISERROR(D92/C92)," ",(D92/C92))</f>
        <v>1</v>
      </c>
      <c r="G92" s="112">
        <f>D92-'[3]Marts'!D92</f>
        <v>1358588</v>
      </c>
      <c r="H92" s="77" t="s">
        <v>143</v>
      </c>
      <c r="I92" s="112">
        <v>6903</v>
      </c>
      <c r="J92" s="112">
        <v>2034</v>
      </c>
      <c r="K92" s="112">
        <v>2034</v>
      </c>
      <c r="L92" s="108">
        <v>0.29465449804432853</v>
      </c>
      <c r="M92" s="108">
        <v>1</v>
      </c>
      <c r="N92" s="112">
        <v>1358</v>
      </c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ht="12.75">
      <c r="A93" s="116"/>
      <c r="B93" s="117"/>
      <c r="C93" s="117"/>
      <c r="D93" s="117"/>
      <c r="E93" s="118"/>
      <c r="F93" s="118"/>
      <c r="G93" s="37"/>
      <c r="H93" s="116"/>
      <c r="I93" s="117"/>
      <c r="J93" s="117"/>
      <c r="K93" s="117"/>
      <c r="L93" s="118"/>
      <c r="M93" s="118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5" spans="1:24" ht="12.75">
      <c r="A95" s="43" t="s">
        <v>173</v>
      </c>
      <c r="B95" s="119"/>
      <c r="C95" s="91"/>
      <c r="D95" s="120"/>
      <c r="E95" s="120"/>
      <c r="F95" s="121"/>
      <c r="G95" s="37"/>
      <c r="H95" s="43" t="s">
        <v>173</v>
      </c>
      <c r="I95" s="119"/>
      <c r="J95" s="91"/>
      <c r="K95" s="120"/>
      <c r="L95" s="120"/>
      <c r="M95" s="121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12.75">
      <c r="A96" s="116"/>
      <c r="B96" s="117"/>
      <c r="C96" s="117"/>
      <c r="D96" s="117"/>
      <c r="E96" s="118"/>
      <c r="F96" s="118"/>
      <c r="G96" s="37"/>
      <c r="H96" s="116"/>
      <c r="I96" s="117"/>
      <c r="J96" s="117"/>
      <c r="K96" s="117"/>
      <c r="L96" s="118"/>
      <c r="M96" s="118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12.75">
      <c r="A97" s="37" t="s">
        <v>89</v>
      </c>
      <c r="B97" s="122"/>
      <c r="C97" s="96"/>
      <c r="D97" s="96"/>
      <c r="E97" s="123"/>
      <c r="F97" s="124"/>
      <c r="G97" s="37"/>
      <c r="H97" s="37" t="s">
        <v>89</v>
      </c>
      <c r="I97" s="122"/>
      <c r="J97" s="96"/>
      <c r="K97" s="96"/>
      <c r="L97" s="123"/>
      <c r="M97" s="124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ht="12.75">
      <c r="A98" s="37" t="s">
        <v>174</v>
      </c>
      <c r="B98" s="125"/>
      <c r="C98" s="96"/>
      <c r="D98" s="94"/>
      <c r="E98" s="88"/>
      <c r="F98" s="126"/>
      <c r="G98" s="37"/>
      <c r="H98" s="37" t="s">
        <v>91</v>
      </c>
      <c r="I98" s="125"/>
      <c r="J98" s="96"/>
      <c r="K98" s="94"/>
      <c r="L98" s="88"/>
      <c r="M98" s="12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12.75">
      <c r="A99" s="6"/>
      <c r="B99" s="125"/>
      <c r="C99" s="96" t="s">
        <v>175</v>
      </c>
      <c r="D99" s="94"/>
      <c r="E99" s="88"/>
      <c r="F99" s="126"/>
      <c r="G99" s="37"/>
      <c r="H99" s="6"/>
      <c r="I99" s="125"/>
      <c r="J99" s="96"/>
      <c r="K99" s="94"/>
      <c r="L99" s="88"/>
      <c r="M99" s="12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2.75">
      <c r="A100" s="37"/>
      <c r="B100" s="122"/>
      <c r="C100" s="96"/>
      <c r="D100" s="96"/>
      <c r="E100" s="123"/>
      <c r="F100" s="124"/>
      <c r="G100" s="37"/>
      <c r="H100" s="37"/>
      <c r="I100" s="122"/>
      <c r="J100" s="96"/>
      <c r="K100" s="96"/>
      <c r="L100" s="123"/>
      <c r="M100" s="124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12.75">
      <c r="A101" s="37"/>
      <c r="B101" s="122"/>
      <c r="C101" s="96"/>
      <c r="D101" s="96"/>
      <c r="E101" s="123"/>
      <c r="F101" s="124"/>
      <c r="G101" s="37"/>
      <c r="H101" s="37"/>
      <c r="I101" s="122"/>
      <c r="J101" s="96"/>
      <c r="K101" s="96"/>
      <c r="L101" s="123"/>
      <c r="M101" s="124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4" spans="1:24" ht="12.75">
      <c r="A104" s="37"/>
      <c r="B104" s="6"/>
      <c r="C104" s="94"/>
      <c r="D104" s="94"/>
      <c r="E104" s="6"/>
      <c r="F104" s="6"/>
      <c r="G104" s="37"/>
      <c r="H104" s="37"/>
      <c r="I104" s="6"/>
      <c r="J104" s="94"/>
      <c r="K104" s="94"/>
      <c r="L104" s="6"/>
      <c r="M104" s="6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7:24" ht="12.75">
      <c r="G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7:24" ht="12.75"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7:24" ht="12.75"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7:24" ht="12.75"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7:24" ht="12.75"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7:24" ht="12.75"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7:25" ht="12.75"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7:25" ht="12.75"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ht="12.75">
      <c r="A113" s="37" t="s">
        <v>89</v>
      </c>
      <c r="B113" s="6"/>
      <c r="C113" s="94"/>
      <c r="D113" s="94"/>
      <c r="E113" s="6"/>
      <c r="F113" s="6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ht="12.75">
      <c r="A114" s="37" t="s">
        <v>176</v>
      </c>
      <c r="B114" s="6"/>
      <c r="C114" s="94"/>
      <c r="D114" s="94"/>
      <c r="E114" s="6"/>
      <c r="F114" s="6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7:25" ht="12.75"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7:25" ht="12.75"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7:25" ht="12.75"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7:25" ht="12.75"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7:25" ht="12.75"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7:25" ht="12.75"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7:25" ht="12.75"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7:25" ht="12.75"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7:25" ht="12.75"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7:25" ht="12.75"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7:25" ht="12.75"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7:25" ht="12.75"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7:25" ht="12.75"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7:25" ht="12.75"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7:25" ht="12.75"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7:25" ht="12.75"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7:25" ht="12.75"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7:25" ht="12.75"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7:25" ht="12.75"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7:25" ht="12.75"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7:25" ht="12.75"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7:25" ht="12.75"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7:25" ht="12.75"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7:25" ht="12.75"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7:25" ht="12.75"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7:25" ht="12.75"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7:25" ht="12.75"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7:25" ht="12.75"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7:25" ht="12.75"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7:25" ht="12.75"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7:25" ht="12.75"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7:25" ht="12.75"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7:25" ht="12.75"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7:25" ht="12.75"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7:25" ht="12.75"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7:25" ht="12.75"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7:25" ht="12.75"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7:25" ht="12.75"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7:25" ht="12.75"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7:25" ht="12.75"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7:25" ht="12.75"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7:25" ht="12.75"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7:25" ht="12.75"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7:25" ht="12.75"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7:25" ht="12.75"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7:25" ht="12.75"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7:25" ht="12.75"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7:25" ht="12.75"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7:25" ht="12.75"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7:25" ht="12.75"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7:25" ht="12.75"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7:25" ht="12.75"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7:25" ht="12.75"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7:25" ht="12.75"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7:25" ht="12.75"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7:25" ht="12.75"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7:25" ht="12.75"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7:25" ht="12.75"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7:25" ht="12.75"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7:25" ht="12.75"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7:25" ht="12.75"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7:25" ht="12.75"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7:25" ht="12.75"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7:25" ht="12.75"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7:25" ht="12.75"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7:25" ht="12.75"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7:25" ht="12.75"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7:25" ht="12.75"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7:25" ht="12.75"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7:25" ht="12.75"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7:25" ht="12.75"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7:25" ht="12.75"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7:25" ht="12.75"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7:25" ht="12.75"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7:25" ht="12.75"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7:25" ht="12.75"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7:25" ht="12.75"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7:25" ht="12.75"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7:25" ht="12.75"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7:25" ht="12.75"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7:25" ht="12.75"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7:25" ht="12.75"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7:25" ht="12.75"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7:25" ht="12.75"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:25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1:25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1:25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1:25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:25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5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5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:25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:25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25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:25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:25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:25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1:25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1:25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1:25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1:25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:25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5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1:25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1:25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1:25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1:25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1:25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1:25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1:25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1:25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1:25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1:25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1:25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1:25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1:25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spans="1:25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1:25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spans="1:25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1:25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1:25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1:25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spans="1:25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1:25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 spans="1:25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spans="1:25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 spans="1:25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1:25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306"/>
  <sheetViews>
    <sheetView workbookViewId="0" topLeftCell="H54">
      <selection activeCell="I67" sqref="I67"/>
    </sheetView>
  </sheetViews>
  <sheetFormatPr defaultColWidth="9.140625" defaultRowHeight="12.75"/>
  <cols>
    <col min="1" max="1" width="33.57421875" style="1" hidden="1" customWidth="1"/>
    <col min="2" max="2" width="12.140625" style="1" hidden="1" customWidth="1"/>
    <col min="3" max="3" width="12.421875" style="1" hidden="1" customWidth="1"/>
    <col min="4" max="4" width="12.28125" style="1" hidden="1" customWidth="1"/>
    <col min="5" max="5" width="10.00390625" style="1" hidden="1" customWidth="1"/>
    <col min="6" max="6" width="9.28125" style="1" hidden="1" customWidth="1"/>
    <col min="7" max="7" width="10.28125" style="1" hidden="1" customWidth="1"/>
    <col min="8" max="8" width="38.140625" style="1" customWidth="1"/>
    <col min="9" max="9" width="9.8515625" style="1" customWidth="1"/>
    <col min="10" max="10" width="11.00390625" style="1" customWidth="1"/>
    <col min="11" max="11" width="9.28125" style="1" customWidth="1"/>
    <col min="12" max="12" width="6.8515625" style="1" customWidth="1"/>
    <col min="13" max="13" width="10.421875" style="1" customWidth="1"/>
    <col min="14" max="16384" width="9.140625" style="1" customWidth="1"/>
  </cols>
  <sheetData>
    <row r="1" spans="7:14" ht="12.75">
      <c r="G1" s="1" t="s">
        <v>177</v>
      </c>
      <c r="N1" s="1" t="s">
        <v>177</v>
      </c>
    </row>
    <row r="2" spans="1:14" ht="16.5" customHeight="1">
      <c r="A2" s="3" t="s">
        <v>178</v>
      </c>
      <c r="B2" s="3"/>
      <c r="C2" s="43"/>
      <c r="D2" s="43"/>
      <c r="E2" s="3"/>
      <c r="F2" s="43"/>
      <c r="G2" s="37"/>
      <c r="H2" s="3" t="s">
        <v>178</v>
      </c>
      <c r="I2" s="3"/>
      <c r="J2" s="43"/>
      <c r="K2" s="43"/>
      <c r="L2" s="3"/>
      <c r="M2" s="43"/>
      <c r="N2" s="37"/>
    </row>
    <row r="3" spans="1:14" ht="4.5" customHeight="1" hidden="1">
      <c r="A3" s="127"/>
      <c r="B3" s="37"/>
      <c r="C3" s="37"/>
      <c r="D3" s="37"/>
      <c r="E3" s="37"/>
      <c r="F3" s="37"/>
      <c r="G3" s="37"/>
      <c r="H3" s="127"/>
      <c r="I3" s="37"/>
      <c r="J3" s="37"/>
      <c r="K3" s="37"/>
      <c r="L3" s="37"/>
      <c r="M3" s="37"/>
      <c r="N3" s="37"/>
    </row>
    <row r="4" spans="1:14" ht="12" customHeight="1">
      <c r="A4" s="127"/>
      <c r="B4" s="37"/>
      <c r="C4" s="37"/>
      <c r="D4" s="37"/>
      <c r="E4" s="37"/>
      <c r="F4" s="37"/>
      <c r="G4" s="37"/>
      <c r="H4" s="127"/>
      <c r="I4" s="37"/>
      <c r="J4" s="37"/>
      <c r="K4" s="37"/>
      <c r="L4" s="37"/>
      <c r="M4" s="37"/>
      <c r="N4" s="37"/>
    </row>
    <row r="5" spans="1:14" ht="15.75">
      <c r="A5" s="48" t="s">
        <v>179</v>
      </c>
      <c r="B5" s="43"/>
      <c r="C5" s="43"/>
      <c r="D5" s="43"/>
      <c r="E5" s="43"/>
      <c r="F5" s="43"/>
      <c r="G5" s="37"/>
      <c r="H5" s="48" t="s">
        <v>179</v>
      </c>
      <c r="I5" s="43"/>
      <c r="J5" s="43"/>
      <c r="K5" s="43"/>
      <c r="L5" s="43"/>
      <c r="M5" s="43"/>
      <c r="N5" s="37"/>
    </row>
    <row r="6" spans="1:14" ht="15.75">
      <c r="A6" s="48" t="s">
        <v>180</v>
      </c>
      <c r="B6" s="43"/>
      <c r="C6" s="43"/>
      <c r="D6" s="43"/>
      <c r="E6" s="43"/>
      <c r="F6" s="43"/>
      <c r="G6" s="37"/>
      <c r="H6" s="48" t="s">
        <v>180</v>
      </c>
      <c r="I6" s="43"/>
      <c r="J6" s="43"/>
      <c r="K6" s="43"/>
      <c r="L6" s="43"/>
      <c r="M6" s="43"/>
      <c r="N6" s="37"/>
    </row>
    <row r="7" spans="1:14" ht="19.5" customHeight="1">
      <c r="A7" s="48" t="s">
        <v>181</v>
      </c>
      <c r="B7" s="43"/>
      <c r="C7" s="43"/>
      <c r="D7" s="43"/>
      <c r="E7" s="43"/>
      <c r="F7" s="43"/>
      <c r="G7" s="37"/>
      <c r="H7" s="48" t="s">
        <v>182</v>
      </c>
      <c r="I7" s="43"/>
      <c r="J7" s="43"/>
      <c r="K7" s="43"/>
      <c r="L7" s="43"/>
      <c r="M7" s="43"/>
      <c r="N7" s="37"/>
    </row>
    <row r="8" spans="1:14" s="105" customFormat="1" ht="18.75" customHeight="1">
      <c r="A8" s="37"/>
      <c r="B8" s="37"/>
      <c r="C8" s="37"/>
      <c r="D8" s="37"/>
      <c r="E8" s="1"/>
      <c r="F8" s="37"/>
      <c r="G8" s="6" t="s">
        <v>97</v>
      </c>
      <c r="H8" s="37"/>
      <c r="I8" s="37"/>
      <c r="J8" s="37"/>
      <c r="K8" s="37"/>
      <c r="L8" s="1"/>
      <c r="M8" s="37"/>
      <c r="N8" s="6" t="s">
        <v>97</v>
      </c>
    </row>
    <row r="9" spans="1:14" s="15" customFormat="1" ht="72.75" customHeight="1">
      <c r="A9" s="7" t="s">
        <v>5</v>
      </c>
      <c r="B9" s="7" t="s">
        <v>6</v>
      </c>
      <c r="C9" s="7" t="s">
        <v>183</v>
      </c>
      <c r="D9" s="7" t="s">
        <v>7</v>
      </c>
      <c r="E9" s="7" t="s">
        <v>184</v>
      </c>
      <c r="F9" s="7" t="s">
        <v>185</v>
      </c>
      <c r="G9" s="7" t="s">
        <v>100</v>
      </c>
      <c r="H9" s="7" t="s">
        <v>5</v>
      </c>
      <c r="I9" s="7" t="s">
        <v>6</v>
      </c>
      <c r="J9" s="7" t="s">
        <v>183</v>
      </c>
      <c r="K9" s="7" t="s">
        <v>7</v>
      </c>
      <c r="L9" s="7" t="s">
        <v>184</v>
      </c>
      <c r="M9" s="7" t="s">
        <v>185</v>
      </c>
      <c r="N9" s="7" t="s">
        <v>100</v>
      </c>
    </row>
    <row r="10" spans="1:14" s="15" customFormat="1" ht="9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1</v>
      </c>
      <c r="I10" s="7">
        <v>2</v>
      </c>
      <c r="J10" s="7">
        <v>3</v>
      </c>
      <c r="K10" s="7">
        <v>4</v>
      </c>
      <c r="L10" s="7">
        <v>5</v>
      </c>
      <c r="M10" s="7">
        <v>6</v>
      </c>
      <c r="N10" s="7">
        <v>7</v>
      </c>
    </row>
    <row r="11" spans="1:14" s="15" customFormat="1" ht="21.75" customHeight="1">
      <c r="A11" s="28" t="s">
        <v>186</v>
      </c>
      <c r="B11" s="9">
        <f>SUM(B12:B14)</f>
        <v>720918773</v>
      </c>
      <c r="C11" s="9">
        <f>SUM(C12:C14)</f>
        <v>220216998</v>
      </c>
      <c r="D11" s="9">
        <f>SUM(D12:D14)</f>
        <v>216072847</v>
      </c>
      <c r="E11" s="39">
        <f>IF(ISERROR(D11/B11)," ",(D11/B11))</f>
        <v>0.29971871324815674</v>
      </c>
      <c r="F11" s="39">
        <f>IF(ISERROR(D11/C11)," ",(D11/C11))</f>
        <v>0.9811815117014718</v>
      </c>
      <c r="G11" s="9">
        <f>SUM(G12:G14)</f>
        <v>61436826</v>
      </c>
      <c r="H11" s="28" t="s">
        <v>186</v>
      </c>
      <c r="I11" s="128">
        <v>720919</v>
      </c>
      <c r="J11" s="128">
        <v>220217</v>
      </c>
      <c r="K11" s="128">
        <v>216073</v>
      </c>
      <c r="L11" s="111">
        <v>0.2997188311030782</v>
      </c>
      <c r="M11" s="111">
        <v>0.9811821975596797</v>
      </c>
      <c r="N11" s="129">
        <v>61436</v>
      </c>
    </row>
    <row r="12" spans="1:14" s="15" customFormat="1" ht="23.25" customHeight="1">
      <c r="A12" s="77" t="s">
        <v>187</v>
      </c>
      <c r="B12" s="130">
        <v>656600030</v>
      </c>
      <c r="C12" s="130">
        <v>197315359</v>
      </c>
      <c r="D12" s="130">
        <v>197315359</v>
      </c>
      <c r="E12" s="39">
        <f aca="true" t="shared" si="0" ref="E12:E18">IF(ISERROR(D12/B12)," ",(D12/B12))</f>
        <v>0.3005107371073376</v>
      </c>
      <c r="F12" s="39">
        <f aca="true" t="shared" si="1" ref="F12:F18">IF(ISERROR(D12/C12)," ",(D12/C12))</f>
        <v>1</v>
      </c>
      <c r="G12" s="112">
        <f>D12-'[4]Marts'!D12</f>
        <v>58913584</v>
      </c>
      <c r="H12" s="77" t="s">
        <v>187</v>
      </c>
      <c r="I12" s="131">
        <v>656600</v>
      </c>
      <c r="J12" s="131">
        <v>197315</v>
      </c>
      <c r="K12" s="131">
        <v>197315</v>
      </c>
      <c r="L12" s="108">
        <v>0.30051020408163265</v>
      </c>
      <c r="M12" s="108">
        <v>1</v>
      </c>
      <c r="N12" s="112">
        <v>58913</v>
      </c>
    </row>
    <row r="13" spans="1:14" s="15" customFormat="1" ht="19.5" customHeight="1">
      <c r="A13" s="77" t="s">
        <v>188</v>
      </c>
      <c r="B13" s="130">
        <v>1092020</v>
      </c>
      <c r="C13" s="130">
        <v>192825</v>
      </c>
      <c r="D13" s="130"/>
      <c r="E13" s="39">
        <f t="shared" si="0"/>
        <v>0</v>
      </c>
      <c r="F13" s="39">
        <f t="shared" si="1"/>
        <v>0</v>
      </c>
      <c r="G13" s="112">
        <f>D13-'[4]Marts'!D13</f>
        <v>0</v>
      </c>
      <c r="H13" s="77" t="s">
        <v>188</v>
      </c>
      <c r="I13" s="131">
        <v>1092</v>
      </c>
      <c r="J13" s="131">
        <v>193</v>
      </c>
      <c r="K13" s="131">
        <v>0</v>
      </c>
      <c r="L13" s="108">
        <v>0</v>
      </c>
      <c r="M13" s="108">
        <v>0</v>
      </c>
      <c r="N13" s="112">
        <v>0</v>
      </c>
    </row>
    <row r="14" spans="1:14" s="15" customFormat="1" ht="18.75" customHeight="1">
      <c r="A14" s="77" t="s">
        <v>189</v>
      </c>
      <c r="B14" s="130">
        <v>63226723</v>
      </c>
      <c r="C14" s="130">
        <v>22708814</v>
      </c>
      <c r="D14" s="130">
        <f>3696066+15058903-32045+34564</f>
        <v>18757488</v>
      </c>
      <c r="E14" s="39">
        <f t="shared" si="0"/>
        <v>0.296670254442888</v>
      </c>
      <c r="F14" s="39">
        <f t="shared" si="1"/>
        <v>0.8260003362571027</v>
      </c>
      <c r="G14" s="112">
        <f>D14-'[4]Marts'!D14</f>
        <v>2523242</v>
      </c>
      <c r="H14" s="77" t="s">
        <v>189</v>
      </c>
      <c r="I14" s="131">
        <v>63227</v>
      </c>
      <c r="J14" s="131">
        <v>22709</v>
      </c>
      <c r="K14" s="131">
        <v>18758</v>
      </c>
      <c r="L14" s="108">
        <v>0.29667705252502885</v>
      </c>
      <c r="M14" s="108">
        <v>0.8260161169580342</v>
      </c>
      <c r="N14" s="112">
        <v>2523</v>
      </c>
    </row>
    <row r="15" spans="1:14" s="15" customFormat="1" ht="24" customHeight="1">
      <c r="A15" s="28" t="s">
        <v>190</v>
      </c>
      <c r="B15" s="59">
        <f>SUM(B16,B41)</f>
        <v>720918773</v>
      </c>
      <c r="C15" s="59">
        <f>SUM(C16,C41)</f>
        <v>222441182</v>
      </c>
      <c r="D15" s="59">
        <f>SUM(D16,D41)</f>
        <v>212038956</v>
      </c>
      <c r="E15" s="39">
        <f t="shared" si="0"/>
        <v>0.2941232271114682</v>
      </c>
      <c r="F15" s="39">
        <f t="shared" si="1"/>
        <v>0.9532360603982045</v>
      </c>
      <c r="G15" s="59">
        <f>SUM(G16,G41)</f>
        <v>66869679</v>
      </c>
      <c r="H15" s="28" t="s">
        <v>190</v>
      </c>
      <c r="I15" s="129">
        <v>720919</v>
      </c>
      <c r="J15" s="129">
        <v>222441</v>
      </c>
      <c r="K15" s="129">
        <v>212039</v>
      </c>
      <c r="L15" s="111">
        <v>0.2941231955323691</v>
      </c>
      <c r="M15" s="111">
        <v>0.9532370381359552</v>
      </c>
      <c r="N15" s="129">
        <v>66870</v>
      </c>
    </row>
    <row r="16" spans="1:14" s="15" customFormat="1" ht="18.75" customHeight="1">
      <c r="A16" s="132" t="s">
        <v>191</v>
      </c>
      <c r="B16" s="109">
        <v>653325305</v>
      </c>
      <c r="C16" s="109">
        <v>209397359</v>
      </c>
      <c r="D16" s="109">
        <f>SUM(D17,D24,D28)</f>
        <v>202236105</v>
      </c>
      <c r="E16" s="39">
        <f t="shared" si="0"/>
        <v>0.3095488624920169</v>
      </c>
      <c r="F16" s="39">
        <f t="shared" si="1"/>
        <v>0.9658006479441796</v>
      </c>
      <c r="G16" s="109">
        <f>SUM(G17,G24,G28)</f>
        <v>61318369</v>
      </c>
      <c r="H16" s="132" t="s">
        <v>191</v>
      </c>
      <c r="I16" s="128">
        <v>653326</v>
      </c>
      <c r="J16" s="128">
        <v>209397</v>
      </c>
      <c r="K16" s="10">
        <v>202236</v>
      </c>
      <c r="L16" s="111">
        <v>0.30954837248173195</v>
      </c>
      <c r="M16" s="111">
        <v>0.9658018023180848</v>
      </c>
      <c r="N16" s="10">
        <v>61319</v>
      </c>
    </row>
    <row r="17" spans="1:14" s="15" customFormat="1" ht="22.5" customHeight="1">
      <c r="A17" s="67" t="s">
        <v>192</v>
      </c>
      <c r="B17" s="133">
        <v>322671779</v>
      </c>
      <c r="C17" s="133">
        <v>104399946</v>
      </c>
      <c r="D17" s="133">
        <f>SUM(D18,D19,D20,D23)</f>
        <v>99905749</v>
      </c>
      <c r="E17" s="39">
        <f t="shared" si="0"/>
        <v>0.30962034953791234</v>
      </c>
      <c r="F17" s="39">
        <f t="shared" si="1"/>
        <v>0.9569521137491777</v>
      </c>
      <c r="G17" s="133">
        <f>SUM(G18,G19,G20,G23)</f>
        <v>24121361</v>
      </c>
      <c r="H17" s="67" t="s">
        <v>192</v>
      </c>
      <c r="I17" s="134">
        <v>322672</v>
      </c>
      <c r="J17" s="134">
        <v>104400</v>
      </c>
      <c r="K17" s="13">
        <v>99905</v>
      </c>
      <c r="L17" s="135">
        <v>0.3096178162344424</v>
      </c>
      <c r="M17" s="135">
        <v>0.9569444444444445</v>
      </c>
      <c r="N17" s="13">
        <v>24122</v>
      </c>
    </row>
    <row r="18" spans="1:14" s="15" customFormat="1" ht="18" customHeight="1">
      <c r="A18" s="18" t="s">
        <v>193</v>
      </c>
      <c r="B18" s="112">
        <v>151014228</v>
      </c>
      <c r="C18" s="112">
        <v>47197701</v>
      </c>
      <c r="D18" s="112">
        <v>46233258</v>
      </c>
      <c r="E18" s="40">
        <f t="shared" si="0"/>
        <v>0.3061516693645582</v>
      </c>
      <c r="F18" s="40">
        <f t="shared" si="1"/>
        <v>0.9795658902962244</v>
      </c>
      <c r="G18" s="112">
        <f>D18-'[4]Marts'!D18</f>
        <v>10514963</v>
      </c>
      <c r="H18" s="18" t="s">
        <v>193</v>
      </c>
      <c r="I18" s="131">
        <v>151014</v>
      </c>
      <c r="J18" s="131">
        <v>47198</v>
      </c>
      <c r="K18" s="131">
        <v>46233</v>
      </c>
      <c r="L18" s="108">
        <v>0.30615042313957647</v>
      </c>
      <c r="M18" s="108">
        <v>0.9795542183990847</v>
      </c>
      <c r="N18" s="112">
        <v>10515</v>
      </c>
    </row>
    <row r="19" spans="1:14" s="15" customFormat="1" ht="24" customHeight="1">
      <c r="A19" s="77" t="s">
        <v>194</v>
      </c>
      <c r="B19" s="136" t="s">
        <v>195</v>
      </c>
      <c r="C19" s="136" t="s">
        <v>195</v>
      </c>
      <c r="D19" s="112">
        <v>12537351</v>
      </c>
      <c r="E19" s="137" t="s">
        <v>195</v>
      </c>
      <c r="F19" s="138" t="s">
        <v>195</v>
      </c>
      <c r="G19" s="112">
        <f>D19-'[4]Marts'!D19</f>
        <v>2949312</v>
      </c>
      <c r="H19" s="77" t="s">
        <v>194</v>
      </c>
      <c r="I19" s="139" t="s">
        <v>195</v>
      </c>
      <c r="J19" s="139" t="s">
        <v>195</v>
      </c>
      <c r="K19" s="131">
        <v>12537</v>
      </c>
      <c r="L19" s="137" t="s">
        <v>195</v>
      </c>
      <c r="M19" s="138" t="s">
        <v>195</v>
      </c>
      <c r="N19" s="112">
        <v>2949</v>
      </c>
    </row>
    <row r="20" spans="1:14" s="15" customFormat="1" ht="19.5" customHeight="1">
      <c r="A20" s="77" t="s">
        <v>196</v>
      </c>
      <c r="B20" s="136" t="s">
        <v>195</v>
      </c>
      <c r="C20" s="136" t="s">
        <v>195</v>
      </c>
      <c r="D20" s="112">
        <f>SUM(D21:D22)</f>
        <v>41032106</v>
      </c>
      <c r="E20" s="137" t="s">
        <v>195</v>
      </c>
      <c r="F20" s="138" t="s">
        <v>195</v>
      </c>
      <c r="G20" s="112">
        <f>SUM(G21:G22)</f>
        <v>10649583</v>
      </c>
      <c r="H20" s="77" t="s">
        <v>196</v>
      </c>
      <c r="I20" s="139" t="s">
        <v>195</v>
      </c>
      <c r="J20" s="139" t="s">
        <v>195</v>
      </c>
      <c r="K20" s="16">
        <v>41032</v>
      </c>
      <c r="L20" s="137" t="s">
        <v>195</v>
      </c>
      <c r="M20" s="138" t="s">
        <v>195</v>
      </c>
      <c r="N20" s="16">
        <v>10651</v>
      </c>
    </row>
    <row r="21" spans="1:14" s="146" customFormat="1" ht="17.25" customHeight="1">
      <c r="A21" s="78" t="s">
        <v>197</v>
      </c>
      <c r="B21" s="140" t="s">
        <v>195</v>
      </c>
      <c r="C21" s="140" t="s">
        <v>195</v>
      </c>
      <c r="D21" s="141">
        <f>15228869+22036853+14458</f>
        <v>37280180</v>
      </c>
      <c r="E21" s="142" t="s">
        <v>195</v>
      </c>
      <c r="F21" s="143" t="s">
        <v>195</v>
      </c>
      <c r="G21" s="141">
        <f>D21-'[4]Marts'!D21</f>
        <v>9248345</v>
      </c>
      <c r="H21" s="78" t="s">
        <v>198</v>
      </c>
      <c r="I21" s="144" t="s">
        <v>195</v>
      </c>
      <c r="J21" s="144" t="s">
        <v>195</v>
      </c>
      <c r="K21" s="145">
        <v>37280</v>
      </c>
      <c r="L21" s="142" t="s">
        <v>195</v>
      </c>
      <c r="M21" s="143" t="s">
        <v>195</v>
      </c>
      <c r="N21" s="141">
        <v>9248</v>
      </c>
    </row>
    <row r="22" spans="1:14" s="146" customFormat="1" ht="17.25" customHeight="1">
      <c r="A22" s="78" t="s">
        <v>199</v>
      </c>
      <c r="B22" s="140" t="s">
        <v>195</v>
      </c>
      <c r="C22" s="140" t="s">
        <v>195</v>
      </c>
      <c r="D22" s="141">
        <f>1563881+355981+19420+12559+850+1799235</f>
        <v>3751926</v>
      </c>
      <c r="E22" s="142" t="s">
        <v>195</v>
      </c>
      <c r="F22" s="143" t="s">
        <v>195</v>
      </c>
      <c r="G22" s="141">
        <f>D22-'[4]Marts'!D22</f>
        <v>1401238</v>
      </c>
      <c r="H22" s="147" t="s">
        <v>200</v>
      </c>
      <c r="I22" s="144" t="s">
        <v>195</v>
      </c>
      <c r="J22" s="144" t="s">
        <v>195</v>
      </c>
      <c r="K22" s="145">
        <v>3752</v>
      </c>
      <c r="L22" s="142" t="s">
        <v>195</v>
      </c>
      <c r="M22" s="143" t="s">
        <v>195</v>
      </c>
      <c r="N22" s="141">
        <v>1403</v>
      </c>
    </row>
    <row r="23" spans="1:14" s="15" customFormat="1" ht="20.25" customHeight="1">
      <c r="A23" s="77" t="s">
        <v>201</v>
      </c>
      <c r="B23" s="136" t="s">
        <v>195</v>
      </c>
      <c r="C23" s="136" t="s">
        <v>195</v>
      </c>
      <c r="D23" s="112">
        <v>103034</v>
      </c>
      <c r="E23" s="137" t="s">
        <v>195</v>
      </c>
      <c r="F23" s="138" t="s">
        <v>195</v>
      </c>
      <c r="G23" s="112">
        <f>D23-'[4]Marts'!D23</f>
        <v>7503</v>
      </c>
      <c r="H23" s="77" t="s">
        <v>201</v>
      </c>
      <c r="I23" s="139" t="s">
        <v>195</v>
      </c>
      <c r="J23" s="139" t="s">
        <v>195</v>
      </c>
      <c r="K23" s="131">
        <v>103</v>
      </c>
      <c r="L23" s="137" t="s">
        <v>195</v>
      </c>
      <c r="M23" s="138" t="s">
        <v>195</v>
      </c>
      <c r="N23" s="112">
        <v>7</v>
      </c>
    </row>
    <row r="24" spans="1:14" s="15" customFormat="1" ht="26.25" customHeight="1">
      <c r="A24" s="76" t="s">
        <v>202</v>
      </c>
      <c r="B24" s="133">
        <v>41515750</v>
      </c>
      <c r="C24" s="133">
        <v>11305546</v>
      </c>
      <c r="D24" s="133">
        <f>SUM(D25,D26,D27)</f>
        <v>8425017</v>
      </c>
      <c r="E24" s="39">
        <f>IF(ISERROR(D24/B24)," ",(D24/B24))</f>
        <v>0.202935440164275</v>
      </c>
      <c r="F24" s="39">
        <f>IF(ISERROR(D24/C24)," ",(D24/C24))</f>
        <v>0.7452109787532597</v>
      </c>
      <c r="G24" s="133">
        <f>SUM(G25,G26,G27)</f>
        <v>3531248</v>
      </c>
      <c r="H24" s="76" t="s">
        <v>202</v>
      </c>
      <c r="I24" s="148">
        <v>41516</v>
      </c>
      <c r="J24" s="148">
        <v>11307</v>
      </c>
      <c r="K24" s="13">
        <v>8425</v>
      </c>
      <c r="L24" s="135">
        <v>0.20293380865208593</v>
      </c>
      <c r="M24" s="135">
        <v>0.745113646413726</v>
      </c>
      <c r="N24" s="13">
        <v>3531</v>
      </c>
    </row>
    <row r="25" spans="1:14" s="15" customFormat="1" ht="16.5" customHeight="1">
      <c r="A25" s="77" t="s">
        <v>203</v>
      </c>
      <c r="B25" s="136" t="s">
        <v>195</v>
      </c>
      <c r="C25" s="136" t="s">
        <v>195</v>
      </c>
      <c r="D25" s="112">
        <v>4005416</v>
      </c>
      <c r="E25" s="137" t="s">
        <v>195</v>
      </c>
      <c r="F25" s="138" t="s">
        <v>195</v>
      </c>
      <c r="G25" s="112">
        <f>D25-'[4]Marts'!D25</f>
        <v>2745979</v>
      </c>
      <c r="H25" s="77" t="s">
        <v>203</v>
      </c>
      <c r="I25" s="139" t="s">
        <v>195</v>
      </c>
      <c r="J25" s="139" t="s">
        <v>195</v>
      </c>
      <c r="K25" s="131">
        <v>4005</v>
      </c>
      <c r="L25" s="137" t="s">
        <v>195</v>
      </c>
      <c r="M25" s="138" t="s">
        <v>195</v>
      </c>
      <c r="N25" s="112">
        <v>2746</v>
      </c>
    </row>
    <row r="26" spans="1:14" s="15" customFormat="1" ht="17.25" customHeight="1">
      <c r="A26" s="77" t="s">
        <v>204</v>
      </c>
      <c r="B26" s="136" t="s">
        <v>195</v>
      </c>
      <c r="C26" s="136" t="s">
        <v>195</v>
      </c>
      <c r="D26" s="112">
        <v>4373841</v>
      </c>
      <c r="E26" s="137" t="s">
        <v>195</v>
      </c>
      <c r="F26" s="138" t="s">
        <v>195</v>
      </c>
      <c r="G26" s="112">
        <f>D26-'[4]Marts'!D26</f>
        <v>785269</v>
      </c>
      <c r="H26" s="77" t="s">
        <v>204</v>
      </c>
      <c r="I26" s="139" t="s">
        <v>195</v>
      </c>
      <c r="J26" s="139" t="s">
        <v>195</v>
      </c>
      <c r="K26" s="131">
        <v>4374</v>
      </c>
      <c r="L26" s="137" t="s">
        <v>195</v>
      </c>
      <c r="M26" s="138" t="s">
        <v>195</v>
      </c>
      <c r="N26" s="112">
        <v>785</v>
      </c>
    </row>
    <row r="27" spans="1:14" s="15" customFormat="1" ht="24" customHeight="1">
      <c r="A27" s="77" t="s">
        <v>205</v>
      </c>
      <c r="B27" s="136" t="s">
        <v>195</v>
      </c>
      <c r="C27" s="136" t="s">
        <v>195</v>
      </c>
      <c r="D27" s="112">
        <v>45760</v>
      </c>
      <c r="E27" s="137" t="s">
        <v>195</v>
      </c>
      <c r="F27" s="138" t="s">
        <v>195</v>
      </c>
      <c r="G27" s="112">
        <f>D27-'[4]Marts'!D27</f>
        <v>0</v>
      </c>
      <c r="H27" s="77" t="s">
        <v>205</v>
      </c>
      <c r="I27" s="139" t="s">
        <v>195</v>
      </c>
      <c r="J27" s="139" t="s">
        <v>195</v>
      </c>
      <c r="K27" s="131">
        <v>46</v>
      </c>
      <c r="L27" s="137" t="s">
        <v>195</v>
      </c>
      <c r="M27" s="138" t="s">
        <v>195</v>
      </c>
      <c r="N27" s="112">
        <v>0</v>
      </c>
    </row>
    <row r="28" spans="1:14" s="15" customFormat="1" ht="23.25" customHeight="1">
      <c r="A28" s="149" t="s">
        <v>206</v>
      </c>
      <c r="B28" s="133">
        <v>289137776</v>
      </c>
      <c r="C28" s="133">
        <v>93691867</v>
      </c>
      <c r="D28" s="133">
        <f>SUM(D29,D30,D31,D32,D35,D40)</f>
        <v>93905339</v>
      </c>
      <c r="E28" s="39">
        <f>IF(ISERROR(D28/B28)," ",(D28/B28))</f>
        <v>0.3247771366962441</v>
      </c>
      <c r="F28" s="39">
        <f>IF(ISERROR(D28/C28)," ",(D28/C28))</f>
        <v>1.0022784474985433</v>
      </c>
      <c r="G28" s="133">
        <f>SUM(G29,G30,G31,G32,G35,G40)</f>
        <v>33665760</v>
      </c>
      <c r="H28" s="149" t="s">
        <v>206</v>
      </c>
      <c r="I28" s="148">
        <v>289138</v>
      </c>
      <c r="J28" s="148">
        <v>93692</v>
      </c>
      <c r="K28" s="13">
        <v>93906</v>
      </c>
      <c r="L28" s="135">
        <v>0.3247791711916109</v>
      </c>
      <c r="M28" s="135">
        <v>1.0022840797506725</v>
      </c>
      <c r="N28" s="13">
        <v>33666</v>
      </c>
    </row>
    <row r="29" spans="1:14" s="15" customFormat="1" ht="12.75">
      <c r="A29" s="18" t="s">
        <v>207</v>
      </c>
      <c r="B29" s="136" t="s">
        <v>195</v>
      </c>
      <c r="C29" s="136" t="s">
        <v>195</v>
      </c>
      <c r="D29" s="112">
        <f>5275409+6241</f>
        <v>5281650</v>
      </c>
      <c r="E29" s="137" t="s">
        <v>195</v>
      </c>
      <c r="F29" s="138" t="s">
        <v>195</v>
      </c>
      <c r="G29" s="112">
        <f>D29-'[4]Marts'!D29</f>
        <v>1799566</v>
      </c>
      <c r="H29" s="18" t="s">
        <v>207</v>
      </c>
      <c r="I29" s="139" t="s">
        <v>195</v>
      </c>
      <c r="J29" s="139" t="s">
        <v>195</v>
      </c>
      <c r="K29" s="150">
        <v>5282</v>
      </c>
      <c r="L29" s="137" t="s">
        <v>195</v>
      </c>
      <c r="M29" s="138" t="s">
        <v>195</v>
      </c>
      <c r="N29" s="112">
        <v>1800</v>
      </c>
    </row>
    <row r="30" spans="1:14" s="15" customFormat="1" ht="15.75" customHeight="1">
      <c r="A30" s="77" t="s">
        <v>208</v>
      </c>
      <c r="B30" s="136" t="s">
        <v>195</v>
      </c>
      <c r="C30" s="136" t="s">
        <v>195</v>
      </c>
      <c r="D30" s="112">
        <v>27846863</v>
      </c>
      <c r="E30" s="137" t="s">
        <v>195</v>
      </c>
      <c r="F30" s="138" t="s">
        <v>195</v>
      </c>
      <c r="G30" s="112">
        <f>D30-'[4]Marts'!D30</f>
        <v>7083704</v>
      </c>
      <c r="H30" s="77" t="s">
        <v>208</v>
      </c>
      <c r="I30" s="139" t="s">
        <v>195</v>
      </c>
      <c r="J30" s="139" t="s">
        <v>195</v>
      </c>
      <c r="K30" s="131">
        <v>27847</v>
      </c>
      <c r="L30" s="137" t="s">
        <v>195</v>
      </c>
      <c r="M30" s="138" t="s">
        <v>195</v>
      </c>
      <c r="N30" s="112">
        <v>7084</v>
      </c>
    </row>
    <row r="31" spans="1:14" s="15" customFormat="1" ht="16.5" customHeight="1">
      <c r="A31" s="77" t="s">
        <v>209</v>
      </c>
      <c r="B31" s="136" t="s">
        <v>195</v>
      </c>
      <c r="C31" s="136" t="s">
        <v>195</v>
      </c>
      <c r="D31" s="112">
        <v>2034338</v>
      </c>
      <c r="E31" s="137" t="s">
        <v>195</v>
      </c>
      <c r="F31" s="138" t="s">
        <v>195</v>
      </c>
      <c r="G31" s="112">
        <f>D31-'[4]Marts'!D31</f>
        <v>1358588</v>
      </c>
      <c r="H31" s="77" t="s">
        <v>209</v>
      </c>
      <c r="I31" s="139" t="s">
        <v>195</v>
      </c>
      <c r="J31" s="139" t="s">
        <v>195</v>
      </c>
      <c r="K31" s="131">
        <v>2034</v>
      </c>
      <c r="L31" s="137" t="s">
        <v>195</v>
      </c>
      <c r="M31" s="138" t="s">
        <v>195</v>
      </c>
      <c r="N31" s="112">
        <v>1358</v>
      </c>
    </row>
    <row r="32" spans="1:14" s="15" customFormat="1" ht="15" customHeight="1">
      <c r="A32" s="77" t="s">
        <v>210</v>
      </c>
      <c r="B32" s="136" t="s">
        <v>195</v>
      </c>
      <c r="C32" s="136" t="s">
        <v>195</v>
      </c>
      <c r="D32" s="112">
        <f>SUM(D33,D34)</f>
        <v>31478202</v>
      </c>
      <c r="E32" s="137" t="s">
        <v>195</v>
      </c>
      <c r="F32" s="138" t="s">
        <v>195</v>
      </c>
      <c r="G32" s="112">
        <f>SUM(G33,G34)</f>
        <v>16460027</v>
      </c>
      <c r="H32" s="77" t="s">
        <v>210</v>
      </c>
      <c r="I32" s="139" t="s">
        <v>195</v>
      </c>
      <c r="J32" s="139" t="s">
        <v>195</v>
      </c>
      <c r="K32" s="151">
        <v>31479</v>
      </c>
      <c r="L32" s="137" t="s">
        <v>195</v>
      </c>
      <c r="M32" s="138" t="s">
        <v>195</v>
      </c>
      <c r="N32" s="16">
        <v>16461</v>
      </c>
    </row>
    <row r="33" spans="1:14" s="152" customFormat="1" ht="16.5" customHeight="1">
      <c r="A33" s="78" t="s">
        <v>211</v>
      </c>
      <c r="B33" s="140" t="s">
        <v>195</v>
      </c>
      <c r="C33" s="140" t="s">
        <v>195</v>
      </c>
      <c r="D33" s="141">
        <f>17520810+434+600000</f>
        <v>18121244</v>
      </c>
      <c r="E33" s="142" t="s">
        <v>195</v>
      </c>
      <c r="F33" s="143" t="s">
        <v>195</v>
      </c>
      <c r="G33" s="141">
        <f>D33-'[4]Marts'!D33</f>
        <v>12393077</v>
      </c>
      <c r="H33" s="147" t="s">
        <v>212</v>
      </c>
      <c r="I33" s="144" t="s">
        <v>195</v>
      </c>
      <c r="J33" s="144" t="s">
        <v>195</v>
      </c>
      <c r="K33" s="145">
        <v>18121</v>
      </c>
      <c r="L33" s="142" t="s">
        <v>195</v>
      </c>
      <c r="M33" s="143" t="s">
        <v>195</v>
      </c>
      <c r="N33" s="141">
        <v>12393</v>
      </c>
    </row>
    <row r="34" spans="1:14" s="152" customFormat="1" ht="15" customHeight="1">
      <c r="A34" s="78" t="s">
        <v>213</v>
      </c>
      <c r="B34" s="140" t="s">
        <v>195</v>
      </c>
      <c r="C34" s="140" t="s">
        <v>195</v>
      </c>
      <c r="D34" s="141">
        <f>31477768-17520810-600000</f>
        <v>13356958</v>
      </c>
      <c r="E34" s="142" t="s">
        <v>195</v>
      </c>
      <c r="F34" s="143" t="s">
        <v>195</v>
      </c>
      <c r="G34" s="141">
        <f>D34-'[4]Marts'!D34</f>
        <v>4066950</v>
      </c>
      <c r="H34" s="78" t="s">
        <v>214</v>
      </c>
      <c r="I34" s="144" t="s">
        <v>195</v>
      </c>
      <c r="J34" s="144" t="s">
        <v>195</v>
      </c>
      <c r="K34" s="145">
        <v>13358</v>
      </c>
      <c r="L34" s="142" t="s">
        <v>195</v>
      </c>
      <c r="M34" s="143" t="s">
        <v>195</v>
      </c>
      <c r="N34" s="141">
        <v>4068</v>
      </c>
    </row>
    <row r="35" spans="1:14" ht="15" customHeight="1">
      <c r="A35" s="77" t="s">
        <v>215</v>
      </c>
      <c r="B35" s="136" t="s">
        <v>195</v>
      </c>
      <c r="C35" s="136" t="s">
        <v>195</v>
      </c>
      <c r="D35" s="112">
        <f>SUM(D36,D37,D38,D39)</f>
        <v>25852179</v>
      </c>
      <c r="E35" s="137" t="s">
        <v>195</v>
      </c>
      <c r="F35" s="138" t="s">
        <v>195</v>
      </c>
      <c r="G35" s="112">
        <f>SUM(G36,G37,G38,G39)</f>
        <v>6581559</v>
      </c>
      <c r="H35" s="77" t="s">
        <v>215</v>
      </c>
      <c r="I35" s="139" t="s">
        <v>195</v>
      </c>
      <c r="J35" s="139" t="s">
        <v>195</v>
      </c>
      <c r="K35" s="151">
        <v>25852</v>
      </c>
      <c r="L35" s="137" t="s">
        <v>195</v>
      </c>
      <c r="M35" s="138" t="s">
        <v>195</v>
      </c>
      <c r="N35" s="16">
        <v>6581</v>
      </c>
    </row>
    <row r="36" spans="1:14" s="153" customFormat="1" ht="15" customHeight="1">
      <c r="A36" s="147" t="s">
        <v>216</v>
      </c>
      <c r="B36" s="140" t="s">
        <v>195</v>
      </c>
      <c r="C36" s="140" t="s">
        <v>195</v>
      </c>
      <c r="D36" s="141">
        <f>60782+4988+83019</f>
        <v>148789</v>
      </c>
      <c r="E36" s="142" t="s">
        <v>195</v>
      </c>
      <c r="F36" s="143" t="s">
        <v>195</v>
      </c>
      <c r="G36" s="141">
        <f>D36-'[4]Marts'!D36</f>
        <v>61566</v>
      </c>
      <c r="H36" s="147" t="s">
        <v>217</v>
      </c>
      <c r="I36" s="144" t="s">
        <v>195</v>
      </c>
      <c r="J36" s="144" t="s">
        <v>195</v>
      </c>
      <c r="K36" s="145">
        <v>149</v>
      </c>
      <c r="L36" s="142" t="s">
        <v>195</v>
      </c>
      <c r="M36" s="143" t="s">
        <v>195</v>
      </c>
      <c r="N36" s="141">
        <v>62</v>
      </c>
    </row>
    <row r="37" spans="1:14" s="153" customFormat="1" ht="15" customHeight="1">
      <c r="A37" s="78" t="s">
        <v>218</v>
      </c>
      <c r="B37" s="140" t="s">
        <v>195</v>
      </c>
      <c r="C37" s="140" t="s">
        <v>195</v>
      </c>
      <c r="D37" s="141">
        <f>3358456+10464594+1041459+1120392+1487484+1344735+2868794</f>
        <v>21685914</v>
      </c>
      <c r="E37" s="142" t="s">
        <v>195</v>
      </c>
      <c r="F37" s="143" t="s">
        <v>195</v>
      </c>
      <c r="G37" s="141">
        <f>D37-'[4]Marts'!D37</f>
        <v>5428228</v>
      </c>
      <c r="H37" s="78" t="s">
        <v>219</v>
      </c>
      <c r="I37" s="144" t="s">
        <v>195</v>
      </c>
      <c r="J37" s="144" t="s">
        <v>195</v>
      </c>
      <c r="K37" s="145">
        <v>21686</v>
      </c>
      <c r="L37" s="142" t="s">
        <v>195</v>
      </c>
      <c r="M37" s="143" t="s">
        <v>195</v>
      </c>
      <c r="N37" s="141">
        <v>5428</v>
      </c>
    </row>
    <row r="38" spans="1:14" s="153" customFormat="1" ht="15" customHeight="1">
      <c r="A38" s="78" t="s">
        <v>220</v>
      </c>
      <c r="B38" s="140" t="s">
        <v>195</v>
      </c>
      <c r="C38" s="140" t="s">
        <v>195</v>
      </c>
      <c r="D38" s="141">
        <f>2308268+8-213+1</f>
        <v>2308064</v>
      </c>
      <c r="E38" s="142" t="s">
        <v>195</v>
      </c>
      <c r="F38" s="143" t="s">
        <v>195</v>
      </c>
      <c r="G38" s="141">
        <f>D38-'[4]Marts'!D38</f>
        <v>604509</v>
      </c>
      <c r="H38" s="78" t="s">
        <v>221</v>
      </c>
      <c r="I38" s="144" t="s">
        <v>195</v>
      </c>
      <c r="J38" s="144" t="s">
        <v>195</v>
      </c>
      <c r="K38" s="145">
        <v>2308</v>
      </c>
      <c r="L38" s="142" t="s">
        <v>195</v>
      </c>
      <c r="M38" s="143" t="s">
        <v>195</v>
      </c>
      <c r="N38" s="141">
        <v>604</v>
      </c>
    </row>
    <row r="39" spans="1:14" s="153" customFormat="1" ht="15" customHeight="1">
      <c r="A39" s="78" t="s">
        <v>222</v>
      </c>
      <c r="B39" s="140" t="s">
        <v>195</v>
      </c>
      <c r="C39" s="140" t="s">
        <v>195</v>
      </c>
      <c r="D39" s="141">
        <f>9052+973720+100768+625872</f>
        <v>1709412</v>
      </c>
      <c r="E39" s="142" t="s">
        <v>195</v>
      </c>
      <c r="F39" s="143" t="s">
        <v>195</v>
      </c>
      <c r="G39" s="141">
        <f>D39-'[4]Marts'!D39</f>
        <v>487256</v>
      </c>
      <c r="H39" s="78" t="s">
        <v>223</v>
      </c>
      <c r="I39" s="144" t="s">
        <v>195</v>
      </c>
      <c r="J39" s="144" t="s">
        <v>195</v>
      </c>
      <c r="K39" s="145">
        <v>1709</v>
      </c>
      <c r="L39" s="142" t="s">
        <v>195</v>
      </c>
      <c r="M39" s="143" t="s">
        <v>195</v>
      </c>
      <c r="N39" s="141">
        <v>487</v>
      </c>
    </row>
    <row r="40" spans="1:14" ht="18.75" customHeight="1">
      <c r="A40" s="77" t="s">
        <v>224</v>
      </c>
      <c r="B40" s="112">
        <v>4684688</v>
      </c>
      <c r="C40" s="112">
        <v>2426957</v>
      </c>
      <c r="D40" s="112">
        <v>1412107</v>
      </c>
      <c r="E40" s="39">
        <f>IF(ISERROR(D40/B40)," ",(D40/B40))</f>
        <v>0.30143031937238934</v>
      </c>
      <c r="F40" s="39">
        <f>IF(ISERROR(D40/C40)," ",(D40/C40))</f>
        <v>0.5818426119622226</v>
      </c>
      <c r="G40" s="112">
        <f>D40-'[4]Marts'!D40</f>
        <v>382316</v>
      </c>
      <c r="H40" s="77" t="s">
        <v>224</v>
      </c>
      <c r="I40" s="154">
        <v>4685</v>
      </c>
      <c r="J40" s="154">
        <v>2427</v>
      </c>
      <c r="K40" s="131">
        <v>1412</v>
      </c>
      <c r="L40" s="108">
        <v>0.3013874066168623</v>
      </c>
      <c r="M40" s="108">
        <v>0.5817882159044088</v>
      </c>
      <c r="N40" s="112">
        <v>382</v>
      </c>
    </row>
    <row r="41" spans="1:14" ht="27" customHeight="1">
      <c r="A41" s="155" t="s">
        <v>225</v>
      </c>
      <c r="B41" s="109">
        <f>SUM(B42:B43)</f>
        <v>67593468</v>
      </c>
      <c r="C41" s="109">
        <f>SUM(C42:C43)</f>
        <v>13043823</v>
      </c>
      <c r="D41" s="109">
        <f>SUM(D42:D43)</f>
        <v>9802851</v>
      </c>
      <c r="E41" s="39">
        <f>IF(ISERROR(D41/B41)," ",(D41/B41))</f>
        <v>0.14502660227464584</v>
      </c>
      <c r="F41" s="39">
        <f>IF(ISERROR(D41/C41)," ",(D41/C41))</f>
        <v>0.7515320470079976</v>
      </c>
      <c r="G41" s="109">
        <f>SUM(G42:G43)</f>
        <v>5551310</v>
      </c>
      <c r="H41" s="155" t="s">
        <v>225</v>
      </c>
      <c r="I41" s="10">
        <v>67593</v>
      </c>
      <c r="J41" s="10">
        <v>13044</v>
      </c>
      <c r="K41" s="10">
        <v>9803</v>
      </c>
      <c r="L41" s="111">
        <v>0.1450298107792227</v>
      </c>
      <c r="M41" s="111">
        <v>0.7515332720024532</v>
      </c>
      <c r="N41" s="10">
        <v>5551</v>
      </c>
    </row>
    <row r="42" spans="1:14" ht="24" customHeight="1">
      <c r="A42" s="156" t="s">
        <v>226</v>
      </c>
      <c r="B42" s="112">
        <v>14847167</v>
      </c>
      <c r="C42" s="112">
        <v>3323271</v>
      </c>
      <c r="D42" s="112">
        <f>1486581+11574+88728+499713+8736</f>
        <v>2095332</v>
      </c>
      <c r="E42" s="39">
        <f>IF(ISERROR(D42/B42)," ",(D42/B42))</f>
        <v>0.14112672134690746</v>
      </c>
      <c r="F42" s="39">
        <f>IF(ISERROR(D42/C42)," ",(D42/C42))</f>
        <v>0.6305028991015178</v>
      </c>
      <c r="G42" s="112">
        <f>D42-'[4]Marts'!D42</f>
        <v>1246929</v>
      </c>
      <c r="H42" s="156" t="s">
        <v>226</v>
      </c>
      <c r="I42" s="157">
        <v>14847</v>
      </c>
      <c r="J42" s="157">
        <v>3323</v>
      </c>
      <c r="K42" s="131">
        <v>2095</v>
      </c>
      <c r="L42" s="108">
        <v>0.14110594732942683</v>
      </c>
      <c r="M42" s="108">
        <v>0.6304544086668673</v>
      </c>
      <c r="N42" s="112">
        <v>1246</v>
      </c>
    </row>
    <row r="43" spans="1:14" ht="19.5" customHeight="1">
      <c r="A43" s="77" t="s">
        <v>227</v>
      </c>
      <c r="B43" s="112">
        <v>52746301</v>
      </c>
      <c r="C43" s="112">
        <v>9720552</v>
      </c>
      <c r="D43" s="141">
        <v>7707519</v>
      </c>
      <c r="E43" s="39">
        <f>IF(ISERROR(D43/B43)," ",(D43/B43))</f>
        <v>0.14612435097581536</v>
      </c>
      <c r="F43" s="39">
        <f>IF(ISERROR(D43/C43)," ",(D43/C43))</f>
        <v>0.7929096001955445</v>
      </c>
      <c r="G43" s="112">
        <f>D43-'[4]Marts'!D43</f>
        <v>4304381</v>
      </c>
      <c r="H43" s="77" t="s">
        <v>227</v>
      </c>
      <c r="I43" s="157">
        <v>52746</v>
      </c>
      <c r="J43" s="157">
        <v>9721</v>
      </c>
      <c r="K43" s="131">
        <v>7708</v>
      </c>
      <c r="L43" s="108">
        <v>0.14613430402305388</v>
      </c>
      <c r="M43" s="108">
        <v>0.7929225388334533</v>
      </c>
      <c r="N43" s="112">
        <v>4305</v>
      </c>
    </row>
    <row r="44" spans="1:14" ht="30" customHeight="1">
      <c r="A44" s="28" t="s">
        <v>228</v>
      </c>
      <c r="B44" s="136" t="s">
        <v>195</v>
      </c>
      <c r="C44" s="136" t="s">
        <v>195</v>
      </c>
      <c r="D44" s="109">
        <f>SUM(D45-D46)</f>
        <v>15485464</v>
      </c>
      <c r="E44" s="137" t="s">
        <v>195</v>
      </c>
      <c r="F44" s="138" t="s">
        <v>195</v>
      </c>
      <c r="G44" s="109">
        <f>SUM(G45-G46)</f>
        <v>2733970</v>
      </c>
      <c r="H44" s="28" t="s">
        <v>228</v>
      </c>
      <c r="I44" s="139" t="s">
        <v>195</v>
      </c>
      <c r="J44" s="139" t="s">
        <v>195</v>
      </c>
      <c r="K44" s="10">
        <v>15485</v>
      </c>
      <c r="L44" s="137" t="s">
        <v>195</v>
      </c>
      <c r="M44" s="138" t="s">
        <v>195</v>
      </c>
      <c r="N44" s="10">
        <v>2733</v>
      </c>
    </row>
    <row r="45" spans="1:14" ht="18.75" customHeight="1">
      <c r="A45" s="18" t="s">
        <v>229</v>
      </c>
      <c r="B45" s="112">
        <v>115425226</v>
      </c>
      <c r="C45" s="136" t="s">
        <v>195</v>
      </c>
      <c r="D45" s="158">
        <v>40287722</v>
      </c>
      <c r="E45" s="39"/>
      <c r="F45" s="39"/>
      <c r="G45" s="112">
        <f>D45-'[4]Marts'!D45</f>
        <v>4119023</v>
      </c>
      <c r="H45" s="18" t="s">
        <v>229</v>
      </c>
      <c r="I45" s="157">
        <v>115425</v>
      </c>
      <c r="J45" s="159" t="s">
        <v>195</v>
      </c>
      <c r="K45" s="131">
        <v>40287</v>
      </c>
      <c r="L45" s="137" t="s">
        <v>195</v>
      </c>
      <c r="M45" s="137" t="s">
        <v>195</v>
      </c>
      <c r="N45" s="112">
        <v>4118</v>
      </c>
    </row>
    <row r="46" spans="1:14" ht="22.5" customHeight="1">
      <c r="A46" s="114" t="s">
        <v>230</v>
      </c>
      <c r="B46" s="112">
        <v>19133003</v>
      </c>
      <c r="C46" s="136" t="s">
        <v>195</v>
      </c>
      <c r="D46" s="112">
        <v>24802258</v>
      </c>
      <c r="E46" s="39"/>
      <c r="F46" s="39"/>
      <c r="G46" s="112">
        <f>D46-'[4]Marts'!D46</f>
        <v>1385053</v>
      </c>
      <c r="H46" s="114" t="s">
        <v>230</v>
      </c>
      <c r="I46" s="157">
        <v>19133</v>
      </c>
      <c r="J46" s="159" t="s">
        <v>195</v>
      </c>
      <c r="K46" s="131">
        <v>24802</v>
      </c>
      <c r="L46" s="137" t="s">
        <v>195</v>
      </c>
      <c r="M46" s="137" t="s">
        <v>195</v>
      </c>
      <c r="N46" s="112">
        <v>1385</v>
      </c>
    </row>
    <row r="47" spans="1:14" s="15" customFormat="1" ht="19.5" customHeight="1">
      <c r="A47" s="83" t="s">
        <v>231</v>
      </c>
      <c r="B47" s="112">
        <v>-96292223</v>
      </c>
      <c r="C47" s="136" t="s">
        <v>195</v>
      </c>
      <c r="D47" s="109">
        <f>SUM(D11-D15-D44)</f>
        <v>-11451573</v>
      </c>
      <c r="E47" s="39">
        <f>IF(ISERROR(D47/B47)," ",(D47/B47))</f>
        <v>0.11892521164455826</v>
      </c>
      <c r="F47" s="138" t="s">
        <v>195</v>
      </c>
      <c r="G47" s="109">
        <f>SUM(G11-G15-G44)</f>
        <v>-8166823</v>
      </c>
      <c r="H47" s="83" t="s">
        <v>231</v>
      </c>
      <c r="I47" s="128">
        <v>-96292</v>
      </c>
      <c r="J47" s="139" t="s">
        <v>195</v>
      </c>
      <c r="K47" s="10">
        <v>-11451</v>
      </c>
      <c r="L47" s="111">
        <v>0.11891953641008599</v>
      </c>
      <c r="M47" s="138" t="s">
        <v>195</v>
      </c>
      <c r="N47" s="10">
        <v>-8167</v>
      </c>
    </row>
    <row r="48" spans="1:14" ht="12.75" customHeight="1">
      <c r="A48" s="50"/>
      <c r="B48" s="100"/>
      <c r="C48" s="100"/>
      <c r="D48" s="100"/>
      <c r="E48" s="160"/>
      <c r="F48" s="124"/>
      <c r="G48" s="37"/>
      <c r="H48" s="50"/>
      <c r="I48" s="100"/>
      <c r="J48" s="100"/>
      <c r="K48" s="100"/>
      <c r="L48" s="160"/>
      <c r="M48" s="124"/>
      <c r="N48" s="37"/>
    </row>
    <row r="49" spans="1:14" ht="0.75" customHeight="1" hidden="1">
      <c r="A49" s="43"/>
      <c r="B49" s="91"/>
      <c r="C49" s="91"/>
      <c r="D49" s="91"/>
      <c r="E49" s="120"/>
      <c r="F49" s="161"/>
      <c r="G49" s="37"/>
      <c r="H49" s="43"/>
      <c r="I49" s="91"/>
      <c r="J49" s="91"/>
      <c r="K49" s="91"/>
      <c r="L49" s="120"/>
      <c r="M49" s="161"/>
      <c r="N49" s="37"/>
    </row>
    <row r="50" spans="1:14" ht="12.75">
      <c r="A50" s="6"/>
      <c r="B50" s="96"/>
      <c r="C50" s="122"/>
      <c r="D50" s="94"/>
      <c r="E50" s="6"/>
      <c r="F50" s="126"/>
      <c r="G50" s="37"/>
      <c r="H50" s="6"/>
      <c r="I50" s="96"/>
      <c r="J50" s="122"/>
      <c r="K50" s="94"/>
      <c r="L50" s="6"/>
      <c r="M50" s="126"/>
      <c r="N50" s="37"/>
    </row>
    <row r="51" spans="1:14" ht="12.75">
      <c r="A51" s="35" t="s">
        <v>232</v>
      </c>
      <c r="B51" s="6"/>
      <c r="C51" s="6"/>
      <c r="D51" s="6"/>
      <c r="E51" s="6"/>
      <c r="F51" s="6"/>
      <c r="G51" s="37"/>
      <c r="I51" s="6"/>
      <c r="J51" s="6"/>
      <c r="K51" s="6"/>
      <c r="L51" s="6"/>
      <c r="M51" s="6"/>
      <c r="N51" s="37"/>
    </row>
    <row r="52" spans="1:14" ht="12.75">
      <c r="A52" s="6"/>
      <c r="B52" s="37"/>
      <c r="C52" s="37"/>
      <c r="D52" s="37"/>
      <c r="E52" s="37"/>
      <c r="F52" s="37"/>
      <c r="G52" s="37"/>
      <c r="I52" s="37"/>
      <c r="J52" s="37"/>
      <c r="K52" s="37"/>
      <c r="L52" s="37"/>
      <c r="M52" s="37"/>
      <c r="N52" s="37"/>
    </row>
    <row r="53" spans="1:14" ht="12.75">
      <c r="A53" s="37"/>
      <c r="B53" s="37"/>
      <c r="C53" s="37"/>
      <c r="D53" s="37"/>
      <c r="E53" s="37"/>
      <c r="F53" s="37"/>
      <c r="G53" s="37"/>
      <c r="I53" s="37"/>
      <c r="J53" s="37"/>
      <c r="K53" s="37"/>
      <c r="L53" s="37"/>
      <c r="M53" s="37"/>
      <c r="N53" s="37"/>
    </row>
    <row r="54" spans="1:14" ht="12.75">
      <c r="A54" s="37" t="s">
        <v>89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2.75">
      <c r="A55" s="37" t="s">
        <v>133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7:14" ht="12.75">
      <c r="G58" s="37"/>
      <c r="N58" s="37"/>
    </row>
    <row r="59" ht="12.75">
      <c r="G59" s="37"/>
    </row>
    <row r="60" ht="12.75">
      <c r="G60" s="37"/>
    </row>
    <row r="61" ht="12.75">
      <c r="G61" s="37"/>
    </row>
    <row r="62" ht="12.75">
      <c r="G62" s="37"/>
    </row>
    <row r="63" ht="12.75">
      <c r="G63" s="37"/>
    </row>
    <row r="64" ht="12.75">
      <c r="G64" s="37"/>
    </row>
    <row r="65" spans="1:7" ht="12.75">
      <c r="A65" s="37"/>
      <c r="B65" s="37"/>
      <c r="C65" s="37"/>
      <c r="D65" s="37"/>
      <c r="E65" s="37"/>
      <c r="F65" s="37"/>
      <c r="G65" s="37"/>
    </row>
    <row r="66" spans="1:7" ht="12.75">
      <c r="A66" s="37"/>
      <c r="B66" s="37"/>
      <c r="C66" s="37"/>
      <c r="D66" s="37"/>
      <c r="E66" s="37"/>
      <c r="F66" s="37"/>
      <c r="G66" s="37"/>
    </row>
    <row r="67" spans="1:7" ht="12.75">
      <c r="A67" s="37"/>
      <c r="B67" s="37"/>
      <c r="C67" s="37"/>
      <c r="D67" s="37"/>
      <c r="E67" s="37"/>
      <c r="F67" s="37"/>
      <c r="G67" s="37"/>
    </row>
    <row r="68" spans="1:8" ht="12.75">
      <c r="A68" s="37"/>
      <c r="B68" s="37"/>
      <c r="C68" s="37"/>
      <c r="D68" s="37"/>
      <c r="E68" s="37"/>
      <c r="F68" s="37"/>
      <c r="G68" s="37"/>
      <c r="H68" s="35" t="s">
        <v>233</v>
      </c>
    </row>
    <row r="69" spans="1:8" ht="12.75">
      <c r="A69" s="37"/>
      <c r="B69" s="37"/>
      <c r="C69" s="37"/>
      <c r="D69" s="37"/>
      <c r="E69" s="37"/>
      <c r="F69" s="37"/>
      <c r="G69" s="37"/>
      <c r="H69" s="6"/>
    </row>
    <row r="70" spans="1:8" ht="12.75">
      <c r="A70" s="37"/>
      <c r="B70" s="37"/>
      <c r="C70" s="37"/>
      <c r="D70" s="37"/>
      <c r="E70" s="37"/>
      <c r="F70" s="37"/>
      <c r="G70" s="37"/>
      <c r="H70" s="37"/>
    </row>
    <row r="71" spans="1:8" ht="12.75">
      <c r="A71" s="37"/>
      <c r="B71" s="37"/>
      <c r="C71" s="37"/>
      <c r="D71" s="37"/>
      <c r="E71" s="37"/>
      <c r="F71" s="37"/>
      <c r="G71" s="37"/>
      <c r="H71" s="37" t="s">
        <v>89</v>
      </c>
    </row>
    <row r="72" spans="1:8" ht="12.75">
      <c r="A72" s="37"/>
      <c r="B72" s="37"/>
      <c r="C72" s="37"/>
      <c r="D72" s="37"/>
      <c r="E72" s="37"/>
      <c r="F72" s="37"/>
      <c r="G72" s="37"/>
      <c r="H72" s="37" t="s">
        <v>91</v>
      </c>
    </row>
    <row r="73" spans="1:7" ht="12.75">
      <c r="A73" s="37"/>
      <c r="B73" s="37"/>
      <c r="C73" s="37"/>
      <c r="D73" s="37"/>
      <c r="E73" s="37"/>
      <c r="F73" s="37"/>
      <c r="G73" s="37"/>
    </row>
    <row r="74" spans="1:7" ht="12.75">
      <c r="A74" s="37"/>
      <c r="B74" s="37"/>
      <c r="C74" s="37"/>
      <c r="D74" s="37"/>
      <c r="E74" s="37"/>
      <c r="F74" s="37"/>
      <c r="G74" s="37"/>
    </row>
    <row r="75" spans="1:7" ht="12.75">
      <c r="A75" s="37"/>
      <c r="B75" s="37"/>
      <c r="C75" s="37"/>
      <c r="D75" s="37"/>
      <c r="E75" s="37"/>
      <c r="F75" s="37"/>
      <c r="G75" s="37"/>
    </row>
    <row r="76" spans="1:7" ht="12.75">
      <c r="A76" s="37"/>
      <c r="B76" s="37"/>
      <c r="C76" s="37"/>
      <c r="D76" s="37"/>
      <c r="E76" s="37"/>
      <c r="F76" s="37"/>
      <c r="G76" s="37"/>
    </row>
    <row r="77" spans="1:7" ht="12.75">
      <c r="A77" s="37"/>
      <c r="B77" s="37"/>
      <c r="C77" s="37"/>
      <c r="D77" s="37"/>
      <c r="E77" s="37"/>
      <c r="F77" s="37"/>
      <c r="G77" s="37"/>
    </row>
    <row r="78" spans="1:7" ht="12.75">
      <c r="A78" s="37"/>
      <c r="B78" s="37"/>
      <c r="C78" s="37"/>
      <c r="D78" s="37"/>
      <c r="E78" s="37"/>
      <c r="F78" s="37"/>
      <c r="G78" s="37"/>
    </row>
    <row r="79" spans="1:7" ht="12.75">
      <c r="A79" s="37"/>
      <c r="B79" s="37"/>
      <c r="C79" s="37"/>
      <c r="D79" s="37"/>
      <c r="E79" s="37"/>
      <c r="F79" s="37"/>
      <c r="G79" s="37"/>
    </row>
    <row r="80" spans="1:7" ht="12.75">
      <c r="A80" s="37"/>
      <c r="B80" s="37"/>
      <c r="C80" s="37"/>
      <c r="D80" s="37"/>
      <c r="E80" s="37"/>
      <c r="F80" s="37"/>
      <c r="G80" s="37"/>
    </row>
    <row r="81" spans="1:7" ht="12.75">
      <c r="A81" s="37"/>
      <c r="B81" s="37"/>
      <c r="C81" s="37"/>
      <c r="D81" s="37"/>
      <c r="E81" s="37"/>
      <c r="F81" s="37"/>
      <c r="G81" s="37"/>
    </row>
    <row r="82" spans="1:7" ht="12.75">
      <c r="A82" s="37"/>
      <c r="B82" s="37"/>
      <c r="C82" s="37"/>
      <c r="D82" s="37"/>
      <c r="E82" s="37"/>
      <c r="F82" s="37"/>
      <c r="G82" s="37"/>
    </row>
    <row r="83" spans="1:7" ht="12.75">
      <c r="A83" s="37"/>
      <c r="B83" s="37"/>
      <c r="C83" s="37"/>
      <c r="D83" s="37"/>
      <c r="E83" s="37"/>
      <c r="F83" s="37"/>
      <c r="G83" s="37"/>
    </row>
    <row r="84" spans="1:7" ht="12.75">
      <c r="A84" s="37"/>
      <c r="B84" s="37"/>
      <c r="C84" s="37"/>
      <c r="D84" s="37"/>
      <c r="E84" s="37"/>
      <c r="F84" s="37"/>
      <c r="G84" s="37"/>
    </row>
    <row r="85" spans="1:7" ht="12.75">
      <c r="A85" s="37"/>
      <c r="B85" s="37"/>
      <c r="C85" s="37"/>
      <c r="D85" s="37"/>
      <c r="E85" s="37"/>
      <c r="F85" s="37"/>
      <c r="G85" s="37"/>
    </row>
    <row r="86" spans="1:7" ht="12.75">
      <c r="A86" s="37"/>
      <c r="B86" s="37"/>
      <c r="C86" s="37"/>
      <c r="D86" s="37"/>
      <c r="E86" s="37"/>
      <c r="F86" s="37"/>
      <c r="G86" s="37"/>
    </row>
    <row r="87" spans="1:7" ht="12.75">
      <c r="A87" s="37"/>
      <c r="B87" s="37"/>
      <c r="C87" s="37"/>
      <c r="D87" s="37"/>
      <c r="E87" s="37"/>
      <c r="F87" s="37"/>
      <c r="G87" s="37"/>
    </row>
    <row r="88" spans="1:7" ht="12.75">
      <c r="A88" s="37"/>
      <c r="B88" s="37"/>
      <c r="C88" s="37"/>
      <c r="D88" s="37"/>
      <c r="E88" s="37"/>
      <c r="F88" s="37"/>
      <c r="G88" s="37"/>
    </row>
    <row r="89" spans="1:7" ht="12.75">
      <c r="A89" s="37"/>
      <c r="B89" s="37"/>
      <c r="C89" s="37"/>
      <c r="D89" s="37"/>
      <c r="E89" s="37"/>
      <c r="F89" s="37"/>
      <c r="G89" s="37"/>
    </row>
    <row r="90" spans="1:7" ht="12.75">
      <c r="A90" s="37"/>
      <c r="B90" s="37"/>
      <c r="C90" s="37"/>
      <c r="D90" s="37"/>
      <c r="E90" s="37"/>
      <c r="F90" s="37"/>
      <c r="G90" s="37"/>
    </row>
    <row r="91" spans="1:7" ht="12.75">
      <c r="A91" s="37"/>
      <c r="B91" s="37"/>
      <c r="C91" s="37"/>
      <c r="D91" s="37"/>
      <c r="E91" s="37"/>
      <c r="F91" s="37"/>
      <c r="G91" s="37"/>
    </row>
    <row r="92" spans="1:7" ht="12.75">
      <c r="A92" s="37"/>
      <c r="B92" s="37"/>
      <c r="C92" s="37"/>
      <c r="D92" s="37"/>
      <c r="E92" s="37"/>
      <c r="F92" s="37"/>
      <c r="G92" s="37"/>
    </row>
    <row r="93" spans="1:7" ht="12.75">
      <c r="A93" s="37"/>
      <c r="B93" s="37"/>
      <c r="C93" s="37"/>
      <c r="D93" s="37"/>
      <c r="E93" s="37"/>
      <c r="F93" s="37"/>
      <c r="G93" s="37"/>
    </row>
    <row r="94" spans="1:7" ht="12.75">
      <c r="A94" s="37"/>
      <c r="B94" s="37"/>
      <c r="C94" s="37"/>
      <c r="D94" s="37"/>
      <c r="E94" s="37"/>
      <c r="F94" s="37"/>
      <c r="G94" s="37"/>
    </row>
    <row r="95" spans="1:7" ht="12.75">
      <c r="A95" s="37"/>
      <c r="B95" s="37"/>
      <c r="C95" s="37"/>
      <c r="D95" s="37"/>
      <c r="E95" s="37"/>
      <c r="F95" s="37"/>
      <c r="G95" s="37"/>
    </row>
    <row r="96" spans="1:7" ht="12.75">
      <c r="A96" s="37"/>
      <c r="B96" s="37"/>
      <c r="C96" s="37"/>
      <c r="D96" s="37"/>
      <c r="E96" s="37"/>
      <c r="F96" s="37"/>
      <c r="G96" s="37"/>
    </row>
    <row r="97" spans="1:7" ht="12.75">
      <c r="A97" s="37"/>
      <c r="B97" s="37"/>
      <c r="C97" s="37"/>
      <c r="D97" s="37"/>
      <c r="E97" s="37"/>
      <c r="F97" s="37"/>
      <c r="G97" s="37"/>
    </row>
    <row r="98" spans="1:7" ht="12.75">
      <c r="A98" s="37"/>
      <c r="B98" s="37"/>
      <c r="C98" s="37"/>
      <c r="D98" s="37"/>
      <c r="E98" s="37"/>
      <c r="F98" s="37"/>
      <c r="G98" s="37"/>
    </row>
    <row r="99" spans="1:7" ht="12.75">
      <c r="A99" s="37"/>
      <c r="B99" s="37"/>
      <c r="C99" s="37"/>
      <c r="D99" s="37"/>
      <c r="E99" s="37"/>
      <c r="F99" s="37"/>
      <c r="G99" s="37"/>
    </row>
    <row r="100" spans="1:7" ht="12.75">
      <c r="A100" s="37"/>
      <c r="B100" s="37"/>
      <c r="C100" s="37"/>
      <c r="D100" s="37"/>
      <c r="E100" s="37"/>
      <c r="F100" s="37"/>
      <c r="G100" s="37"/>
    </row>
    <row r="101" spans="1:7" ht="12.75">
      <c r="A101" s="37"/>
      <c r="B101" s="37"/>
      <c r="C101" s="37"/>
      <c r="D101" s="37"/>
      <c r="E101" s="37"/>
      <c r="F101" s="37"/>
      <c r="G101" s="37"/>
    </row>
    <row r="102" spans="1:7" ht="12.75">
      <c r="A102" s="37"/>
      <c r="B102" s="37"/>
      <c r="C102" s="37"/>
      <c r="D102" s="37"/>
      <c r="E102" s="37"/>
      <c r="F102" s="37"/>
      <c r="G102" s="37"/>
    </row>
    <row r="103" spans="1:7" ht="12.75">
      <c r="A103" s="37"/>
      <c r="B103" s="37"/>
      <c r="C103" s="37"/>
      <c r="D103" s="37"/>
      <c r="E103" s="37"/>
      <c r="F103" s="37"/>
      <c r="G103" s="37"/>
    </row>
    <row r="104" spans="1:7" ht="12.75">
      <c r="A104" s="37"/>
      <c r="B104" s="37"/>
      <c r="C104" s="37"/>
      <c r="D104" s="37"/>
      <c r="E104" s="37"/>
      <c r="F104" s="37"/>
      <c r="G104" s="37"/>
    </row>
    <row r="105" spans="1:7" ht="12.75">
      <c r="A105" s="37"/>
      <c r="B105" s="37"/>
      <c r="C105" s="37"/>
      <c r="D105" s="37"/>
      <c r="E105" s="37"/>
      <c r="F105" s="37"/>
      <c r="G105" s="37"/>
    </row>
    <row r="106" spans="1:7" ht="12.75">
      <c r="A106" s="37"/>
      <c r="B106" s="37"/>
      <c r="C106" s="37"/>
      <c r="D106" s="37"/>
      <c r="E106" s="37"/>
      <c r="F106" s="37"/>
      <c r="G106" s="37"/>
    </row>
    <row r="107" spans="1:7" ht="12.75">
      <c r="A107" s="37"/>
      <c r="B107" s="37"/>
      <c r="C107" s="37"/>
      <c r="D107" s="37"/>
      <c r="E107" s="37"/>
      <c r="F107" s="37"/>
      <c r="G107" s="37"/>
    </row>
    <row r="108" spans="1:7" ht="12.75">
      <c r="A108" s="37"/>
      <c r="B108" s="37"/>
      <c r="C108" s="37"/>
      <c r="D108" s="37"/>
      <c r="E108" s="37"/>
      <c r="F108" s="37"/>
      <c r="G108" s="37"/>
    </row>
    <row r="109" spans="1:7" ht="12.75">
      <c r="A109" s="37"/>
      <c r="B109" s="37"/>
      <c r="C109" s="37"/>
      <c r="D109" s="37"/>
      <c r="E109" s="37"/>
      <c r="F109" s="37"/>
      <c r="G109" s="37"/>
    </row>
    <row r="110" spans="1:7" ht="12.75">
      <c r="A110" s="37"/>
      <c r="B110" s="37"/>
      <c r="C110" s="37"/>
      <c r="D110" s="37"/>
      <c r="E110" s="37"/>
      <c r="F110" s="37"/>
      <c r="G110" s="37"/>
    </row>
    <row r="111" spans="1:7" ht="12.75">
      <c r="A111" s="37"/>
      <c r="B111" s="37"/>
      <c r="C111" s="37"/>
      <c r="D111" s="37"/>
      <c r="E111" s="37"/>
      <c r="F111" s="37"/>
      <c r="G111" s="37"/>
    </row>
    <row r="112" spans="1:7" ht="12.75">
      <c r="A112" s="37"/>
      <c r="B112" s="37"/>
      <c r="C112" s="37"/>
      <c r="D112" s="37"/>
      <c r="E112" s="37"/>
      <c r="F112" s="37"/>
      <c r="G112" s="37"/>
    </row>
    <row r="113" spans="1:7" ht="12.75">
      <c r="A113" s="37"/>
      <c r="B113" s="37"/>
      <c r="C113" s="37"/>
      <c r="D113" s="37"/>
      <c r="E113" s="37"/>
      <c r="F113" s="37"/>
      <c r="G113" s="37"/>
    </row>
    <row r="114" spans="1:7" ht="12.75">
      <c r="A114" s="37"/>
      <c r="B114" s="37"/>
      <c r="C114" s="37"/>
      <c r="D114" s="37"/>
      <c r="E114" s="37"/>
      <c r="F114" s="37"/>
      <c r="G114" s="37"/>
    </row>
    <row r="115" spans="1:7" ht="12.75">
      <c r="A115" s="37"/>
      <c r="B115" s="37"/>
      <c r="C115" s="37"/>
      <c r="D115" s="37"/>
      <c r="E115" s="37"/>
      <c r="F115" s="37"/>
      <c r="G115" s="37"/>
    </row>
    <row r="116" spans="1:7" ht="12.75">
      <c r="A116" s="37"/>
      <c r="B116" s="37"/>
      <c r="C116" s="37"/>
      <c r="D116" s="37"/>
      <c r="E116" s="37"/>
      <c r="F116" s="37"/>
      <c r="G116" s="37"/>
    </row>
    <row r="117" spans="1:7" ht="12.75">
      <c r="A117" s="37"/>
      <c r="B117" s="37"/>
      <c r="C117" s="37"/>
      <c r="D117" s="37"/>
      <c r="E117" s="37"/>
      <c r="F117" s="37"/>
      <c r="G117" s="37"/>
    </row>
    <row r="118" spans="1:7" ht="12.75">
      <c r="A118" s="37"/>
      <c r="B118" s="37"/>
      <c r="C118" s="37"/>
      <c r="D118" s="37"/>
      <c r="E118" s="37"/>
      <c r="F118" s="37"/>
      <c r="G118" s="37"/>
    </row>
    <row r="119" spans="1:7" ht="12.75">
      <c r="A119" s="37"/>
      <c r="B119" s="37"/>
      <c r="C119" s="37"/>
      <c r="D119" s="37"/>
      <c r="E119" s="37"/>
      <c r="F119" s="37"/>
      <c r="G119" s="37"/>
    </row>
    <row r="120" spans="1:7" ht="12.75">
      <c r="A120" s="37"/>
      <c r="B120" s="37"/>
      <c r="C120" s="37"/>
      <c r="D120" s="37"/>
      <c r="E120" s="37"/>
      <c r="F120" s="37"/>
      <c r="G120" s="37"/>
    </row>
    <row r="121" spans="1:7" ht="12.75">
      <c r="A121" s="37"/>
      <c r="B121" s="37"/>
      <c r="C121" s="37"/>
      <c r="D121" s="37"/>
      <c r="E121" s="37"/>
      <c r="F121" s="37"/>
      <c r="G121" s="37"/>
    </row>
    <row r="122" spans="1:7" ht="12.75">
      <c r="A122" s="37"/>
      <c r="B122" s="37"/>
      <c r="C122" s="37"/>
      <c r="D122" s="37"/>
      <c r="E122" s="37"/>
      <c r="F122" s="37"/>
      <c r="G122" s="37"/>
    </row>
    <row r="123" spans="1:7" ht="12.75">
      <c r="A123" s="37"/>
      <c r="B123" s="37"/>
      <c r="C123" s="37"/>
      <c r="D123" s="37"/>
      <c r="E123" s="37"/>
      <c r="F123" s="37"/>
      <c r="G123" s="37"/>
    </row>
    <row r="124" spans="1:7" ht="12.75">
      <c r="A124" s="37"/>
      <c r="B124" s="37"/>
      <c r="C124" s="37"/>
      <c r="D124" s="37"/>
      <c r="E124" s="37"/>
      <c r="F124" s="37"/>
      <c r="G124" s="37"/>
    </row>
    <row r="125" spans="1:7" ht="12.75">
      <c r="A125" s="37"/>
      <c r="B125" s="37"/>
      <c r="C125" s="37"/>
      <c r="D125" s="37"/>
      <c r="E125" s="37"/>
      <c r="F125" s="37"/>
      <c r="G125" s="37"/>
    </row>
    <row r="126" spans="1:7" ht="12.75">
      <c r="A126" s="37"/>
      <c r="B126" s="37"/>
      <c r="C126" s="37"/>
      <c r="D126" s="37"/>
      <c r="E126" s="37"/>
      <c r="F126" s="37"/>
      <c r="G126" s="37"/>
    </row>
    <row r="127" spans="1:7" ht="12.75">
      <c r="A127" s="37"/>
      <c r="B127" s="37"/>
      <c r="C127" s="37"/>
      <c r="D127" s="37"/>
      <c r="E127" s="37"/>
      <c r="F127" s="37"/>
      <c r="G127" s="37"/>
    </row>
    <row r="128" spans="1:7" ht="12.75">
      <c r="A128" s="37"/>
      <c r="B128" s="37"/>
      <c r="C128" s="37"/>
      <c r="D128" s="37"/>
      <c r="E128" s="37"/>
      <c r="F128" s="37"/>
      <c r="G128" s="37"/>
    </row>
    <row r="129" spans="1:7" ht="12.75">
      <c r="A129" s="37"/>
      <c r="B129" s="37"/>
      <c r="C129" s="37"/>
      <c r="D129" s="37"/>
      <c r="E129" s="37"/>
      <c r="F129" s="37"/>
      <c r="G129" s="37"/>
    </row>
    <row r="130" spans="1:7" ht="12.75">
      <c r="A130" s="37"/>
      <c r="B130" s="37"/>
      <c r="C130" s="37"/>
      <c r="D130" s="37"/>
      <c r="E130" s="37"/>
      <c r="F130" s="37"/>
      <c r="G130" s="37"/>
    </row>
    <row r="131" spans="1:7" ht="12.75">
      <c r="A131" s="37"/>
      <c r="B131" s="37"/>
      <c r="C131" s="37"/>
      <c r="D131" s="37"/>
      <c r="E131" s="37"/>
      <c r="F131" s="37"/>
      <c r="G131" s="37"/>
    </row>
    <row r="132" spans="1:7" ht="12.75">
      <c r="A132" s="37"/>
      <c r="B132" s="37"/>
      <c r="C132" s="37"/>
      <c r="D132" s="37"/>
      <c r="E132" s="37"/>
      <c r="F132" s="37"/>
      <c r="G132" s="37"/>
    </row>
    <row r="133" spans="1:7" ht="12.75">
      <c r="A133" s="37"/>
      <c r="B133" s="37"/>
      <c r="C133" s="37"/>
      <c r="D133" s="37"/>
      <c r="E133" s="37"/>
      <c r="F133" s="37"/>
      <c r="G133" s="37"/>
    </row>
    <row r="134" spans="1:7" ht="12.75">
      <c r="A134" s="37"/>
      <c r="B134" s="37"/>
      <c r="C134" s="37"/>
      <c r="D134" s="37"/>
      <c r="E134" s="37"/>
      <c r="F134" s="37"/>
      <c r="G134" s="37"/>
    </row>
    <row r="135" spans="1:7" ht="12.75">
      <c r="A135" s="37"/>
      <c r="B135" s="37"/>
      <c r="C135" s="37"/>
      <c r="D135" s="37"/>
      <c r="E135" s="37"/>
      <c r="F135" s="37"/>
      <c r="G135" s="37"/>
    </row>
    <row r="136" spans="1:7" ht="12.75">
      <c r="A136" s="37"/>
      <c r="B136" s="37"/>
      <c r="C136" s="37"/>
      <c r="D136" s="37"/>
      <c r="E136" s="37"/>
      <c r="F136" s="37"/>
      <c r="G136" s="37"/>
    </row>
    <row r="137" spans="1:7" ht="12.75">
      <c r="A137" s="37"/>
      <c r="B137" s="37"/>
      <c r="C137" s="37"/>
      <c r="D137" s="37"/>
      <c r="E137" s="37"/>
      <c r="F137" s="37"/>
      <c r="G137" s="37"/>
    </row>
    <row r="138" spans="1:7" ht="12.75">
      <c r="A138" s="37"/>
      <c r="B138" s="37"/>
      <c r="C138" s="37"/>
      <c r="D138" s="37"/>
      <c r="E138" s="37"/>
      <c r="F138" s="37"/>
      <c r="G138" s="37"/>
    </row>
    <row r="139" spans="1:7" ht="12.75">
      <c r="A139" s="37"/>
      <c r="B139" s="37"/>
      <c r="C139" s="37"/>
      <c r="D139" s="37"/>
      <c r="E139" s="37"/>
      <c r="F139" s="37"/>
      <c r="G139" s="37"/>
    </row>
    <row r="140" spans="1:7" ht="12.75">
      <c r="A140" s="37"/>
      <c r="B140" s="37"/>
      <c r="C140" s="37"/>
      <c r="D140" s="37"/>
      <c r="E140" s="37"/>
      <c r="F140" s="37"/>
      <c r="G140" s="37"/>
    </row>
    <row r="141" spans="1:7" ht="12.75">
      <c r="A141" s="37"/>
      <c r="B141" s="37"/>
      <c r="C141" s="37"/>
      <c r="D141" s="37"/>
      <c r="E141" s="37"/>
      <c r="F141" s="37"/>
      <c r="G141" s="37"/>
    </row>
    <row r="142" spans="1:7" ht="12.75">
      <c r="A142" s="37"/>
      <c r="B142" s="37"/>
      <c r="C142" s="37"/>
      <c r="D142" s="37"/>
      <c r="E142" s="37"/>
      <c r="F142" s="37"/>
      <c r="G142" s="37"/>
    </row>
    <row r="143" spans="1:7" ht="12.75">
      <c r="A143" s="37"/>
      <c r="B143" s="37"/>
      <c r="C143" s="37"/>
      <c r="D143" s="37"/>
      <c r="E143" s="37"/>
      <c r="F143" s="37"/>
      <c r="G143" s="37"/>
    </row>
    <row r="144" spans="1:7" ht="12.75">
      <c r="A144" s="37"/>
      <c r="B144" s="37"/>
      <c r="C144" s="37"/>
      <c r="D144" s="37"/>
      <c r="E144" s="37"/>
      <c r="F144" s="37"/>
      <c r="G144" s="37"/>
    </row>
    <row r="145" spans="1:7" ht="12.75">
      <c r="A145" s="37"/>
      <c r="B145" s="37"/>
      <c r="C145" s="37"/>
      <c r="D145" s="37"/>
      <c r="E145" s="37"/>
      <c r="F145" s="37"/>
      <c r="G145" s="37"/>
    </row>
    <row r="146" spans="1:7" ht="12.75">
      <c r="A146" s="37"/>
      <c r="B146" s="37"/>
      <c r="C146" s="37"/>
      <c r="D146" s="37"/>
      <c r="E146" s="37"/>
      <c r="F146" s="37"/>
      <c r="G146" s="37"/>
    </row>
    <row r="147" spans="1:7" ht="12.75">
      <c r="A147" s="37"/>
      <c r="B147" s="37"/>
      <c r="C147" s="37"/>
      <c r="D147" s="37"/>
      <c r="E147" s="37"/>
      <c r="F147" s="37"/>
      <c r="G147" s="37"/>
    </row>
    <row r="148" spans="1:7" ht="12.75">
      <c r="A148" s="37"/>
      <c r="B148" s="37"/>
      <c r="C148" s="37"/>
      <c r="D148" s="37"/>
      <c r="E148" s="37"/>
      <c r="F148" s="37"/>
      <c r="G148" s="37"/>
    </row>
    <row r="149" spans="1:7" ht="12.75">
      <c r="A149" s="37"/>
      <c r="B149" s="37"/>
      <c r="C149" s="37"/>
      <c r="D149" s="37"/>
      <c r="E149" s="37"/>
      <c r="F149" s="37"/>
      <c r="G149" s="37"/>
    </row>
    <row r="150" spans="1:7" ht="12.75">
      <c r="A150" s="37"/>
      <c r="B150" s="37"/>
      <c r="C150" s="37"/>
      <c r="D150" s="37"/>
      <c r="E150" s="37"/>
      <c r="F150" s="37"/>
      <c r="G150" s="37"/>
    </row>
    <row r="151" spans="1:7" ht="12.75">
      <c r="A151" s="37"/>
      <c r="B151" s="37"/>
      <c r="C151" s="37"/>
      <c r="D151" s="37"/>
      <c r="E151" s="37"/>
      <c r="F151" s="37"/>
      <c r="G151" s="37"/>
    </row>
    <row r="152" spans="1:7" ht="12.75">
      <c r="A152" s="37"/>
      <c r="B152" s="37"/>
      <c r="C152" s="37"/>
      <c r="D152" s="37"/>
      <c r="E152" s="37"/>
      <c r="F152" s="37"/>
      <c r="G152" s="37"/>
    </row>
    <row r="153" spans="1:7" ht="12.75">
      <c r="A153" s="37"/>
      <c r="B153" s="37"/>
      <c r="C153" s="37"/>
      <c r="D153" s="37"/>
      <c r="E153" s="37"/>
      <c r="F153" s="37"/>
      <c r="G153" s="37"/>
    </row>
    <row r="154" spans="1:7" ht="12.75">
      <c r="A154" s="37"/>
      <c r="B154" s="37"/>
      <c r="C154" s="37"/>
      <c r="D154" s="37"/>
      <c r="E154" s="37"/>
      <c r="F154" s="37"/>
      <c r="G154" s="37"/>
    </row>
    <row r="155" spans="1:7" ht="12.75">
      <c r="A155" s="37"/>
      <c r="B155" s="37"/>
      <c r="C155" s="37"/>
      <c r="D155" s="37"/>
      <c r="E155" s="37"/>
      <c r="F155" s="37"/>
      <c r="G155" s="37"/>
    </row>
    <row r="156" spans="1:7" ht="12.75">
      <c r="A156" s="37"/>
      <c r="B156" s="37"/>
      <c r="C156" s="37"/>
      <c r="D156" s="37"/>
      <c r="E156" s="37"/>
      <c r="F156" s="37"/>
      <c r="G156" s="37"/>
    </row>
    <row r="157" spans="1:7" ht="12.75">
      <c r="A157" s="37"/>
      <c r="B157" s="37"/>
      <c r="C157" s="37"/>
      <c r="D157" s="37"/>
      <c r="E157" s="37"/>
      <c r="F157" s="37"/>
      <c r="G157" s="37"/>
    </row>
    <row r="158" spans="1:7" ht="12.75">
      <c r="A158" s="37"/>
      <c r="B158" s="37"/>
      <c r="C158" s="37"/>
      <c r="D158" s="37"/>
      <c r="E158" s="37"/>
      <c r="F158" s="37"/>
      <c r="G158" s="37"/>
    </row>
    <row r="159" spans="1:7" ht="12.75">
      <c r="A159" s="37"/>
      <c r="B159" s="37"/>
      <c r="C159" s="37"/>
      <c r="D159" s="37"/>
      <c r="E159" s="37"/>
      <c r="F159" s="37"/>
      <c r="G159" s="37"/>
    </row>
    <row r="160" spans="1:7" ht="12.75">
      <c r="A160" s="37"/>
      <c r="B160" s="37"/>
      <c r="C160" s="37"/>
      <c r="D160" s="37"/>
      <c r="E160" s="37"/>
      <c r="F160" s="37"/>
      <c r="G160" s="37"/>
    </row>
    <row r="161" spans="1:7" ht="12.75">
      <c r="A161" s="37"/>
      <c r="B161" s="37"/>
      <c r="C161" s="37"/>
      <c r="D161" s="37"/>
      <c r="E161" s="37"/>
      <c r="F161" s="37"/>
      <c r="G161" s="37"/>
    </row>
    <row r="162" spans="1:7" ht="12.75">
      <c r="A162" s="37"/>
      <c r="B162" s="37"/>
      <c r="C162" s="37"/>
      <c r="D162" s="37"/>
      <c r="E162" s="37"/>
      <c r="F162" s="37"/>
      <c r="G162" s="37"/>
    </row>
    <row r="163" spans="1:7" ht="12.75">
      <c r="A163" s="37"/>
      <c r="B163" s="37"/>
      <c r="C163" s="37"/>
      <c r="D163" s="37"/>
      <c r="E163" s="37"/>
      <c r="F163" s="37"/>
      <c r="G163" s="37"/>
    </row>
    <row r="164" spans="1:7" ht="12.75">
      <c r="A164" s="37"/>
      <c r="B164" s="37"/>
      <c r="C164" s="37"/>
      <c r="D164" s="37"/>
      <c r="E164" s="37"/>
      <c r="F164" s="37"/>
      <c r="G164" s="37"/>
    </row>
    <row r="165" spans="1:7" ht="12.75">
      <c r="A165" s="37"/>
      <c r="B165" s="37"/>
      <c r="C165" s="37"/>
      <c r="D165" s="37"/>
      <c r="E165" s="37"/>
      <c r="F165" s="37"/>
      <c r="G165" s="37"/>
    </row>
    <row r="166" spans="1:7" ht="12.75">
      <c r="A166" s="37"/>
      <c r="B166" s="37"/>
      <c r="C166" s="37"/>
      <c r="D166" s="37"/>
      <c r="E166" s="37"/>
      <c r="F166" s="37"/>
      <c r="G166" s="37"/>
    </row>
    <row r="167" spans="1:7" ht="12.75">
      <c r="A167" s="37"/>
      <c r="B167" s="37"/>
      <c r="C167" s="37"/>
      <c r="D167" s="37"/>
      <c r="E167" s="37"/>
      <c r="F167" s="37"/>
      <c r="G167" s="37"/>
    </row>
    <row r="168" spans="1:7" ht="12.75">
      <c r="A168" s="37"/>
      <c r="B168" s="37"/>
      <c r="C168" s="37"/>
      <c r="D168" s="37"/>
      <c r="E168" s="37"/>
      <c r="F168" s="37"/>
      <c r="G168" s="37"/>
    </row>
    <row r="169" spans="1:7" ht="12.75">
      <c r="A169" s="37"/>
      <c r="B169" s="37"/>
      <c r="C169" s="37"/>
      <c r="D169" s="37"/>
      <c r="E169" s="37"/>
      <c r="F169" s="37"/>
      <c r="G169" s="37"/>
    </row>
    <row r="170" spans="1:7" ht="12.75">
      <c r="A170" s="37"/>
      <c r="B170" s="37"/>
      <c r="C170" s="37"/>
      <c r="D170" s="37"/>
      <c r="E170" s="37"/>
      <c r="F170" s="37"/>
      <c r="G170" s="37"/>
    </row>
    <row r="171" spans="1:7" ht="12.75">
      <c r="A171" s="37"/>
      <c r="B171" s="37"/>
      <c r="C171" s="37"/>
      <c r="D171" s="37"/>
      <c r="E171" s="37"/>
      <c r="F171" s="37"/>
      <c r="G171" s="37"/>
    </row>
    <row r="172" spans="1:7" ht="12.75">
      <c r="A172" s="37"/>
      <c r="B172" s="37"/>
      <c r="C172" s="37"/>
      <c r="D172" s="37"/>
      <c r="E172" s="37"/>
      <c r="F172" s="37"/>
      <c r="G172" s="37"/>
    </row>
    <row r="173" spans="1:7" ht="12.75">
      <c r="A173" s="37"/>
      <c r="B173" s="37"/>
      <c r="C173" s="37"/>
      <c r="D173" s="37"/>
      <c r="E173" s="37"/>
      <c r="F173" s="37"/>
      <c r="G173" s="37"/>
    </row>
    <row r="174" spans="1:7" ht="12.75">
      <c r="A174" s="37"/>
      <c r="B174" s="37"/>
      <c r="C174" s="37"/>
      <c r="D174" s="37"/>
      <c r="E174" s="37"/>
      <c r="F174" s="37"/>
      <c r="G174" s="37"/>
    </row>
    <row r="175" spans="1:7" ht="12.75">
      <c r="A175" s="37"/>
      <c r="B175" s="37"/>
      <c r="C175" s="37"/>
      <c r="D175" s="37"/>
      <c r="E175" s="37"/>
      <c r="F175" s="37"/>
      <c r="G175" s="37"/>
    </row>
    <row r="176" spans="1:7" ht="12.75">
      <c r="A176" s="37"/>
      <c r="B176" s="37"/>
      <c r="C176" s="37"/>
      <c r="D176" s="37"/>
      <c r="E176" s="37"/>
      <c r="F176" s="37"/>
      <c r="G176" s="37"/>
    </row>
    <row r="177" spans="1:7" ht="12.75">
      <c r="A177" s="37"/>
      <c r="B177" s="37"/>
      <c r="C177" s="37"/>
      <c r="D177" s="37"/>
      <c r="E177" s="37"/>
      <c r="F177" s="37"/>
      <c r="G177" s="37"/>
    </row>
    <row r="178" spans="1:7" ht="12.75">
      <c r="A178" s="37"/>
      <c r="B178" s="37"/>
      <c r="C178" s="37"/>
      <c r="D178" s="37"/>
      <c r="E178" s="37"/>
      <c r="F178" s="37"/>
      <c r="G178" s="37"/>
    </row>
    <row r="179" spans="1:7" ht="12.75">
      <c r="A179" s="37"/>
      <c r="B179" s="37"/>
      <c r="C179" s="37"/>
      <c r="D179" s="37"/>
      <c r="E179" s="37"/>
      <c r="F179" s="37"/>
      <c r="G179" s="37"/>
    </row>
    <row r="180" spans="1:7" ht="12.75">
      <c r="A180" s="37"/>
      <c r="B180" s="37"/>
      <c r="C180" s="37"/>
      <c r="D180" s="37"/>
      <c r="E180" s="37"/>
      <c r="F180" s="37"/>
      <c r="G180" s="37"/>
    </row>
    <row r="181" spans="1:7" ht="12.75">
      <c r="A181" s="37"/>
      <c r="B181" s="37"/>
      <c r="C181" s="37"/>
      <c r="D181" s="37"/>
      <c r="E181" s="37"/>
      <c r="F181" s="37"/>
      <c r="G181" s="37"/>
    </row>
    <row r="182" spans="1:7" ht="12.75">
      <c r="A182" s="37"/>
      <c r="B182" s="37"/>
      <c r="C182" s="37"/>
      <c r="D182" s="37"/>
      <c r="E182" s="37"/>
      <c r="F182" s="37"/>
      <c r="G182" s="37"/>
    </row>
    <row r="183" spans="1:7" ht="12.75">
      <c r="A183" s="37"/>
      <c r="B183" s="37"/>
      <c r="C183" s="37"/>
      <c r="D183" s="37"/>
      <c r="E183" s="37"/>
      <c r="F183" s="37"/>
      <c r="G183" s="37"/>
    </row>
    <row r="184" spans="1:7" ht="12.75">
      <c r="A184" s="37"/>
      <c r="B184" s="37"/>
      <c r="C184" s="37"/>
      <c r="D184" s="37"/>
      <c r="E184" s="37"/>
      <c r="F184" s="37"/>
      <c r="G184" s="37"/>
    </row>
    <row r="185" spans="1:7" ht="12.75">
      <c r="A185" s="37"/>
      <c r="B185" s="37"/>
      <c r="C185" s="37"/>
      <c r="D185" s="37"/>
      <c r="E185" s="37"/>
      <c r="F185" s="37"/>
      <c r="G185" s="37"/>
    </row>
    <row r="186" spans="1:7" ht="12.75">
      <c r="A186" s="37"/>
      <c r="B186" s="37"/>
      <c r="C186" s="37"/>
      <c r="D186" s="37"/>
      <c r="E186" s="37"/>
      <c r="F186" s="37"/>
      <c r="G186" s="37"/>
    </row>
    <row r="187" spans="1:7" ht="12.75">
      <c r="A187" s="37"/>
      <c r="B187" s="37"/>
      <c r="C187" s="37"/>
      <c r="D187" s="37"/>
      <c r="E187" s="37"/>
      <c r="F187" s="37"/>
      <c r="G187" s="37"/>
    </row>
    <row r="188" spans="1:7" ht="12.75">
      <c r="A188" s="37"/>
      <c r="B188" s="37"/>
      <c r="C188" s="37"/>
      <c r="D188" s="37"/>
      <c r="E188" s="37"/>
      <c r="F188" s="37"/>
      <c r="G188" s="37"/>
    </row>
    <row r="189" spans="1:7" ht="12.75">
      <c r="A189" s="37"/>
      <c r="B189" s="37"/>
      <c r="C189" s="37"/>
      <c r="D189" s="37"/>
      <c r="E189" s="37"/>
      <c r="F189" s="37"/>
      <c r="G189" s="37"/>
    </row>
    <row r="190" spans="1:7" ht="12.75">
      <c r="A190" s="37"/>
      <c r="B190" s="37"/>
      <c r="C190" s="37"/>
      <c r="D190" s="37"/>
      <c r="E190" s="37"/>
      <c r="F190" s="37"/>
      <c r="G190" s="37"/>
    </row>
    <row r="191" spans="1:7" ht="12.75">
      <c r="A191" s="37"/>
      <c r="B191" s="37"/>
      <c r="C191" s="37"/>
      <c r="D191" s="37"/>
      <c r="E191" s="37"/>
      <c r="F191" s="37"/>
      <c r="G191" s="37"/>
    </row>
    <row r="192" spans="1:7" ht="12.75">
      <c r="A192" s="37"/>
      <c r="B192" s="37"/>
      <c r="C192" s="37"/>
      <c r="D192" s="37"/>
      <c r="E192" s="37"/>
      <c r="F192" s="37"/>
      <c r="G192" s="37"/>
    </row>
    <row r="193" spans="1:7" ht="12.75">
      <c r="A193" s="37"/>
      <c r="B193" s="37"/>
      <c r="C193" s="37"/>
      <c r="D193" s="37"/>
      <c r="E193" s="37"/>
      <c r="F193" s="37"/>
      <c r="G193" s="37"/>
    </row>
    <row r="194" spans="1:7" ht="12.75">
      <c r="A194" s="37"/>
      <c r="B194" s="37"/>
      <c r="C194" s="37"/>
      <c r="D194" s="37"/>
      <c r="E194" s="37"/>
      <c r="F194" s="37"/>
      <c r="G194" s="37"/>
    </row>
    <row r="195" spans="1:7" ht="12.75">
      <c r="A195" s="37"/>
      <c r="B195" s="37"/>
      <c r="C195" s="37"/>
      <c r="D195" s="37"/>
      <c r="E195" s="37"/>
      <c r="F195" s="37"/>
      <c r="G195" s="37"/>
    </row>
    <row r="196" spans="1:7" ht="12.75">
      <c r="A196" s="37"/>
      <c r="B196" s="37"/>
      <c r="C196" s="37"/>
      <c r="D196" s="37"/>
      <c r="E196" s="37"/>
      <c r="F196" s="37"/>
      <c r="G196" s="37"/>
    </row>
    <row r="197" spans="1:7" ht="12.75">
      <c r="A197" s="37"/>
      <c r="B197" s="37"/>
      <c r="C197" s="37"/>
      <c r="D197" s="37"/>
      <c r="E197" s="37"/>
      <c r="F197" s="37"/>
      <c r="G197" s="37"/>
    </row>
    <row r="198" spans="1:7" ht="12.75">
      <c r="A198" s="37"/>
      <c r="B198" s="37"/>
      <c r="C198" s="37"/>
      <c r="D198" s="37"/>
      <c r="E198" s="37"/>
      <c r="F198" s="37"/>
      <c r="G198" s="37"/>
    </row>
    <row r="199" spans="1:7" ht="12.75">
      <c r="A199" s="37"/>
      <c r="B199" s="37"/>
      <c r="C199" s="37"/>
      <c r="D199" s="37"/>
      <c r="E199" s="37"/>
      <c r="F199" s="37"/>
      <c r="G199" s="37"/>
    </row>
    <row r="200" spans="1:7" ht="12.75">
      <c r="A200" s="37"/>
      <c r="B200" s="37"/>
      <c r="C200" s="37"/>
      <c r="D200" s="37"/>
      <c r="E200" s="37"/>
      <c r="F200" s="37"/>
      <c r="G200" s="37"/>
    </row>
    <row r="201" spans="1:7" ht="12.75">
      <c r="A201" s="37"/>
      <c r="B201" s="37"/>
      <c r="C201" s="37"/>
      <c r="D201" s="37"/>
      <c r="E201" s="37"/>
      <c r="F201" s="37"/>
      <c r="G201" s="37"/>
    </row>
    <row r="202" spans="1:7" ht="12.75">
      <c r="A202" s="37"/>
      <c r="B202" s="37"/>
      <c r="C202" s="37"/>
      <c r="D202" s="37"/>
      <c r="E202" s="37"/>
      <c r="F202" s="37"/>
      <c r="G202" s="37"/>
    </row>
    <row r="203" spans="1:7" ht="12.75">
      <c r="A203" s="37"/>
      <c r="B203" s="37"/>
      <c r="C203" s="37"/>
      <c r="D203" s="37"/>
      <c r="E203" s="37"/>
      <c r="F203" s="37"/>
      <c r="G203" s="37"/>
    </row>
    <row r="204" spans="1:7" ht="12.75">
      <c r="A204" s="37"/>
      <c r="B204" s="37"/>
      <c r="C204" s="37"/>
      <c r="D204" s="37"/>
      <c r="E204" s="37"/>
      <c r="F204" s="37"/>
      <c r="G204" s="37"/>
    </row>
    <row r="205" spans="1:7" ht="12.75">
      <c r="A205" s="37"/>
      <c r="B205" s="37"/>
      <c r="C205" s="37"/>
      <c r="D205" s="37"/>
      <c r="E205" s="37"/>
      <c r="F205" s="37"/>
      <c r="G205" s="37"/>
    </row>
    <row r="206" spans="1:7" ht="12.75">
      <c r="A206" s="37"/>
      <c r="B206" s="37"/>
      <c r="C206" s="37"/>
      <c r="D206" s="37"/>
      <c r="E206" s="37"/>
      <c r="F206" s="37"/>
      <c r="G206" s="37"/>
    </row>
    <row r="207" spans="1:7" ht="12.75">
      <c r="A207" s="37"/>
      <c r="B207" s="37"/>
      <c r="C207" s="37"/>
      <c r="D207" s="37"/>
      <c r="E207" s="37"/>
      <c r="F207" s="37"/>
      <c r="G207" s="37"/>
    </row>
    <row r="208" spans="1:7" ht="12.75">
      <c r="A208" s="37"/>
      <c r="B208" s="37"/>
      <c r="C208" s="37"/>
      <c r="D208" s="37"/>
      <c r="E208" s="37"/>
      <c r="F208" s="37"/>
      <c r="G208" s="37"/>
    </row>
    <row r="209" spans="1:7" ht="12.75">
      <c r="A209" s="37"/>
      <c r="B209" s="37"/>
      <c r="C209" s="37"/>
      <c r="D209" s="37"/>
      <c r="E209" s="37"/>
      <c r="F209" s="37"/>
      <c r="G209" s="37"/>
    </row>
    <row r="210" spans="1:7" ht="12.75">
      <c r="A210" s="37"/>
      <c r="B210" s="37"/>
      <c r="C210" s="37"/>
      <c r="D210" s="37"/>
      <c r="E210" s="37"/>
      <c r="F210" s="37"/>
      <c r="G210" s="37"/>
    </row>
    <row r="211" spans="1:7" ht="12.75">
      <c r="A211" s="37"/>
      <c r="B211" s="37"/>
      <c r="C211" s="37"/>
      <c r="D211" s="37"/>
      <c r="E211" s="37"/>
      <c r="F211" s="37"/>
      <c r="G211" s="37"/>
    </row>
    <row r="212" spans="1:7" ht="12.75">
      <c r="A212" s="37"/>
      <c r="B212" s="37"/>
      <c r="C212" s="37"/>
      <c r="D212" s="37"/>
      <c r="E212" s="37"/>
      <c r="F212" s="37"/>
      <c r="G212" s="37"/>
    </row>
    <row r="213" spans="1:7" ht="12.75">
      <c r="A213" s="37"/>
      <c r="B213" s="37"/>
      <c r="C213" s="37"/>
      <c r="D213" s="37"/>
      <c r="E213" s="37"/>
      <c r="F213" s="37"/>
      <c r="G213" s="37"/>
    </row>
    <row r="214" spans="1:7" ht="12.75">
      <c r="A214" s="37"/>
      <c r="B214" s="37"/>
      <c r="C214" s="37"/>
      <c r="D214" s="37"/>
      <c r="E214" s="37"/>
      <c r="F214" s="37"/>
      <c r="G214" s="37"/>
    </row>
    <row r="215" spans="1:7" ht="12.75">
      <c r="A215" s="37"/>
      <c r="B215" s="37"/>
      <c r="C215" s="37"/>
      <c r="D215" s="37"/>
      <c r="E215" s="37"/>
      <c r="F215" s="37"/>
      <c r="G215" s="37"/>
    </row>
    <row r="216" spans="1:7" ht="12.75">
      <c r="A216" s="37"/>
      <c r="B216" s="37"/>
      <c r="C216" s="37"/>
      <c r="D216" s="37"/>
      <c r="E216" s="37"/>
      <c r="F216" s="37"/>
      <c r="G216" s="37"/>
    </row>
    <row r="217" spans="1:7" ht="12.75">
      <c r="A217" s="37"/>
      <c r="B217" s="37"/>
      <c r="C217" s="37"/>
      <c r="D217" s="37"/>
      <c r="E217" s="37"/>
      <c r="F217" s="37"/>
      <c r="G217" s="37"/>
    </row>
    <row r="218" spans="1:7" ht="12.75">
      <c r="A218" s="37"/>
      <c r="B218" s="37"/>
      <c r="C218" s="37"/>
      <c r="D218" s="37"/>
      <c r="E218" s="37"/>
      <c r="F218" s="37"/>
      <c r="G218" s="37"/>
    </row>
    <row r="219" spans="1:7" ht="12.75">
      <c r="A219" s="37"/>
      <c r="B219" s="37"/>
      <c r="C219" s="37"/>
      <c r="D219" s="37"/>
      <c r="E219" s="37"/>
      <c r="F219" s="37"/>
      <c r="G219" s="37"/>
    </row>
    <row r="220" spans="1:7" ht="12.75">
      <c r="A220" s="37"/>
      <c r="B220" s="37"/>
      <c r="C220" s="37"/>
      <c r="D220" s="37"/>
      <c r="E220" s="37"/>
      <c r="F220" s="37"/>
      <c r="G220" s="37"/>
    </row>
    <row r="221" spans="1:7" ht="12.75">
      <c r="A221" s="37"/>
      <c r="B221" s="37"/>
      <c r="C221" s="37"/>
      <c r="D221" s="37"/>
      <c r="E221" s="37"/>
      <c r="F221" s="37"/>
      <c r="G221" s="37"/>
    </row>
    <row r="222" spans="1:7" ht="12.75">
      <c r="A222" s="37"/>
      <c r="B222" s="37"/>
      <c r="C222" s="37"/>
      <c r="D222" s="37"/>
      <c r="E222" s="37"/>
      <c r="F222" s="37"/>
      <c r="G222" s="37"/>
    </row>
    <row r="223" spans="1:7" ht="12.75">
      <c r="A223" s="37"/>
      <c r="B223" s="37"/>
      <c r="C223" s="37"/>
      <c r="D223" s="37"/>
      <c r="E223" s="37"/>
      <c r="F223" s="37"/>
      <c r="G223" s="37"/>
    </row>
    <row r="224" spans="1:7" ht="12.75">
      <c r="A224" s="37"/>
      <c r="B224" s="37"/>
      <c r="C224" s="37"/>
      <c r="D224" s="37"/>
      <c r="E224" s="37"/>
      <c r="F224" s="37"/>
      <c r="G224" s="37"/>
    </row>
    <row r="225" spans="1:7" ht="12.75">
      <c r="A225" s="37"/>
      <c r="B225" s="37"/>
      <c r="C225" s="37"/>
      <c r="D225" s="37"/>
      <c r="E225" s="37"/>
      <c r="F225" s="37"/>
      <c r="G225" s="37"/>
    </row>
    <row r="226" spans="1:7" ht="12.75">
      <c r="A226" s="37"/>
      <c r="B226" s="37"/>
      <c r="C226" s="37"/>
      <c r="D226" s="37"/>
      <c r="E226" s="37"/>
      <c r="F226" s="37"/>
      <c r="G226" s="37"/>
    </row>
    <row r="227" spans="1:7" ht="12.75">
      <c r="A227" s="37"/>
      <c r="B227" s="37"/>
      <c r="C227" s="37"/>
      <c r="D227" s="37"/>
      <c r="E227" s="37"/>
      <c r="F227" s="37"/>
      <c r="G227" s="37"/>
    </row>
    <row r="228" spans="1:7" ht="12.75">
      <c r="A228" s="37"/>
      <c r="B228" s="37"/>
      <c r="C228" s="37"/>
      <c r="D228" s="37"/>
      <c r="E228" s="37"/>
      <c r="F228" s="37"/>
      <c r="G228" s="37"/>
    </row>
    <row r="229" spans="1:7" ht="12.75">
      <c r="A229" s="37"/>
      <c r="B229" s="37"/>
      <c r="C229" s="37"/>
      <c r="D229" s="37"/>
      <c r="E229" s="37"/>
      <c r="F229" s="37"/>
      <c r="G229" s="37"/>
    </row>
    <row r="230" spans="1:7" ht="12.75">
      <c r="A230" s="37"/>
      <c r="B230" s="37"/>
      <c r="C230" s="37"/>
      <c r="D230" s="37"/>
      <c r="E230" s="37"/>
      <c r="F230" s="37"/>
      <c r="G230" s="37"/>
    </row>
    <row r="231" spans="1:7" ht="12.75">
      <c r="A231" s="37"/>
      <c r="B231" s="37"/>
      <c r="C231" s="37"/>
      <c r="D231" s="37"/>
      <c r="E231" s="37"/>
      <c r="F231" s="37"/>
      <c r="G231" s="37"/>
    </row>
    <row r="232" spans="1:7" ht="12.75">
      <c r="A232" s="37"/>
      <c r="B232" s="37"/>
      <c r="C232" s="37"/>
      <c r="D232" s="37"/>
      <c r="E232" s="37"/>
      <c r="F232" s="37"/>
      <c r="G232" s="37"/>
    </row>
    <row r="233" spans="1:7" ht="12.75">
      <c r="A233" s="37"/>
      <c r="B233" s="37"/>
      <c r="C233" s="37"/>
      <c r="D233" s="37"/>
      <c r="E233" s="37"/>
      <c r="F233" s="37"/>
      <c r="G233" s="37"/>
    </row>
    <row r="234" spans="1:7" ht="12.75">
      <c r="A234" s="37"/>
      <c r="B234" s="37"/>
      <c r="C234" s="37"/>
      <c r="D234" s="37"/>
      <c r="E234" s="37"/>
      <c r="F234" s="37"/>
      <c r="G234" s="37"/>
    </row>
    <row r="235" spans="1:7" ht="12.75">
      <c r="A235" s="37"/>
      <c r="B235" s="37"/>
      <c r="C235" s="37"/>
      <c r="D235" s="37"/>
      <c r="E235" s="37"/>
      <c r="F235" s="37"/>
      <c r="G235" s="37"/>
    </row>
    <row r="236" spans="1:7" ht="12.75">
      <c r="A236" s="37"/>
      <c r="B236" s="37"/>
      <c r="C236" s="37"/>
      <c r="D236" s="37"/>
      <c r="E236" s="37"/>
      <c r="F236" s="37"/>
      <c r="G236" s="37"/>
    </row>
    <row r="237" spans="1:7" ht="12.75">
      <c r="A237" s="37"/>
      <c r="B237" s="37"/>
      <c r="C237" s="37"/>
      <c r="D237" s="37"/>
      <c r="E237" s="37"/>
      <c r="F237" s="37"/>
      <c r="G237" s="37"/>
    </row>
    <row r="238" spans="1:7" ht="12.75">
      <c r="A238" s="37"/>
      <c r="B238" s="37"/>
      <c r="C238" s="37"/>
      <c r="D238" s="37"/>
      <c r="E238" s="37"/>
      <c r="F238" s="37"/>
      <c r="G238" s="37"/>
    </row>
    <row r="239" spans="1:7" ht="12.75">
      <c r="A239" s="37"/>
      <c r="B239" s="37"/>
      <c r="C239" s="37"/>
      <c r="D239" s="37"/>
      <c r="E239" s="37"/>
      <c r="F239" s="37"/>
      <c r="G239" s="37"/>
    </row>
    <row r="240" spans="1:7" ht="12.75">
      <c r="A240" s="37"/>
      <c r="B240" s="37"/>
      <c r="C240" s="37"/>
      <c r="D240" s="37"/>
      <c r="E240" s="37"/>
      <c r="F240" s="37"/>
      <c r="G240" s="37"/>
    </row>
    <row r="241" spans="1:7" ht="12.75">
      <c r="A241" s="37"/>
      <c r="B241" s="37"/>
      <c r="C241" s="37"/>
      <c r="D241" s="37"/>
      <c r="E241" s="37"/>
      <c r="F241" s="37"/>
      <c r="G241" s="37"/>
    </row>
    <row r="242" spans="1:7" ht="12.75">
      <c r="A242" s="37"/>
      <c r="B242" s="37"/>
      <c r="C242" s="37"/>
      <c r="D242" s="37"/>
      <c r="E242" s="37"/>
      <c r="F242" s="37"/>
      <c r="G242" s="37"/>
    </row>
    <row r="243" spans="1:7" ht="12.75">
      <c r="A243" s="37"/>
      <c r="B243" s="37"/>
      <c r="C243" s="37"/>
      <c r="D243" s="37"/>
      <c r="E243" s="37"/>
      <c r="F243" s="37"/>
      <c r="G243" s="37"/>
    </row>
    <row r="244" spans="1:7" ht="12.75">
      <c r="A244" s="37"/>
      <c r="B244" s="37"/>
      <c r="C244" s="37"/>
      <c r="D244" s="37"/>
      <c r="E244" s="37"/>
      <c r="F244" s="37"/>
      <c r="G244" s="37"/>
    </row>
    <row r="245" spans="1:7" ht="12.75">
      <c r="A245" s="37"/>
      <c r="B245" s="37"/>
      <c r="C245" s="37"/>
      <c r="D245" s="37"/>
      <c r="E245" s="37"/>
      <c r="F245" s="37"/>
      <c r="G245" s="37"/>
    </row>
    <row r="246" spans="1:7" ht="12.75">
      <c r="A246" s="37"/>
      <c r="B246" s="37"/>
      <c r="C246" s="37"/>
      <c r="D246" s="37"/>
      <c r="E246" s="37"/>
      <c r="F246" s="37"/>
      <c r="G246" s="37"/>
    </row>
    <row r="247" spans="1:7" ht="12.75">
      <c r="A247" s="37"/>
      <c r="B247" s="37"/>
      <c r="C247" s="37"/>
      <c r="D247" s="37"/>
      <c r="E247" s="37"/>
      <c r="F247" s="37"/>
      <c r="G247" s="37"/>
    </row>
    <row r="248" spans="1:7" ht="12.75">
      <c r="A248" s="37"/>
      <c r="B248" s="37"/>
      <c r="C248" s="37"/>
      <c r="D248" s="37"/>
      <c r="E248" s="37"/>
      <c r="F248" s="37"/>
      <c r="G248" s="37"/>
    </row>
    <row r="249" spans="1:7" ht="12.75">
      <c r="A249" s="37"/>
      <c r="B249" s="37"/>
      <c r="C249" s="37"/>
      <c r="D249" s="37"/>
      <c r="E249" s="37"/>
      <c r="F249" s="37"/>
      <c r="G249" s="37"/>
    </row>
    <row r="250" spans="1:7" ht="12.75">
      <c r="A250" s="37"/>
      <c r="B250" s="37"/>
      <c r="C250" s="37"/>
      <c r="D250" s="37"/>
      <c r="E250" s="37"/>
      <c r="F250" s="37"/>
      <c r="G250" s="37"/>
    </row>
    <row r="251" spans="1:7" ht="12.75">
      <c r="A251" s="37"/>
      <c r="B251" s="37"/>
      <c r="C251" s="37"/>
      <c r="D251" s="37"/>
      <c r="E251" s="37"/>
      <c r="F251" s="37"/>
      <c r="G251" s="37"/>
    </row>
    <row r="252" spans="1:7" ht="12.75">
      <c r="A252" s="37"/>
      <c r="B252" s="37"/>
      <c r="C252" s="37"/>
      <c r="D252" s="37"/>
      <c r="E252" s="37"/>
      <c r="F252" s="37"/>
      <c r="G252" s="37"/>
    </row>
    <row r="253" spans="1:7" ht="12.75">
      <c r="A253" s="37"/>
      <c r="B253" s="37"/>
      <c r="C253" s="37"/>
      <c r="D253" s="37"/>
      <c r="E253" s="37"/>
      <c r="F253" s="37"/>
      <c r="G253" s="37"/>
    </row>
    <row r="254" spans="1:7" ht="12.75">
      <c r="A254" s="37"/>
      <c r="B254" s="37"/>
      <c r="C254" s="37"/>
      <c r="D254" s="37"/>
      <c r="E254" s="37"/>
      <c r="F254" s="37"/>
      <c r="G254" s="37"/>
    </row>
    <row r="255" spans="1:7" ht="12.75">
      <c r="A255" s="37"/>
      <c r="B255" s="37"/>
      <c r="C255" s="37"/>
      <c r="D255" s="37"/>
      <c r="E255" s="37"/>
      <c r="F255" s="37"/>
      <c r="G255" s="37"/>
    </row>
    <row r="256" spans="1:7" ht="12.75">
      <c r="A256" s="37"/>
      <c r="B256" s="37"/>
      <c r="C256" s="37"/>
      <c r="D256" s="37"/>
      <c r="E256" s="37"/>
      <c r="F256" s="37"/>
      <c r="G256" s="37"/>
    </row>
    <row r="257" spans="1:7" ht="12.75">
      <c r="A257" s="37"/>
      <c r="B257" s="37"/>
      <c r="C257" s="37"/>
      <c r="D257" s="37"/>
      <c r="E257" s="37"/>
      <c r="F257" s="37"/>
      <c r="G257" s="37"/>
    </row>
    <row r="258" spans="1:7" ht="12.75">
      <c r="A258" s="37"/>
      <c r="B258" s="37"/>
      <c r="C258" s="37"/>
      <c r="D258" s="37"/>
      <c r="E258" s="37"/>
      <c r="F258" s="37"/>
      <c r="G258" s="37"/>
    </row>
    <row r="259" spans="1:7" ht="12.75">
      <c r="A259" s="37"/>
      <c r="B259" s="37"/>
      <c r="C259" s="37"/>
      <c r="D259" s="37"/>
      <c r="E259" s="37"/>
      <c r="F259" s="37"/>
      <c r="G259" s="37"/>
    </row>
    <row r="260" spans="1:7" ht="12.75">
      <c r="A260" s="37"/>
      <c r="B260" s="37"/>
      <c r="C260" s="37"/>
      <c r="D260" s="37"/>
      <c r="E260" s="37"/>
      <c r="F260" s="37"/>
      <c r="G260" s="37"/>
    </row>
    <row r="261" spans="1:7" ht="12.75">
      <c r="A261" s="37"/>
      <c r="B261" s="37"/>
      <c r="C261" s="37"/>
      <c r="D261" s="37"/>
      <c r="E261" s="37"/>
      <c r="F261" s="37"/>
      <c r="G261" s="37"/>
    </row>
    <row r="262" spans="1:7" ht="12.75">
      <c r="A262" s="37"/>
      <c r="B262" s="37"/>
      <c r="C262" s="37"/>
      <c r="D262" s="37"/>
      <c r="E262" s="37"/>
      <c r="F262" s="37"/>
      <c r="G262" s="37"/>
    </row>
    <row r="263" spans="1:7" ht="12.75">
      <c r="A263" s="37"/>
      <c r="B263" s="37"/>
      <c r="C263" s="37"/>
      <c r="D263" s="37"/>
      <c r="E263" s="37"/>
      <c r="F263" s="37"/>
      <c r="G263" s="37"/>
    </row>
    <row r="264" spans="1:7" ht="12.75">
      <c r="A264" s="37"/>
      <c r="B264" s="37"/>
      <c r="C264" s="37"/>
      <c r="D264" s="37"/>
      <c r="E264" s="37"/>
      <c r="F264" s="37"/>
      <c r="G264" s="37"/>
    </row>
    <row r="265" spans="1:7" ht="12.75">
      <c r="A265" s="37"/>
      <c r="B265" s="37"/>
      <c r="C265" s="37"/>
      <c r="D265" s="37"/>
      <c r="E265" s="37"/>
      <c r="F265" s="37"/>
      <c r="G265" s="37"/>
    </row>
    <row r="266" spans="1:7" ht="12.75">
      <c r="A266" s="37"/>
      <c r="B266" s="37"/>
      <c r="C266" s="37"/>
      <c r="D266" s="37"/>
      <c r="E266" s="37"/>
      <c r="F266" s="37"/>
      <c r="G266" s="37"/>
    </row>
    <row r="267" spans="1:7" ht="12.75">
      <c r="A267" s="37"/>
      <c r="B267" s="37"/>
      <c r="C267" s="37"/>
      <c r="D267" s="37"/>
      <c r="E267" s="37"/>
      <c r="F267" s="37"/>
      <c r="G267" s="37"/>
    </row>
    <row r="268" spans="1:7" ht="12.75">
      <c r="A268" s="37"/>
      <c r="B268" s="37"/>
      <c r="C268" s="37"/>
      <c r="D268" s="37"/>
      <c r="E268" s="37"/>
      <c r="F268" s="37"/>
      <c r="G268" s="37"/>
    </row>
    <row r="269" spans="1:7" ht="12.75">
      <c r="A269" s="37"/>
      <c r="B269" s="37"/>
      <c r="C269" s="37"/>
      <c r="D269" s="37"/>
      <c r="E269" s="37"/>
      <c r="F269" s="37"/>
      <c r="G269" s="37"/>
    </row>
    <row r="270" spans="1:7" ht="12.75">
      <c r="A270" s="37"/>
      <c r="B270" s="37"/>
      <c r="C270" s="37"/>
      <c r="D270" s="37"/>
      <c r="E270" s="37"/>
      <c r="F270" s="37"/>
      <c r="G270" s="37"/>
    </row>
    <row r="271" spans="1:7" ht="12.75">
      <c r="A271" s="37"/>
      <c r="B271" s="37"/>
      <c r="C271" s="37"/>
      <c r="D271" s="37"/>
      <c r="E271" s="37"/>
      <c r="F271" s="37"/>
      <c r="G271" s="37"/>
    </row>
    <row r="272" spans="1:7" ht="12.75">
      <c r="A272" s="37"/>
      <c r="B272" s="37"/>
      <c r="C272" s="37"/>
      <c r="D272" s="37"/>
      <c r="E272" s="37"/>
      <c r="F272" s="37"/>
      <c r="G272" s="37"/>
    </row>
    <row r="273" spans="1:7" ht="12.75">
      <c r="A273" s="37"/>
      <c r="B273" s="37"/>
      <c r="C273" s="37"/>
      <c r="D273" s="37"/>
      <c r="E273" s="37"/>
      <c r="F273" s="37"/>
      <c r="G273" s="37"/>
    </row>
    <row r="274" spans="1:7" ht="12.75">
      <c r="A274" s="37"/>
      <c r="B274" s="37"/>
      <c r="C274" s="37"/>
      <c r="D274" s="37"/>
      <c r="E274" s="37"/>
      <c r="F274" s="37"/>
      <c r="G274" s="37"/>
    </row>
    <row r="275" spans="1:7" ht="12.75">
      <c r="A275" s="37"/>
      <c r="B275" s="37"/>
      <c r="C275" s="37"/>
      <c r="D275" s="37"/>
      <c r="E275" s="37"/>
      <c r="F275" s="37"/>
      <c r="G275" s="37"/>
    </row>
    <row r="276" spans="1:7" ht="12.75">
      <c r="A276" s="37"/>
      <c r="B276" s="37"/>
      <c r="C276" s="37"/>
      <c r="D276" s="37"/>
      <c r="E276" s="37"/>
      <c r="F276" s="37"/>
      <c r="G276" s="37"/>
    </row>
    <row r="277" spans="1:7" ht="12.75">
      <c r="A277" s="37"/>
      <c r="B277" s="37"/>
      <c r="C277" s="37"/>
      <c r="D277" s="37"/>
      <c r="E277" s="37"/>
      <c r="F277" s="37"/>
      <c r="G277" s="37"/>
    </row>
    <row r="278" spans="1:7" ht="12.75">
      <c r="A278" s="37"/>
      <c r="B278" s="37"/>
      <c r="C278" s="37"/>
      <c r="D278" s="37"/>
      <c r="E278" s="37"/>
      <c r="F278" s="37"/>
      <c r="G278" s="37"/>
    </row>
    <row r="279" spans="1:7" ht="12.75">
      <c r="A279" s="37"/>
      <c r="B279" s="37"/>
      <c r="C279" s="37"/>
      <c r="D279" s="37"/>
      <c r="E279" s="37"/>
      <c r="F279" s="37"/>
      <c r="G279" s="37"/>
    </row>
    <row r="280" spans="1:7" ht="12.75">
      <c r="A280" s="37"/>
      <c r="B280" s="37"/>
      <c r="C280" s="37"/>
      <c r="D280" s="37"/>
      <c r="E280" s="37"/>
      <c r="F280" s="37"/>
      <c r="G280" s="37"/>
    </row>
    <row r="281" spans="1:7" ht="12.75">
      <c r="A281" s="37"/>
      <c r="B281" s="37"/>
      <c r="C281" s="37"/>
      <c r="D281" s="37"/>
      <c r="E281" s="37"/>
      <c r="F281" s="37"/>
      <c r="G281" s="37"/>
    </row>
    <row r="282" spans="1:7" ht="12.75">
      <c r="A282" s="37"/>
      <c r="B282" s="37"/>
      <c r="C282" s="37"/>
      <c r="D282" s="37"/>
      <c r="E282" s="37"/>
      <c r="F282" s="37"/>
      <c r="G282" s="37"/>
    </row>
    <row r="283" spans="1:7" ht="12.75">
      <c r="A283" s="37"/>
      <c r="B283" s="37"/>
      <c r="C283" s="37"/>
      <c r="D283" s="37"/>
      <c r="E283" s="37"/>
      <c r="F283" s="37"/>
      <c r="G283" s="37"/>
    </row>
    <row r="284" spans="1:7" ht="12.75">
      <c r="A284" s="37"/>
      <c r="B284" s="37"/>
      <c r="C284" s="37"/>
      <c r="D284" s="37"/>
      <c r="E284" s="37"/>
      <c r="F284" s="37"/>
      <c r="G284" s="37"/>
    </row>
    <row r="285" spans="1:7" ht="12.75">
      <c r="A285" s="37"/>
      <c r="B285" s="37"/>
      <c r="C285" s="37"/>
      <c r="D285" s="37"/>
      <c r="E285" s="37"/>
      <c r="F285" s="37"/>
      <c r="G285" s="37"/>
    </row>
    <row r="286" spans="1:7" ht="12.75">
      <c r="A286" s="37"/>
      <c r="B286" s="37"/>
      <c r="C286" s="37"/>
      <c r="D286" s="37"/>
      <c r="E286" s="37"/>
      <c r="F286" s="37"/>
      <c r="G286" s="37"/>
    </row>
    <row r="287" spans="1:7" ht="12.75">
      <c r="A287" s="37"/>
      <c r="B287" s="37"/>
      <c r="C287" s="37"/>
      <c r="D287" s="37"/>
      <c r="E287" s="37"/>
      <c r="F287" s="37"/>
      <c r="G287" s="37"/>
    </row>
    <row r="288" spans="1:8" ht="12.75">
      <c r="A288" s="37"/>
      <c r="B288" s="37"/>
      <c r="C288" s="37"/>
      <c r="D288" s="37"/>
      <c r="E288" s="37"/>
      <c r="F288" s="37"/>
      <c r="G288" s="37"/>
      <c r="H288" s="37"/>
    </row>
    <row r="289" spans="1:8" ht="12.75">
      <c r="A289" s="37"/>
      <c r="B289" s="37"/>
      <c r="C289" s="37"/>
      <c r="D289" s="37"/>
      <c r="E289" s="37"/>
      <c r="F289" s="37"/>
      <c r="G289" s="37"/>
      <c r="H289" s="37"/>
    </row>
    <row r="290" spans="1:8" ht="12.75">
      <c r="A290" s="37"/>
      <c r="B290" s="37"/>
      <c r="C290" s="37"/>
      <c r="D290" s="37"/>
      <c r="E290" s="37"/>
      <c r="F290" s="37"/>
      <c r="G290" s="37"/>
      <c r="H290" s="37"/>
    </row>
    <row r="291" spans="1:8" ht="12.75">
      <c r="A291" s="37"/>
      <c r="B291" s="37"/>
      <c r="C291" s="37"/>
      <c r="D291" s="37"/>
      <c r="E291" s="37"/>
      <c r="F291" s="37"/>
      <c r="G291" s="37"/>
      <c r="H291" s="37"/>
    </row>
    <row r="292" spans="1:8" ht="12.75">
      <c r="A292" s="37"/>
      <c r="B292" s="37"/>
      <c r="C292" s="37"/>
      <c r="D292" s="37"/>
      <c r="E292" s="37"/>
      <c r="F292" s="37"/>
      <c r="G292" s="37"/>
      <c r="H292" s="37"/>
    </row>
    <row r="293" spans="1:8" ht="12.75">
      <c r="A293" s="37"/>
      <c r="B293" s="37"/>
      <c r="C293" s="37"/>
      <c r="D293" s="37"/>
      <c r="E293" s="37"/>
      <c r="F293" s="37"/>
      <c r="G293" s="37"/>
      <c r="H293" s="37"/>
    </row>
    <row r="294" spans="1:8" ht="12.75">
      <c r="A294" s="37"/>
      <c r="B294" s="37"/>
      <c r="C294" s="37"/>
      <c r="D294" s="37"/>
      <c r="E294" s="37"/>
      <c r="F294" s="37"/>
      <c r="G294" s="37"/>
      <c r="H294" s="37"/>
    </row>
    <row r="295" spans="1:8" ht="12.75">
      <c r="A295" s="37"/>
      <c r="B295" s="37"/>
      <c r="C295" s="37"/>
      <c r="D295" s="37"/>
      <c r="E295" s="37"/>
      <c r="F295" s="37"/>
      <c r="G295" s="37"/>
      <c r="H295" s="37"/>
    </row>
    <row r="296" spans="1:8" ht="12.75">
      <c r="A296" s="37"/>
      <c r="B296" s="37"/>
      <c r="C296" s="37"/>
      <c r="D296" s="37"/>
      <c r="E296" s="37"/>
      <c r="F296" s="37"/>
      <c r="G296" s="37"/>
      <c r="H296" s="37"/>
    </row>
    <row r="297" spans="1:8" ht="12.75">
      <c r="A297" s="37"/>
      <c r="B297" s="37"/>
      <c r="C297" s="37"/>
      <c r="D297" s="37"/>
      <c r="E297" s="37"/>
      <c r="F297" s="37"/>
      <c r="G297" s="37"/>
      <c r="H297" s="37"/>
    </row>
    <row r="298" spans="1:8" ht="12.75">
      <c r="A298" s="37"/>
      <c r="B298" s="37"/>
      <c r="C298" s="37"/>
      <c r="D298" s="37"/>
      <c r="E298" s="37"/>
      <c r="F298" s="37"/>
      <c r="G298" s="37"/>
      <c r="H298" s="37"/>
    </row>
    <row r="299" spans="1:8" ht="12.75">
      <c r="A299" s="37"/>
      <c r="B299" s="37"/>
      <c r="C299" s="37"/>
      <c r="D299" s="37"/>
      <c r="E299" s="37"/>
      <c r="F299" s="37"/>
      <c r="G299" s="37"/>
      <c r="H299" s="37"/>
    </row>
    <row r="300" spans="1:8" ht="12.75">
      <c r="A300" s="37"/>
      <c r="B300" s="37"/>
      <c r="C300" s="37"/>
      <c r="D300" s="37"/>
      <c r="E300" s="37"/>
      <c r="F300" s="37"/>
      <c r="G300" s="37"/>
      <c r="H300" s="37"/>
    </row>
    <row r="301" spans="1:8" ht="12.75">
      <c r="A301" s="37"/>
      <c r="B301" s="37"/>
      <c r="C301" s="37"/>
      <c r="D301" s="37"/>
      <c r="E301" s="37"/>
      <c r="F301" s="37"/>
      <c r="G301" s="37"/>
      <c r="H301" s="37"/>
    </row>
    <row r="302" spans="1:8" ht="12.75">
      <c r="A302" s="37"/>
      <c r="B302" s="37"/>
      <c r="C302" s="37"/>
      <c r="D302" s="37"/>
      <c r="E302" s="37"/>
      <c r="F302" s="37"/>
      <c r="G302" s="37"/>
      <c r="H302" s="37"/>
    </row>
    <row r="303" spans="1:8" ht="12.75">
      <c r="A303" s="37"/>
      <c r="B303" s="37"/>
      <c r="C303" s="37"/>
      <c r="D303" s="37"/>
      <c r="E303" s="37"/>
      <c r="F303" s="37"/>
      <c r="G303" s="37"/>
      <c r="H303" s="37"/>
    </row>
    <row r="304" spans="1:8" ht="12.75">
      <c r="A304" s="37"/>
      <c r="B304" s="37"/>
      <c r="C304" s="37"/>
      <c r="D304" s="37"/>
      <c r="E304" s="37"/>
      <c r="F304" s="37"/>
      <c r="G304" s="37"/>
      <c r="H304" s="37"/>
    </row>
    <row r="305" spans="1:8" ht="12.75">
      <c r="A305" s="37"/>
      <c r="B305" s="37"/>
      <c r="C305" s="37"/>
      <c r="D305" s="37"/>
      <c r="E305" s="37"/>
      <c r="F305" s="37"/>
      <c r="G305" s="37"/>
      <c r="H305" s="37"/>
    </row>
    <row r="306" spans="1:8" ht="12.75">
      <c r="A306" s="37"/>
      <c r="B306" s="37"/>
      <c r="C306" s="37"/>
      <c r="D306" s="37"/>
      <c r="E306" s="37"/>
      <c r="F306" s="37"/>
      <c r="G306" s="37"/>
      <c r="H306" s="3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G247"/>
  <sheetViews>
    <sheetView workbookViewId="0" topLeftCell="G1">
      <selection activeCell="H13" sqref="H13"/>
    </sheetView>
  </sheetViews>
  <sheetFormatPr defaultColWidth="9.140625" defaultRowHeight="12.75"/>
  <cols>
    <col min="1" max="1" width="46.28125" style="163" hidden="1" customWidth="1"/>
    <col min="2" max="2" width="14.421875" style="163" hidden="1" customWidth="1"/>
    <col min="3" max="3" width="11.8515625" style="163" hidden="1" customWidth="1"/>
    <col min="4" max="4" width="14.140625" style="163" hidden="1" customWidth="1"/>
    <col min="5" max="5" width="8.57421875" style="163" hidden="1" customWidth="1"/>
    <col min="6" max="6" width="11.00390625" style="163" hidden="1" customWidth="1"/>
    <col min="7" max="7" width="45.28125" style="0" customWidth="1"/>
    <col min="8" max="8" width="11.140625" style="0" customWidth="1"/>
    <col min="9" max="9" width="11.421875" style="0" customWidth="1"/>
    <col min="10" max="10" width="10.140625" style="0" customWidth="1"/>
    <col min="11" max="11" width="10.28125" style="0" customWidth="1"/>
    <col min="12" max="12" width="9.8515625" style="0" customWidth="1"/>
    <col min="34" max="16384" width="9.140625" style="1" customWidth="1"/>
  </cols>
  <sheetData>
    <row r="1" spans="1:12" ht="12.75">
      <c r="A1" s="162"/>
      <c r="B1" s="162"/>
      <c r="C1" s="162"/>
      <c r="D1" s="162"/>
      <c r="F1" s="163" t="s">
        <v>234</v>
      </c>
      <c r="L1" s="163" t="s">
        <v>234</v>
      </c>
    </row>
    <row r="2" spans="1:12" ht="12.75">
      <c r="A2" s="3" t="s">
        <v>1</v>
      </c>
      <c r="B2" s="3"/>
      <c r="C2" s="36"/>
      <c r="D2" s="36"/>
      <c r="E2" s="3"/>
      <c r="G2" s="279" t="s">
        <v>1</v>
      </c>
      <c r="H2" s="279"/>
      <c r="I2" s="279"/>
      <c r="J2" s="279"/>
      <c r="K2" s="279"/>
      <c r="L2" s="279"/>
    </row>
    <row r="3" spans="1:5" ht="12.75">
      <c r="A3" s="3"/>
      <c r="B3" s="3"/>
      <c r="C3" s="36"/>
      <c r="D3" s="36"/>
      <c r="E3" s="3"/>
    </row>
    <row r="4" spans="1:12" ht="18" customHeight="1">
      <c r="A4" s="280" t="s">
        <v>235</v>
      </c>
      <c r="B4" s="280"/>
      <c r="C4" s="280"/>
      <c r="D4" s="280"/>
      <c r="E4" s="280"/>
      <c r="F4" s="280"/>
      <c r="G4" s="280" t="s">
        <v>235</v>
      </c>
      <c r="H4" s="280"/>
      <c r="I4" s="280"/>
      <c r="J4" s="280"/>
      <c r="K4" s="280"/>
      <c r="L4" s="280"/>
    </row>
    <row r="5" spans="1:12" ht="18" customHeight="1">
      <c r="A5" s="280" t="s">
        <v>236</v>
      </c>
      <c r="B5" s="280"/>
      <c r="C5" s="280"/>
      <c r="D5" s="280"/>
      <c r="E5" s="280"/>
      <c r="F5" s="280"/>
      <c r="G5" s="280" t="s">
        <v>236</v>
      </c>
      <c r="H5" s="280"/>
      <c r="I5" s="280"/>
      <c r="J5" s="280"/>
      <c r="K5" s="280"/>
      <c r="L5" s="280"/>
    </row>
    <row r="6" spans="1:12" ht="12.75">
      <c r="A6" s="164"/>
      <c r="B6" s="162"/>
      <c r="C6" s="162"/>
      <c r="D6" s="162"/>
      <c r="F6" s="162" t="s">
        <v>237</v>
      </c>
      <c r="L6" s="162" t="s">
        <v>237</v>
      </c>
    </row>
    <row r="7" spans="1:12" ht="45">
      <c r="A7" s="7" t="s">
        <v>5</v>
      </c>
      <c r="B7" s="7" t="s">
        <v>6</v>
      </c>
      <c r="C7" s="7" t="s">
        <v>183</v>
      </c>
      <c r="D7" s="7" t="s">
        <v>7</v>
      </c>
      <c r="E7" s="7" t="s">
        <v>238</v>
      </c>
      <c r="F7" s="7" t="s">
        <v>100</v>
      </c>
      <c r="G7" s="7" t="s">
        <v>5</v>
      </c>
      <c r="H7" s="7" t="s">
        <v>6</v>
      </c>
      <c r="I7" s="7" t="s">
        <v>239</v>
      </c>
      <c r="J7" s="7" t="s">
        <v>7</v>
      </c>
      <c r="K7" s="7" t="s">
        <v>238</v>
      </c>
      <c r="L7" s="7" t="s">
        <v>100</v>
      </c>
    </row>
    <row r="8" spans="1:12" ht="12.75">
      <c r="A8" s="54">
        <v>1</v>
      </c>
      <c r="B8" s="55">
        <v>2</v>
      </c>
      <c r="C8" s="57">
        <v>3</v>
      </c>
      <c r="D8" s="57">
        <v>4</v>
      </c>
      <c r="E8" s="57">
        <v>5</v>
      </c>
      <c r="F8" s="54">
        <v>6</v>
      </c>
      <c r="G8" s="54">
        <v>1</v>
      </c>
      <c r="H8" s="55">
        <v>2</v>
      </c>
      <c r="I8" s="57">
        <v>3</v>
      </c>
      <c r="J8" s="57">
        <v>4</v>
      </c>
      <c r="K8" s="57">
        <v>5</v>
      </c>
      <c r="L8" s="54">
        <v>6</v>
      </c>
    </row>
    <row r="9" spans="1:33" s="163" customFormat="1" ht="21" customHeight="1">
      <c r="A9" s="9" t="s">
        <v>240</v>
      </c>
      <c r="B9" s="59">
        <f>SUM(B19+B24+B30+B36+B42+B47+B55+B61+B72+B79+B87+B97+B104+B111+B116+B173+B184+B192+B198+B204+B211)-3735000</f>
        <v>810358111</v>
      </c>
      <c r="C9" s="59">
        <f>SUM(C19+C24+C30+C36+C42+C47+C55+C61+C72+C79+C87+C97+C104+C111+C116+C173+C184+C192+C198+C204+C211)</f>
        <v>231770696</v>
      </c>
      <c r="D9" s="59">
        <f>SUM(D19+D24+D30+D36+D42+D47+D55+D61+D72+D79+D87+D97+D104+D111+D116+D173+D184+D192+D198+D204+D211)</f>
        <v>215375436</v>
      </c>
      <c r="E9" s="39">
        <f>IF(ISERROR(D9/B9)," ",(D9/B9))</f>
        <v>0.26577809622244897</v>
      </c>
      <c r="F9" s="59">
        <f>SUM(F19+F24+F30+F36+F42+F47+F55+F61+F72+F79+F87+F97+F104+F111+F116+F173+F184+F192+F198+F204+F211)</f>
        <v>68536693</v>
      </c>
      <c r="G9" s="9" t="s">
        <v>240</v>
      </c>
      <c r="H9" s="129">
        <v>810358</v>
      </c>
      <c r="I9" s="129">
        <v>231771</v>
      </c>
      <c r="J9" s="129">
        <v>215375</v>
      </c>
      <c r="K9" s="11">
        <v>0.26577759459399425</v>
      </c>
      <c r="L9" s="129">
        <v>68536</v>
      </c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</row>
    <row r="10" spans="1:33" s="163" customFormat="1" ht="28.5" customHeight="1">
      <c r="A10" s="9" t="s">
        <v>241</v>
      </c>
      <c r="B10" s="59">
        <f>B11+B12</f>
        <v>870883731</v>
      </c>
      <c r="C10" s="59">
        <f>C11+C12</f>
        <v>258079286</v>
      </c>
      <c r="D10" s="59">
        <f>D11+D12</f>
        <v>235604536</v>
      </c>
      <c r="E10" s="166">
        <f aca="true" t="shared" si="0" ref="E10:E73">IF(ISERROR(D10/B10)," ",(D10/B10))</f>
        <v>0.27053500669884484</v>
      </c>
      <c r="F10" s="59">
        <f>F11+F12</f>
        <v>65944038</v>
      </c>
      <c r="G10" s="9" t="s">
        <v>241</v>
      </c>
      <c r="H10" s="129">
        <v>870884</v>
      </c>
      <c r="I10" s="129">
        <v>258079</v>
      </c>
      <c r="J10" s="129">
        <v>235605</v>
      </c>
      <c r="K10" s="11">
        <v>0.2705354559275403</v>
      </c>
      <c r="L10" s="129">
        <v>65946</v>
      </c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</row>
    <row r="11" spans="1:12" ht="12.75">
      <c r="A11" s="167" t="s">
        <v>242</v>
      </c>
      <c r="B11" s="71">
        <f>SUM(B22+B26+B34+B40+B45+B51+B58+B64+B76+B83+B92+B101+B108+B121+B178+B189+B194+B202+B208+B214)-3735000</f>
        <v>804930855</v>
      </c>
      <c r="C11" s="71">
        <f>SUM(C22+C26+C34+C40+C45+C51+C58+C64+C76+C83+C92+C101+C108+C121+C178+C189+C194+C202+C208+C214)</f>
        <v>246408463</v>
      </c>
      <c r="D11" s="71">
        <f>SUM(D22+D26+D34+D40+D45+D51+D58+D64+D76+D83+D92+D101+D108+D121+D178+D189+D194+D202+D208+D214)</f>
        <v>229054271</v>
      </c>
      <c r="E11" s="168">
        <f t="shared" si="0"/>
        <v>0.284563909529844</v>
      </c>
      <c r="F11" s="71">
        <f>SUM(F22+F26+F34+F40+F45+F51+F58+F64+F76+F83+F92+F101+F108+F121+F178+F189+F194+F202+F208+F214)</f>
        <v>63651602</v>
      </c>
      <c r="G11" s="167" t="s">
        <v>242</v>
      </c>
      <c r="H11" s="16">
        <v>804931</v>
      </c>
      <c r="I11" s="71">
        <v>246408</v>
      </c>
      <c r="J11" s="71">
        <v>229055</v>
      </c>
      <c r="K11" s="17">
        <v>0.2845647639362877</v>
      </c>
      <c r="L11" s="71">
        <v>63652</v>
      </c>
    </row>
    <row r="12" spans="1:12" ht="12.75">
      <c r="A12" s="167" t="s">
        <v>243</v>
      </c>
      <c r="B12" s="71">
        <f>SUM(B27+B52+B59+B65+B77+B84+B93+B102+B109+B113+B122+B179+B190+B195+B209+B215)</f>
        <v>65952876</v>
      </c>
      <c r="C12" s="71">
        <f>SUM(C27+C52+C59+C65+C77+C84+C93+C102+C109+C113+C122+C179+C190+C195+C209+C215)</f>
        <v>11670823</v>
      </c>
      <c r="D12" s="71">
        <f>SUM(D27+D52+D59+D65+D77+D84+D93+D102+D109+D113+D122+D179+D190+D195+D209+D215)</f>
        <v>6550265</v>
      </c>
      <c r="E12" s="168">
        <f t="shared" si="0"/>
        <v>0.09931735198325543</v>
      </c>
      <c r="F12" s="71">
        <f>SUM(F27+F52+F59+F65+F77+F84+F93+F102+F109+F113+F122+F179+F190+F195+F209+F215)</f>
        <v>2292436</v>
      </c>
      <c r="G12" s="167" t="s">
        <v>243</v>
      </c>
      <c r="H12" s="16">
        <v>65953</v>
      </c>
      <c r="I12" s="71">
        <v>11671</v>
      </c>
      <c r="J12" s="71">
        <v>6550</v>
      </c>
      <c r="K12" s="17">
        <v>0.09931314724121723</v>
      </c>
      <c r="L12" s="71">
        <v>2294</v>
      </c>
    </row>
    <row r="13" spans="1:33" s="127" customFormat="1" ht="18.75" customHeight="1">
      <c r="A13" s="9" t="s">
        <v>244</v>
      </c>
      <c r="B13" s="59">
        <f aca="true" t="shared" si="1" ref="B13:D14">SUM(B66)</f>
        <v>12756000</v>
      </c>
      <c r="C13" s="59">
        <f t="shared" si="1"/>
        <v>1067103</v>
      </c>
      <c r="D13" s="59">
        <f t="shared" si="1"/>
        <v>0</v>
      </c>
      <c r="E13" s="166">
        <f t="shared" si="0"/>
        <v>0</v>
      </c>
      <c r="F13" s="59">
        <f>SUM(F66)</f>
        <v>0</v>
      </c>
      <c r="G13" s="9" t="s">
        <v>244</v>
      </c>
      <c r="H13" s="129">
        <v>12756</v>
      </c>
      <c r="I13" s="129">
        <v>1067</v>
      </c>
      <c r="J13" s="129">
        <v>0</v>
      </c>
      <c r="K13" s="11">
        <v>0</v>
      </c>
      <c r="L13" s="129">
        <v>0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</row>
    <row r="14" spans="1:33" s="127" customFormat="1" ht="16.5" customHeight="1">
      <c r="A14" s="9" t="s">
        <v>245</v>
      </c>
      <c r="B14" s="59">
        <f t="shared" si="1"/>
        <v>5250</v>
      </c>
      <c r="C14" s="59">
        <f t="shared" si="1"/>
        <v>0</v>
      </c>
      <c r="D14" s="59">
        <f t="shared" si="1"/>
        <v>0</v>
      </c>
      <c r="E14" s="166">
        <f t="shared" si="0"/>
        <v>0</v>
      </c>
      <c r="F14" s="59">
        <f>SUM(F67)</f>
        <v>0</v>
      </c>
      <c r="G14" s="9" t="s">
        <v>245</v>
      </c>
      <c r="H14" s="129">
        <v>5</v>
      </c>
      <c r="I14" s="129">
        <v>0</v>
      </c>
      <c r="J14" s="129">
        <v>0</v>
      </c>
      <c r="K14" s="11">
        <v>0</v>
      </c>
      <c r="L14" s="129">
        <v>0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</row>
    <row r="15" spans="1:33" s="127" customFormat="1" ht="16.5" customHeight="1">
      <c r="A15" s="9" t="s">
        <v>246</v>
      </c>
      <c r="B15" s="59">
        <f>SUM(B68+B94+B123+B180+B216)</f>
        <v>-73276370</v>
      </c>
      <c r="C15" s="59">
        <f>SUM(C68+C94+C123+C180+C216)</f>
        <v>-25476857</v>
      </c>
      <c r="D15" s="59">
        <f>D9-D10</f>
        <v>-20229100</v>
      </c>
      <c r="E15" s="166">
        <f t="shared" si="0"/>
        <v>0.276065804023862</v>
      </c>
      <c r="F15" s="59">
        <f>F9-F10</f>
        <v>2592655</v>
      </c>
      <c r="G15" s="9" t="s">
        <v>246</v>
      </c>
      <c r="H15" s="129">
        <v>-73275</v>
      </c>
      <c r="I15" s="129">
        <v>-25477</v>
      </c>
      <c r="J15" s="64">
        <v>-20230</v>
      </c>
      <c r="K15" s="11">
        <v>0.2760832480382122</v>
      </c>
      <c r="L15" s="64">
        <v>2590</v>
      </c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</row>
    <row r="16" spans="1:33" s="127" customFormat="1" ht="12.75">
      <c r="A16" s="170" t="s">
        <v>247</v>
      </c>
      <c r="B16" s="59">
        <f>SUM(B69+B95+B124+B181+B217)</f>
        <v>58334396</v>
      </c>
      <c r="C16" s="59">
        <f>SUM(C69+C95+C124+C181+C217)</f>
        <v>7012340</v>
      </c>
      <c r="D16" s="59">
        <f>SUM(D69+D95+D124+D181+D217)</f>
        <v>13286212</v>
      </c>
      <c r="E16" s="166">
        <f t="shared" si="0"/>
        <v>0.2277594851586361</v>
      </c>
      <c r="F16" s="59">
        <f>SUM(F69+F95+F124+F181+F217)</f>
        <v>-6727994</v>
      </c>
      <c r="G16" s="170" t="s">
        <v>247</v>
      </c>
      <c r="H16" s="129">
        <v>58333</v>
      </c>
      <c r="I16" s="129">
        <v>7012</v>
      </c>
      <c r="J16" s="129">
        <v>13286</v>
      </c>
      <c r="K16" s="11">
        <v>0.22776130149315138</v>
      </c>
      <c r="L16" s="129">
        <v>-6727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</row>
    <row r="17" spans="1:12" ht="15" customHeight="1">
      <c r="A17" s="9" t="s">
        <v>150</v>
      </c>
      <c r="B17" s="59"/>
      <c r="C17" s="59"/>
      <c r="D17" s="59"/>
      <c r="E17" s="166" t="str">
        <f t="shared" si="0"/>
        <v> </v>
      </c>
      <c r="F17" s="59"/>
      <c r="G17" s="9" t="s">
        <v>150</v>
      </c>
      <c r="H17" s="171"/>
      <c r="I17" s="171"/>
      <c r="J17" s="171"/>
      <c r="K17" s="14"/>
      <c r="L17" s="171"/>
    </row>
    <row r="18" spans="1:12" ht="12.75">
      <c r="A18" s="172" t="s">
        <v>248</v>
      </c>
      <c r="B18" s="71"/>
      <c r="C18" s="71"/>
      <c r="D18" s="71"/>
      <c r="E18" s="166" t="str">
        <f t="shared" si="0"/>
        <v> </v>
      </c>
      <c r="F18" s="71"/>
      <c r="G18" s="172" t="s">
        <v>248</v>
      </c>
      <c r="H18" s="151"/>
      <c r="I18" s="151"/>
      <c r="J18" s="151"/>
      <c r="K18" s="14"/>
      <c r="L18" s="151"/>
    </row>
    <row r="19" spans="1:12" ht="12.75">
      <c r="A19" s="130" t="s">
        <v>249</v>
      </c>
      <c r="B19" s="71">
        <v>44790000</v>
      </c>
      <c r="C19" s="71">
        <v>3200000</v>
      </c>
      <c r="D19" s="71">
        <v>1882936</v>
      </c>
      <c r="E19" s="168">
        <f t="shared" si="0"/>
        <v>0.04203920517972762</v>
      </c>
      <c r="F19" s="71">
        <f>D19-'[5]Marts1'!D19</f>
        <v>-31786</v>
      </c>
      <c r="G19" s="130" t="s">
        <v>249</v>
      </c>
      <c r="H19" s="16">
        <v>44790</v>
      </c>
      <c r="I19" s="16">
        <v>3200</v>
      </c>
      <c r="J19" s="16">
        <v>1883</v>
      </c>
      <c r="K19" s="17">
        <v>0.042040634070104936</v>
      </c>
      <c r="L19" s="16">
        <v>-32</v>
      </c>
    </row>
    <row r="20" spans="1:12" ht="12.75">
      <c r="A20" s="173" t="s">
        <v>250</v>
      </c>
      <c r="B20" s="71">
        <v>36212000</v>
      </c>
      <c r="C20" s="71"/>
      <c r="D20" s="71"/>
      <c r="E20" s="168">
        <f t="shared" si="0"/>
        <v>0</v>
      </c>
      <c r="F20" s="71">
        <f>D20-'[5]Marts1'!D20</f>
        <v>0</v>
      </c>
      <c r="G20" s="173" t="s">
        <v>250</v>
      </c>
      <c r="H20" s="16">
        <v>36212</v>
      </c>
      <c r="I20" s="16">
        <v>0</v>
      </c>
      <c r="J20" s="16">
        <v>0</v>
      </c>
      <c r="K20" s="17">
        <v>0</v>
      </c>
      <c r="L20" s="16">
        <v>0</v>
      </c>
    </row>
    <row r="21" spans="1:12" ht="12.75">
      <c r="A21" s="130" t="s">
        <v>251</v>
      </c>
      <c r="B21" s="71">
        <f>B22</f>
        <v>44790000</v>
      </c>
      <c r="C21" s="71">
        <f>C22</f>
        <v>3100000</v>
      </c>
      <c r="D21" s="71">
        <f>D22</f>
        <v>0</v>
      </c>
      <c r="E21" s="168">
        <f t="shared" si="0"/>
        <v>0</v>
      </c>
      <c r="F21" s="71">
        <f>F22</f>
        <v>0</v>
      </c>
      <c r="G21" s="130" t="s">
        <v>251</v>
      </c>
      <c r="H21" s="151">
        <v>44790</v>
      </c>
      <c r="I21" s="151">
        <v>3100</v>
      </c>
      <c r="J21" s="151">
        <v>0</v>
      </c>
      <c r="K21" s="17">
        <v>0</v>
      </c>
      <c r="L21" s="151">
        <v>0</v>
      </c>
    </row>
    <row r="22" spans="1:12" ht="12.75">
      <c r="A22" s="130" t="s">
        <v>242</v>
      </c>
      <c r="B22" s="71">
        <v>44790000</v>
      </c>
      <c r="C22" s="71">
        <v>3100000</v>
      </c>
      <c r="D22" s="71"/>
      <c r="E22" s="168">
        <f t="shared" si="0"/>
        <v>0</v>
      </c>
      <c r="F22" s="71">
        <f>D22-'[5]Marts1'!D22</f>
        <v>0</v>
      </c>
      <c r="G22" s="130" t="s">
        <v>242</v>
      </c>
      <c r="H22" s="16">
        <v>44790</v>
      </c>
      <c r="I22" s="16">
        <v>3100</v>
      </c>
      <c r="J22" s="16">
        <v>0</v>
      </c>
      <c r="K22" s="17">
        <v>0</v>
      </c>
      <c r="L22" s="16">
        <v>0</v>
      </c>
    </row>
    <row r="23" spans="1:12" ht="12.75">
      <c r="A23" s="172" t="s">
        <v>252</v>
      </c>
      <c r="B23" s="71"/>
      <c r="C23" s="71"/>
      <c r="D23" s="71"/>
      <c r="E23" s="168" t="str">
        <f t="shared" si="0"/>
        <v> </v>
      </c>
      <c r="F23" s="71"/>
      <c r="G23" s="172" t="s">
        <v>252</v>
      </c>
      <c r="H23" s="151"/>
      <c r="I23" s="151"/>
      <c r="J23" s="151"/>
      <c r="K23" s="17"/>
      <c r="L23" s="151"/>
    </row>
    <row r="24" spans="1:12" ht="12.75">
      <c r="A24" s="130" t="s">
        <v>249</v>
      </c>
      <c r="B24" s="71">
        <v>3307500</v>
      </c>
      <c r="C24" s="71">
        <v>1090000</v>
      </c>
      <c r="D24" s="71">
        <v>766802</v>
      </c>
      <c r="E24" s="168">
        <f t="shared" si="0"/>
        <v>0.23183733938019652</v>
      </c>
      <c r="F24" s="71">
        <f>D24-'[5]Marts1'!D24</f>
        <v>254363</v>
      </c>
      <c r="G24" s="130" t="s">
        <v>249</v>
      </c>
      <c r="H24" s="16">
        <v>3307</v>
      </c>
      <c r="I24" s="16">
        <v>1090</v>
      </c>
      <c r="J24" s="16">
        <v>767</v>
      </c>
      <c r="K24" s="17">
        <v>0.23193226489265195</v>
      </c>
      <c r="L24" s="16">
        <v>255</v>
      </c>
    </row>
    <row r="25" spans="1:12" ht="12.75">
      <c r="A25" s="130" t="s">
        <v>251</v>
      </c>
      <c r="B25" s="71">
        <f>B26+B27</f>
        <v>3307500</v>
      </c>
      <c r="C25" s="71">
        <f>C26+C27</f>
        <v>1090000</v>
      </c>
      <c r="D25" s="71">
        <f>D26+D27</f>
        <v>669885</v>
      </c>
      <c r="E25" s="168">
        <f t="shared" si="0"/>
        <v>0.20253514739229025</v>
      </c>
      <c r="F25" s="71">
        <f>F26+F27</f>
        <v>165905</v>
      </c>
      <c r="G25" s="130" t="s">
        <v>251</v>
      </c>
      <c r="H25" s="151">
        <v>3308</v>
      </c>
      <c r="I25" s="151">
        <v>1090</v>
      </c>
      <c r="J25" s="151">
        <v>670</v>
      </c>
      <c r="K25" s="17">
        <v>0.20253929866989118</v>
      </c>
      <c r="L25" s="151">
        <v>166</v>
      </c>
    </row>
    <row r="26" spans="1:12" ht="12.75">
      <c r="A26" s="130" t="s">
        <v>242</v>
      </c>
      <c r="B26" s="71">
        <v>2991500</v>
      </c>
      <c r="C26" s="71">
        <v>986000</v>
      </c>
      <c r="D26" s="71">
        <v>649001</v>
      </c>
      <c r="E26" s="168">
        <f t="shared" si="0"/>
        <v>0.21694835366872806</v>
      </c>
      <c r="F26" s="71">
        <f>D26-'[5]Marts1'!D26</f>
        <v>161444</v>
      </c>
      <c r="G26" s="130" t="s">
        <v>242</v>
      </c>
      <c r="H26" s="16">
        <v>2992</v>
      </c>
      <c r="I26" s="16">
        <v>986</v>
      </c>
      <c r="J26" s="16">
        <v>649</v>
      </c>
      <c r="K26" s="17">
        <v>0.21691176470588236</v>
      </c>
      <c r="L26" s="16">
        <v>161</v>
      </c>
    </row>
    <row r="27" spans="1:12" ht="12.75">
      <c r="A27" s="130" t="s">
        <v>243</v>
      </c>
      <c r="B27" s="71">
        <v>316000</v>
      </c>
      <c r="C27" s="71">
        <v>104000</v>
      </c>
      <c r="D27" s="71">
        <v>20884</v>
      </c>
      <c r="E27" s="168">
        <f t="shared" si="0"/>
        <v>0.0660886075949367</v>
      </c>
      <c r="F27" s="71">
        <f>D27-'[5]Marts1'!D27</f>
        <v>4461</v>
      </c>
      <c r="G27" s="130" t="s">
        <v>243</v>
      </c>
      <c r="H27" s="16">
        <v>316</v>
      </c>
      <c r="I27" s="16">
        <v>104</v>
      </c>
      <c r="J27" s="16">
        <v>21</v>
      </c>
      <c r="K27" s="17">
        <v>0.06645569620253164</v>
      </c>
      <c r="L27" s="16">
        <v>5</v>
      </c>
    </row>
    <row r="28" spans="1:12" ht="15" customHeight="1">
      <c r="A28" s="9" t="s">
        <v>151</v>
      </c>
      <c r="B28" s="59"/>
      <c r="C28" s="59"/>
      <c r="D28" s="59"/>
      <c r="E28" s="168" t="str">
        <f t="shared" si="0"/>
        <v> </v>
      </c>
      <c r="F28" s="59"/>
      <c r="G28" s="9" t="s">
        <v>151</v>
      </c>
      <c r="H28" s="171"/>
      <c r="I28" s="171"/>
      <c r="J28" s="171"/>
      <c r="K28" s="17"/>
      <c r="L28" s="171"/>
    </row>
    <row r="29" spans="1:12" ht="27.75" customHeight="1">
      <c r="A29" s="174" t="s">
        <v>253</v>
      </c>
      <c r="B29" s="71"/>
      <c r="C29" s="71"/>
      <c r="D29" s="71"/>
      <c r="E29" s="168" t="str">
        <f t="shared" si="0"/>
        <v> </v>
      </c>
      <c r="F29" s="71"/>
      <c r="G29" s="174" t="s">
        <v>253</v>
      </c>
      <c r="H29" s="151"/>
      <c r="I29" s="151"/>
      <c r="J29" s="151"/>
      <c r="K29" s="17"/>
      <c r="L29" s="151"/>
    </row>
    <row r="30" spans="1:12" ht="12.75">
      <c r="A30" s="130" t="s">
        <v>249</v>
      </c>
      <c r="B30" s="71">
        <f>B31+B32</f>
        <v>1764000</v>
      </c>
      <c r="C30" s="71">
        <v>579987</v>
      </c>
      <c r="D30" s="71">
        <f>D31+D32</f>
        <v>787983</v>
      </c>
      <c r="E30" s="168">
        <f t="shared" si="0"/>
        <v>0.44670238095238096</v>
      </c>
      <c r="F30" s="71">
        <f>F31+F32</f>
        <v>153580</v>
      </c>
      <c r="G30" s="130" t="s">
        <v>249</v>
      </c>
      <c r="H30" s="151">
        <v>1764</v>
      </c>
      <c r="I30" s="16">
        <v>580</v>
      </c>
      <c r="J30" s="151">
        <v>788</v>
      </c>
      <c r="K30" s="17">
        <v>0.4467120181405896</v>
      </c>
      <c r="L30" s="151">
        <v>154</v>
      </c>
    </row>
    <row r="31" spans="1:12" ht="12.75">
      <c r="A31" s="77" t="s">
        <v>254</v>
      </c>
      <c r="B31" s="71">
        <v>1550000</v>
      </c>
      <c r="C31" s="71"/>
      <c r="D31" s="71">
        <v>678180</v>
      </c>
      <c r="E31" s="168">
        <f t="shared" si="0"/>
        <v>0.43753548387096775</v>
      </c>
      <c r="F31" s="71">
        <f>D31-'[5]Marts1'!D31</f>
        <v>168745</v>
      </c>
      <c r="G31" s="77" t="s">
        <v>254</v>
      </c>
      <c r="H31" s="16">
        <v>1550</v>
      </c>
      <c r="I31" s="16">
        <v>0</v>
      </c>
      <c r="J31" s="16">
        <v>678</v>
      </c>
      <c r="K31" s="17">
        <v>0.4374193548387097</v>
      </c>
      <c r="L31" s="16">
        <v>169</v>
      </c>
    </row>
    <row r="32" spans="1:12" ht="12.75">
      <c r="A32" s="156" t="s">
        <v>255</v>
      </c>
      <c r="B32" s="71">
        <v>214000</v>
      </c>
      <c r="C32" s="71"/>
      <c r="D32" s="71">
        <f>33479+31233+45091</f>
        <v>109803</v>
      </c>
      <c r="E32" s="168">
        <f t="shared" si="0"/>
        <v>0.5130981308411215</v>
      </c>
      <c r="F32" s="71">
        <f>D32-'[5]Marts1'!D32</f>
        <v>-15165</v>
      </c>
      <c r="G32" s="156" t="s">
        <v>255</v>
      </c>
      <c r="H32" s="16">
        <v>214</v>
      </c>
      <c r="I32" s="16">
        <v>0</v>
      </c>
      <c r="J32" s="16">
        <v>110</v>
      </c>
      <c r="K32" s="17">
        <v>0.514018691588785</v>
      </c>
      <c r="L32" s="16">
        <v>-15</v>
      </c>
    </row>
    <row r="33" spans="1:12" ht="12.75">
      <c r="A33" s="130" t="s">
        <v>251</v>
      </c>
      <c r="B33" s="71">
        <f>B34</f>
        <v>1764000</v>
      </c>
      <c r="C33" s="71">
        <f>C34</f>
        <v>579987</v>
      </c>
      <c r="D33" s="71">
        <f>D34</f>
        <v>195514</v>
      </c>
      <c r="E33" s="168">
        <f t="shared" si="0"/>
        <v>0.11083560090702947</v>
      </c>
      <c r="F33" s="71">
        <f>F34</f>
        <v>40532</v>
      </c>
      <c r="G33" s="130" t="s">
        <v>251</v>
      </c>
      <c r="H33" s="151">
        <v>1764</v>
      </c>
      <c r="I33" s="151">
        <v>580</v>
      </c>
      <c r="J33" s="151">
        <v>195</v>
      </c>
      <c r="K33" s="17">
        <v>0.11054421768707483</v>
      </c>
      <c r="L33" s="151">
        <v>40</v>
      </c>
    </row>
    <row r="34" spans="1:12" ht="12.75">
      <c r="A34" s="130" t="s">
        <v>242</v>
      </c>
      <c r="B34" s="71">
        <v>1764000</v>
      </c>
      <c r="C34" s="71">
        <v>579987</v>
      </c>
      <c r="D34" s="71">
        <v>195514</v>
      </c>
      <c r="E34" s="168">
        <f t="shared" si="0"/>
        <v>0.11083560090702947</v>
      </c>
      <c r="F34" s="71">
        <f>D34-'[5]Marts1'!D34</f>
        <v>40532</v>
      </c>
      <c r="G34" s="130" t="s">
        <v>242</v>
      </c>
      <c r="H34" s="16">
        <v>1764</v>
      </c>
      <c r="I34" s="16">
        <v>580</v>
      </c>
      <c r="J34" s="16">
        <v>195</v>
      </c>
      <c r="K34" s="17">
        <v>0.11054421768707483</v>
      </c>
      <c r="L34" s="16">
        <v>40</v>
      </c>
    </row>
    <row r="35" spans="1:12" ht="24.75" customHeight="1">
      <c r="A35" s="174" t="s">
        <v>256</v>
      </c>
      <c r="B35" s="71"/>
      <c r="C35" s="71"/>
      <c r="D35" s="71"/>
      <c r="E35" s="168" t="str">
        <f t="shared" si="0"/>
        <v> </v>
      </c>
      <c r="F35" s="71"/>
      <c r="G35" s="174" t="s">
        <v>256</v>
      </c>
      <c r="H35" s="151"/>
      <c r="I35" s="151"/>
      <c r="J35" s="151"/>
      <c r="K35" s="17"/>
      <c r="L35" s="151"/>
    </row>
    <row r="36" spans="1:12" ht="12.75">
      <c r="A36" s="130" t="s">
        <v>249</v>
      </c>
      <c r="B36" s="71">
        <f>B37+B38</f>
        <v>147000</v>
      </c>
      <c r="C36" s="71">
        <v>68180</v>
      </c>
      <c r="D36" s="71">
        <f>D37+D38</f>
        <v>69226</v>
      </c>
      <c r="E36" s="168">
        <f t="shared" si="0"/>
        <v>0.4709251700680272</v>
      </c>
      <c r="F36" s="71">
        <f>F37+F38</f>
        <v>34074</v>
      </c>
      <c r="G36" s="130" t="s">
        <v>249</v>
      </c>
      <c r="H36" s="151">
        <v>147</v>
      </c>
      <c r="I36" s="16">
        <v>68</v>
      </c>
      <c r="J36" s="151">
        <v>69</v>
      </c>
      <c r="K36" s="17">
        <v>0.46938775510204084</v>
      </c>
      <c r="L36" s="151">
        <v>34</v>
      </c>
    </row>
    <row r="37" spans="1:12" ht="12.75">
      <c r="A37" s="77" t="s">
        <v>257</v>
      </c>
      <c r="B37" s="71">
        <v>147000</v>
      </c>
      <c r="C37" s="71"/>
      <c r="D37" s="71">
        <v>69226</v>
      </c>
      <c r="E37" s="168">
        <f t="shared" si="0"/>
        <v>0.4709251700680272</v>
      </c>
      <c r="F37" s="71">
        <f>D37-'[5]Marts1'!D37</f>
        <v>34074</v>
      </c>
      <c r="G37" s="77" t="s">
        <v>257</v>
      </c>
      <c r="H37" s="16">
        <v>147</v>
      </c>
      <c r="I37" s="16">
        <v>0</v>
      </c>
      <c r="J37" s="16">
        <v>69</v>
      </c>
      <c r="K37" s="17">
        <v>0.46938775510204084</v>
      </c>
      <c r="L37" s="16">
        <v>34</v>
      </c>
    </row>
    <row r="38" spans="1:12" ht="12.75">
      <c r="A38" s="77" t="s">
        <v>255</v>
      </c>
      <c r="B38" s="71"/>
      <c r="C38" s="71"/>
      <c r="D38" s="71"/>
      <c r="E38" s="168" t="str">
        <f t="shared" si="0"/>
        <v> </v>
      </c>
      <c r="F38" s="71">
        <f>D38-'[5]Marts1'!D38</f>
        <v>0</v>
      </c>
      <c r="G38" s="77" t="s">
        <v>255</v>
      </c>
      <c r="H38" s="151"/>
      <c r="I38" s="151"/>
      <c r="J38" s="151"/>
      <c r="K38" s="17" t="s">
        <v>92</v>
      </c>
      <c r="L38" s="16">
        <v>0</v>
      </c>
    </row>
    <row r="39" spans="1:12" ht="12.75">
      <c r="A39" s="130" t="s">
        <v>251</v>
      </c>
      <c r="B39" s="71">
        <f>B40</f>
        <v>147000</v>
      </c>
      <c r="C39" s="71">
        <f>C40</f>
        <v>68180</v>
      </c>
      <c r="D39" s="71">
        <f>D40</f>
        <v>0</v>
      </c>
      <c r="E39" s="168">
        <f t="shared" si="0"/>
        <v>0</v>
      </c>
      <c r="F39" s="71">
        <f>F40</f>
        <v>0</v>
      </c>
      <c r="G39" s="130" t="s">
        <v>251</v>
      </c>
      <c r="H39" s="151">
        <v>147</v>
      </c>
      <c r="I39" s="151">
        <v>68</v>
      </c>
      <c r="J39" s="151">
        <v>0</v>
      </c>
      <c r="K39" s="17">
        <v>0</v>
      </c>
      <c r="L39" s="151">
        <v>0</v>
      </c>
    </row>
    <row r="40" spans="1:12" ht="12.75">
      <c r="A40" s="130" t="s">
        <v>242</v>
      </c>
      <c r="B40" s="71">
        <v>147000</v>
      </c>
      <c r="C40" s="71">
        <v>68180</v>
      </c>
      <c r="D40" s="71"/>
      <c r="E40" s="168">
        <f t="shared" si="0"/>
        <v>0</v>
      </c>
      <c r="F40" s="71">
        <f>D40-'[5]Marts1'!D40</f>
        <v>0</v>
      </c>
      <c r="G40" s="130" t="s">
        <v>242</v>
      </c>
      <c r="H40" s="16">
        <v>147</v>
      </c>
      <c r="I40" s="16">
        <v>68</v>
      </c>
      <c r="J40" s="16">
        <v>0</v>
      </c>
      <c r="K40" s="17">
        <v>0</v>
      </c>
      <c r="L40" s="16">
        <v>0</v>
      </c>
    </row>
    <row r="41" spans="1:12" ht="15.75" customHeight="1">
      <c r="A41" s="174" t="s">
        <v>258</v>
      </c>
      <c r="B41" s="71"/>
      <c r="C41" s="71"/>
      <c r="D41" s="71"/>
      <c r="E41" s="168" t="str">
        <f t="shared" si="0"/>
        <v> </v>
      </c>
      <c r="F41" s="71"/>
      <c r="G41" s="174" t="s">
        <v>258</v>
      </c>
      <c r="H41" s="151"/>
      <c r="I41" s="151"/>
      <c r="J41" s="151"/>
      <c r="K41" s="17"/>
      <c r="L41" s="151"/>
    </row>
    <row r="42" spans="1:12" ht="12.75">
      <c r="A42" s="130" t="s">
        <v>249</v>
      </c>
      <c r="B42" s="71">
        <f>B43</f>
        <v>88200</v>
      </c>
      <c r="C42" s="71">
        <v>50000</v>
      </c>
      <c r="D42" s="71">
        <f>D43</f>
        <v>41891</v>
      </c>
      <c r="E42" s="168">
        <f t="shared" si="0"/>
        <v>0.4749546485260771</v>
      </c>
      <c r="F42" s="71">
        <f>F43</f>
        <v>20450</v>
      </c>
      <c r="G42" s="130" t="s">
        <v>249</v>
      </c>
      <c r="H42" s="151">
        <v>88</v>
      </c>
      <c r="I42" s="16">
        <v>50</v>
      </c>
      <c r="J42" s="151">
        <v>42</v>
      </c>
      <c r="K42" s="17">
        <v>0.4772727272727273</v>
      </c>
      <c r="L42" s="151">
        <v>21</v>
      </c>
    </row>
    <row r="43" spans="1:12" ht="12.75">
      <c r="A43" s="77" t="s">
        <v>257</v>
      </c>
      <c r="B43" s="71">
        <v>88200</v>
      </c>
      <c r="C43" s="71"/>
      <c r="D43" s="71">
        <v>41891</v>
      </c>
      <c r="E43" s="168">
        <f t="shared" si="0"/>
        <v>0.4749546485260771</v>
      </c>
      <c r="F43" s="71">
        <f>D43-'[5]Marts1'!D43</f>
        <v>20450</v>
      </c>
      <c r="G43" s="77" t="s">
        <v>257</v>
      </c>
      <c r="H43" s="16">
        <v>88</v>
      </c>
      <c r="I43" s="16">
        <v>0</v>
      </c>
      <c r="J43" s="16">
        <v>42</v>
      </c>
      <c r="K43" s="17">
        <v>0.4772727272727273</v>
      </c>
      <c r="L43" s="16">
        <v>21</v>
      </c>
    </row>
    <row r="44" spans="1:12" ht="12.75">
      <c r="A44" s="130" t="s">
        <v>251</v>
      </c>
      <c r="B44" s="71">
        <f>B45</f>
        <v>88200</v>
      </c>
      <c r="C44" s="71">
        <f>C45</f>
        <v>50000</v>
      </c>
      <c r="D44" s="71">
        <f>D45</f>
        <v>0</v>
      </c>
      <c r="E44" s="168">
        <f t="shared" si="0"/>
        <v>0</v>
      </c>
      <c r="F44" s="71">
        <f>F45</f>
        <v>0</v>
      </c>
      <c r="G44" s="130" t="s">
        <v>251</v>
      </c>
      <c r="H44" s="151">
        <v>88</v>
      </c>
      <c r="I44" s="151">
        <v>50</v>
      </c>
      <c r="J44" s="151">
        <v>0</v>
      </c>
      <c r="K44" s="17">
        <v>0</v>
      </c>
      <c r="L44" s="151">
        <v>0</v>
      </c>
    </row>
    <row r="45" spans="1:12" ht="12.75">
      <c r="A45" s="130" t="s">
        <v>242</v>
      </c>
      <c r="B45" s="175">
        <v>88200</v>
      </c>
      <c r="C45" s="175">
        <v>50000</v>
      </c>
      <c r="D45" s="175"/>
      <c r="E45" s="168">
        <f t="shared" si="0"/>
        <v>0</v>
      </c>
      <c r="F45" s="71">
        <f>D45-'[5]Marts1'!D45</f>
        <v>0</v>
      </c>
      <c r="G45" s="130" t="s">
        <v>242</v>
      </c>
      <c r="H45" s="16">
        <v>88</v>
      </c>
      <c r="I45" s="16">
        <v>50</v>
      </c>
      <c r="J45" s="16">
        <v>0</v>
      </c>
      <c r="K45" s="17">
        <v>0</v>
      </c>
      <c r="L45" s="16">
        <v>0</v>
      </c>
    </row>
    <row r="46" spans="1:12" ht="26.25" customHeight="1">
      <c r="A46" s="174" t="s">
        <v>259</v>
      </c>
      <c r="B46" s="136"/>
      <c r="C46" s="136"/>
      <c r="D46" s="136"/>
      <c r="E46" s="168" t="str">
        <f t="shared" si="0"/>
        <v> </v>
      </c>
      <c r="F46" s="136"/>
      <c r="G46" s="174" t="s">
        <v>259</v>
      </c>
      <c r="H46" s="139"/>
      <c r="I46" s="139"/>
      <c r="J46" s="139"/>
      <c r="K46" s="17"/>
      <c r="L46" s="139"/>
    </row>
    <row r="47" spans="1:12" ht="12.75">
      <c r="A47" s="130" t="s">
        <v>249</v>
      </c>
      <c r="B47" s="71">
        <f>B48+B49</f>
        <v>1300000</v>
      </c>
      <c r="C47" s="71">
        <v>207800</v>
      </c>
      <c r="D47" s="71">
        <f>D48+D49</f>
        <v>364052</v>
      </c>
      <c r="E47" s="168">
        <f t="shared" si="0"/>
        <v>0.28004</v>
      </c>
      <c r="F47" s="71">
        <f>F48+F49</f>
        <v>179298</v>
      </c>
      <c r="G47" s="130" t="s">
        <v>249</v>
      </c>
      <c r="H47" s="151">
        <v>1300</v>
      </c>
      <c r="I47" s="16">
        <v>208</v>
      </c>
      <c r="J47" s="151">
        <v>364</v>
      </c>
      <c r="K47" s="17">
        <v>0.28</v>
      </c>
      <c r="L47" s="151">
        <v>179</v>
      </c>
    </row>
    <row r="48" spans="1:12" ht="12.75">
      <c r="A48" s="114" t="s">
        <v>260</v>
      </c>
      <c r="B48" s="107">
        <v>500000</v>
      </c>
      <c r="C48" s="107"/>
      <c r="D48" s="107"/>
      <c r="E48" s="168">
        <f t="shared" si="0"/>
        <v>0</v>
      </c>
      <c r="F48" s="71">
        <f>D48-'[5]Marts1'!D48</f>
        <v>0</v>
      </c>
      <c r="G48" s="114" t="s">
        <v>260</v>
      </c>
      <c r="H48" s="16">
        <v>500</v>
      </c>
      <c r="I48" s="16">
        <v>0</v>
      </c>
      <c r="J48" s="16">
        <v>0</v>
      </c>
      <c r="K48" s="17">
        <v>0</v>
      </c>
      <c r="L48" s="16">
        <v>0</v>
      </c>
    </row>
    <row r="49" spans="1:12" ht="12.75">
      <c r="A49" s="176" t="s">
        <v>261</v>
      </c>
      <c r="B49" s="107">
        <v>800000</v>
      </c>
      <c r="C49" s="107"/>
      <c r="D49" s="107">
        <v>364052</v>
      </c>
      <c r="E49" s="168">
        <f t="shared" si="0"/>
        <v>0.455065</v>
      </c>
      <c r="F49" s="71">
        <f>D49-'[5]Marts1'!D49</f>
        <v>179298</v>
      </c>
      <c r="G49" s="176" t="s">
        <v>261</v>
      </c>
      <c r="H49" s="16">
        <v>800</v>
      </c>
      <c r="I49" s="16">
        <v>0</v>
      </c>
      <c r="J49" s="16">
        <v>364</v>
      </c>
      <c r="K49" s="17">
        <v>0.455</v>
      </c>
      <c r="L49" s="16">
        <v>179</v>
      </c>
    </row>
    <row r="50" spans="1:12" ht="12.75">
      <c r="A50" s="130" t="s">
        <v>251</v>
      </c>
      <c r="B50" s="71">
        <f>B51+B52</f>
        <v>1300000</v>
      </c>
      <c r="C50" s="71">
        <f>C51+C52</f>
        <v>207800</v>
      </c>
      <c r="D50" s="71">
        <f>D51+D52</f>
        <v>28800</v>
      </c>
      <c r="E50" s="168">
        <f t="shared" si="0"/>
        <v>0.022153846153846152</v>
      </c>
      <c r="F50" s="71">
        <f>F51+F52</f>
        <v>28800</v>
      </c>
      <c r="G50" s="130" t="s">
        <v>251</v>
      </c>
      <c r="H50" s="151">
        <v>1300</v>
      </c>
      <c r="I50" s="151">
        <v>208</v>
      </c>
      <c r="J50" s="151">
        <v>29</v>
      </c>
      <c r="K50" s="17">
        <v>0.022307692307692306</v>
      </c>
      <c r="L50" s="151">
        <v>29</v>
      </c>
    </row>
    <row r="51" spans="1:12" ht="12.75">
      <c r="A51" s="130" t="s">
        <v>242</v>
      </c>
      <c r="B51" s="175">
        <v>1288000</v>
      </c>
      <c r="C51" s="175">
        <v>202800</v>
      </c>
      <c r="D51" s="175">
        <v>23800</v>
      </c>
      <c r="E51" s="168">
        <f t="shared" si="0"/>
        <v>0.01847826086956522</v>
      </c>
      <c r="F51" s="71">
        <f>D51-'[5]Marts1'!D51</f>
        <v>23800</v>
      </c>
      <c r="G51" s="130" t="s">
        <v>242</v>
      </c>
      <c r="H51" s="16">
        <v>1288</v>
      </c>
      <c r="I51" s="16">
        <v>203</v>
      </c>
      <c r="J51" s="16">
        <v>24</v>
      </c>
      <c r="K51" s="17">
        <v>0.018633540372670808</v>
      </c>
      <c r="L51" s="16">
        <v>24</v>
      </c>
    </row>
    <row r="52" spans="1:12" ht="12.75">
      <c r="A52" s="130" t="s">
        <v>243</v>
      </c>
      <c r="B52" s="71">
        <v>12000</v>
      </c>
      <c r="C52" s="71">
        <v>5000</v>
      </c>
      <c r="D52" s="71">
        <v>5000</v>
      </c>
      <c r="E52" s="168">
        <f t="shared" si="0"/>
        <v>0.4166666666666667</v>
      </c>
      <c r="F52" s="71">
        <f>D52-'[5]Marts1'!D52</f>
        <v>5000</v>
      </c>
      <c r="G52" s="130" t="s">
        <v>243</v>
      </c>
      <c r="H52" s="16">
        <v>12</v>
      </c>
      <c r="I52" s="16">
        <v>5</v>
      </c>
      <c r="J52" s="16">
        <v>5</v>
      </c>
      <c r="K52" s="17">
        <v>0.4166666666666667</v>
      </c>
      <c r="L52" s="16">
        <v>5</v>
      </c>
    </row>
    <row r="53" spans="1:12" ht="16.5" customHeight="1">
      <c r="A53" s="9" t="s">
        <v>153</v>
      </c>
      <c r="B53" s="59"/>
      <c r="C53" s="59"/>
      <c r="D53" s="59"/>
      <c r="E53" s="168" t="str">
        <f t="shared" si="0"/>
        <v> </v>
      </c>
      <c r="F53" s="59"/>
      <c r="G53" s="9" t="s">
        <v>153</v>
      </c>
      <c r="H53" s="171"/>
      <c r="I53" s="171"/>
      <c r="J53" s="171"/>
      <c r="K53" s="17"/>
      <c r="L53" s="171"/>
    </row>
    <row r="54" spans="1:12" ht="19.5" customHeight="1">
      <c r="A54" s="172" t="s">
        <v>262</v>
      </c>
      <c r="B54" s="71"/>
      <c r="C54" s="71"/>
      <c r="D54" s="71"/>
      <c r="E54" s="168" t="str">
        <f t="shared" si="0"/>
        <v> </v>
      </c>
      <c r="F54" s="71"/>
      <c r="G54" s="172" t="s">
        <v>262</v>
      </c>
      <c r="H54" s="151"/>
      <c r="I54" s="151"/>
      <c r="J54" s="151"/>
      <c r="K54" s="17"/>
      <c r="L54" s="151"/>
    </row>
    <row r="55" spans="1:12" ht="12.75">
      <c r="A55" s="130" t="s">
        <v>249</v>
      </c>
      <c r="B55" s="71">
        <f>B56</f>
        <v>1400000</v>
      </c>
      <c r="C55" s="71">
        <v>654800</v>
      </c>
      <c r="D55" s="71">
        <f>D56</f>
        <v>762400</v>
      </c>
      <c r="E55" s="168">
        <f t="shared" si="0"/>
        <v>0.5445714285714286</v>
      </c>
      <c r="F55" s="71">
        <f>F56</f>
        <v>272873</v>
      </c>
      <c r="G55" s="130" t="s">
        <v>249</v>
      </c>
      <c r="H55" s="151">
        <v>1400</v>
      </c>
      <c r="I55" s="16">
        <v>655</v>
      </c>
      <c r="J55" s="151">
        <v>762</v>
      </c>
      <c r="K55" s="17">
        <v>0.5442857142857143</v>
      </c>
      <c r="L55" s="151">
        <v>272</v>
      </c>
    </row>
    <row r="56" spans="1:12" ht="22.5">
      <c r="A56" s="77" t="s">
        <v>263</v>
      </c>
      <c r="B56" s="71">
        <v>1400000</v>
      </c>
      <c r="C56" s="71"/>
      <c r="D56" s="71">
        <v>762400</v>
      </c>
      <c r="E56" s="168">
        <f t="shared" si="0"/>
        <v>0.5445714285714286</v>
      </c>
      <c r="F56" s="71">
        <f>D56-'[5]Marts1'!D56</f>
        <v>272873</v>
      </c>
      <c r="G56" s="77" t="s">
        <v>263</v>
      </c>
      <c r="H56" s="16">
        <v>1400</v>
      </c>
      <c r="I56" s="16">
        <v>0</v>
      </c>
      <c r="J56" s="16">
        <v>762</v>
      </c>
      <c r="K56" s="17">
        <v>0.5442857142857143</v>
      </c>
      <c r="L56" s="16">
        <v>272</v>
      </c>
    </row>
    <row r="57" spans="1:12" ht="12.75">
      <c r="A57" s="130" t="s">
        <v>251</v>
      </c>
      <c r="B57" s="71">
        <f>B58+B59</f>
        <v>1400000</v>
      </c>
      <c r="C57" s="71">
        <f>C58+C59</f>
        <v>654800</v>
      </c>
      <c r="D57" s="71">
        <f>D58+D59</f>
        <v>599500</v>
      </c>
      <c r="E57" s="168">
        <f t="shared" si="0"/>
        <v>0.4282142857142857</v>
      </c>
      <c r="F57" s="71">
        <f>F58+F59</f>
        <v>234815</v>
      </c>
      <c r="G57" s="130" t="s">
        <v>251</v>
      </c>
      <c r="H57" s="151">
        <v>1400</v>
      </c>
      <c r="I57" s="151">
        <v>655</v>
      </c>
      <c r="J57" s="151">
        <v>600</v>
      </c>
      <c r="K57" s="17">
        <v>0.42857142857142855</v>
      </c>
      <c r="L57" s="151">
        <v>235</v>
      </c>
    </row>
    <row r="58" spans="1:12" ht="12.75">
      <c r="A58" s="130" t="s">
        <v>242</v>
      </c>
      <c r="B58" s="71">
        <v>759000</v>
      </c>
      <c r="C58" s="71">
        <v>384800</v>
      </c>
      <c r="D58" s="71">
        <v>342000</v>
      </c>
      <c r="E58" s="168">
        <f t="shared" si="0"/>
        <v>0.4505928853754941</v>
      </c>
      <c r="F58" s="71">
        <f>D58-'[5]Marts1'!D58</f>
        <v>47315</v>
      </c>
      <c r="G58" s="130" t="s">
        <v>242</v>
      </c>
      <c r="H58" s="16">
        <v>759</v>
      </c>
      <c r="I58" s="16">
        <v>385</v>
      </c>
      <c r="J58" s="16">
        <v>342</v>
      </c>
      <c r="K58" s="17">
        <v>0.4505928853754941</v>
      </c>
      <c r="L58" s="16">
        <v>47</v>
      </c>
    </row>
    <row r="59" spans="1:12" ht="12.75">
      <c r="A59" s="130" t="s">
        <v>243</v>
      </c>
      <c r="B59" s="71">
        <v>641000</v>
      </c>
      <c r="C59" s="71">
        <v>270000</v>
      </c>
      <c r="D59" s="71">
        <v>257500</v>
      </c>
      <c r="E59" s="168">
        <f t="shared" si="0"/>
        <v>0.4017160686427457</v>
      </c>
      <c r="F59" s="71">
        <f>D59-'[5]Marts1'!D59</f>
        <v>187500</v>
      </c>
      <c r="G59" s="130" t="s">
        <v>243</v>
      </c>
      <c r="H59" s="16">
        <v>641</v>
      </c>
      <c r="I59" s="16">
        <v>270</v>
      </c>
      <c r="J59" s="16">
        <v>258</v>
      </c>
      <c r="K59" s="17">
        <v>0.40249609984399376</v>
      </c>
      <c r="L59" s="16">
        <v>188</v>
      </c>
    </row>
    <row r="60" spans="1:12" ht="16.5" customHeight="1">
      <c r="A60" s="174" t="s">
        <v>264</v>
      </c>
      <c r="B60" s="71"/>
      <c r="C60" s="71"/>
      <c r="D60" s="71"/>
      <c r="E60" s="168" t="str">
        <f t="shared" si="0"/>
        <v> </v>
      </c>
      <c r="F60" s="71"/>
      <c r="G60" s="174" t="s">
        <v>264</v>
      </c>
      <c r="H60" s="151"/>
      <c r="I60" s="151"/>
      <c r="J60" s="151"/>
      <c r="K60" s="17"/>
      <c r="L60" s="151"/>
    </row>
    <row r="61" spans="1:12" ht="12.75">
      <c r="A61" s="130" t="s">
        <v>249</v>
      </c>
      <c r="B61" s="71">
        <f>B62</f>
        <v>712700</v>
      </c>
      <c r="C61" s="71">
        <v>90616</v>
      </c>
      <c r="D61" s="71">
        <f>D62</f>
        <v>0</v>
      </c>
      <c r="E61" s="168">
        <f t="shared" si="0"/>
        <v>0</v>
      </c>
      <c r="F61" s="71">
        <f>F62</f>
        <v>0</v>
      </c>
      <c r="G61" s="130" t="s">
        <v>249</v>
      </c>
      <c r="H61" s="151">
        <v>713</v>
      </c>
      <c r="I61" s="16">
        <v>91</v>
      </c>
      <c r="J61" s="151">
        <v>0</v>
      </c>
      <c r="K61" s="17">
        <v>0</v>
      </c>
      <c r="L61" s="151">
        <v>0</v>
      </c>
    </row>
    <row r="62" spans="1:12" ht="12.75">
      <c r="A62" s="77" t="s">
        <v>265</v>
      </c>
      <c r="B62" s="71">
        <v>712700</v>
      </c>
      <c r="C62" s="71"/>
      <c r="D62" s="71"/>
      <c r="E62" s="168">
        <f t="shared" si="0"/>
        <v>0</v>
      </c>
      <c r="F62" s="71">
        <f>D62-'[5]Marts1'!D62</f>
        <v>0</v>
      </c>
      <c r="G62" s="77" t="s">
        <v>265</v>
      </c>
      <c r="H62" s="16">
        <v>713</v>
      </c>
      <c r="I62" s="16">
        <v>0</v>
      </c>
      <c r="J62" s="16">
        <v>0</v>
      </c>
      <c r="K62" s="17">
        <v>0</v>
      </c>
      <c r="L62" s="16">
        <v>0</v>
      </c>
    </row>
    <row r="63" spans="1:12" ht="12.75">
      <c r="A63" s="130" t="s">
        <v>251</v>
      </c>
      <c r="B63" s="71">
        <f>B64+B65</f>
        <v>717950</v>
      </c>
      <c r="C63" s="71">
        <f>C64+C65</f>
        <v>89093</v>
      </c>
      <c r="D63" s="71">
        <f>D64+D65</f>
        <v>0</v>
      </c>
      <c r="E63" s="168">
        <f t="shared" si="0"/>
        <v>0</v>
      </c>
      <c r="F63" s="71">
        <f>F64+F65</f>
        <v>0</v>
      </c>
      <c r="G63" s="130" t="s">
        <v>251</v>
      </c>
      <c r="H63" s="151">
        <v>718</v>
      </c>
      <c r="I63" s="151">
        <v>89</v>
      </c>
      <c r="J63" s="151">
        <v>0</v>
      </c>
      <c r="K63" s="17">
        <v>0</v>
      </c>
      <c r="L63" s="151">
        <v>0</v>
      </c>
    </row>
    <row r="64" spans="1:12" ht="12.75">
      <c r="A64" s="130" t="s">
        <v>242</v>
      </c>
      <c r="B64" s="71">
        <v>715950</v>
      </c>
      <c r="C64" s="71">
        <v>89093</v>
      </c>
      <c r="D64" s="71"/>
      <c r="E64" s="168">
        <f t="shared" si="0"/>
        <v>0</v>
      </c>
      <c r="F64" s="71">
        <f>D64-'[5]Marts1'!D64</f>
        <v>0</v>
      </c>
      <c r="G64" s="130" t="s">
        <v>242</v>
      </c>
      <c r="H64" s="16">
        <v>716</v>
      </c>
      <c r="I64" s="16">
        <v>89</v>
      </c>
      <c r="J64" s="16">
        <v>0</v>
      </c>
      <c r="K64" s="17">
        <v>0</v>
      </c>
      <c r="L64" s="16">
        <v>0</v>
      </c>
    </row>
    <row r="65" spans="1:12" ht="12.75">
      <c r="A65" s="130" t="s">
        <v>243</v>
      </c>
      <c r="B65" s="71">
        <v>2000</v>
      </c>
      <c r="C65" s="71"/>
      <c r="D65" s="71"/>
      <c r="E65" s="168">
        <f t="shared" si="0"/>
        <v>0</v>
      </c>
      <c r="F65" s="71">
        <f>D65-'[5]Marts1'!D65</f>
        <v>0</v>
      </c>
      <c r="G65" s="130" t="s">
        <v>243</v>
      </c>
      <c r="H65" s="16">
        <v>2</v>
      </c>
      <c r="I65" s="16">
        <v>0</v>
      </c>
      <c r="J65" s="16">
        <v>0</v>
      </c>
      <c r="K65" s="17">
        <v>0</v>
      </c>
      <c r="L65" s="16">
        <v>0</v>
      </c>
    </row>
    <row r="66" spans="1:12" ht="12.75">
      <c r="A66" s="130" t="s">
        <v>244</v>
      </c>
      <c r="B66" s="71">
        <v>12756000</v>
      </c>
      <c r="C66" s="71">
        <v>1067103</v>
      </c>
      <c r="D66" s="71"/>
      <c r="E66" s="168">
        <f t="shared" si="0"/>
        <v>0</v>
      </c>
      <c r="F66" s="71">
        <f>D66-'[5]Marts1'!D66</f>
        <v>0</v>
      </c>
      <c r="G66" s="130" t="s">
        <v>244</v>
      </c>
      <c r="H66" s="16">
        <v>12756</v>
      </c>
      <c r="I66" s="16">
        <v>1067</v>
      </c>
      <c r="J66" s="16">
        <v>0</v>
      </c>
      <c r="K66" s="17">
        <v>0</v>
      </c>
      <c r="L66" s="16">
        <v>0</v>
      </c>
    </row>
    <row r="67" spans="1:12" ht="12.75">
      <c r="A67" s="130" t="s">
        <v>245</v>
      </c>
      <c r="B67" s="71">
        <v>5250</v>
      </c>
      <c r="C67" s="71"/>
      <c r="D67" s="71"/>
      <c r="E67" s="168">
        <f t="shared" si="0"/>
        <v>0</v>
      </c>
      <c r="F67" s="71">
        <f>D67-'[5]Marts1'!D67</f>
        <v>0</v>
      </c>
      <c r="G67" s="130" t="s">
        <v>245</v>
      </c>
      <c r="H67" s="16">
        <v>5</v>
      </c>
      <c r="I67" s="16">
        <v>0</v>
      </c>
      <c r="J67" s="16">
        <v>0</v>
      </c>
      <c r="K67" s="17">
        <v>0</v>
      </c>
      <c r="L67" s="16">
        <v>0</v>
      </c>
    </row>
    <row r="68" spans="1:12" ht="12.75">
      <c r="A68" s="130" t="s">
        <v>246</v>
      </c>
      <c r="B68" s="71">
        <v>-12756000</v>
      </c>
      <c r="C68" s="71"/>
      <c r="D68" s="71"/>
      <c r="E68" s="168">
        <f t="shared" si="0"/>
        <v>0</v>
      </c>
      <c r="F68" s="71">
        <f>D68-'[5]Marts1'!D68</f>
        <v>0</v>
      </c>
      <c r="G68" s="130" t="s">
        <v>246</v>
      </c>
      <c r="H68" s="16">
        <v>-12756</v>
      </c>
      <c r="I68" s="16">
        <v>0</v>
      </c>
      <c r="J68" s="16">
        <v>0</v>
      </c>
      <c r="K68" s="17">
        <v>0</v>
      </c>
      <c r="L68" s="16">
        <v>0</v>
      </c>
    </row>
    <row r="69" spans="1:12" ht="12.75">
      <c r="A69" s="130" t="s">
        <v>247</v>
      </c>
      <c r="B69" s="71">
        <v>12756000</v>
      </c>
      <c r="C69" s="71"/>
      <c r="D69" s="71"/>
      <c r="E69" s="168">
        <f t="shared" si="0"/>
        <v>0</v>
      </c>
      <c r="F69" s="71">
        <f>D69-'[5]Marts1'!D69</f>
        <v>0</v>
      </c>
      <c r="G69" s="130" t="s">
        <v>247</v>
      </c>
      <c r="H69" s="16">
        <v>12756</v>
      </c>
      <c r="I69" s="16">
        <v>0</v>
      </c>
      <c r="J69" s="16">
        <v>0</v>
      </c>
      <c r="K69" s="17">
        <v>0</v>
      </c>
      <c r="L69" s="16">
        <v>0</v>
      </c>
    </row>
    <row r="70" spans="1:12" ht="15.75" customHeight="1">
      <c r="A70" s="28" t="s">
        <v>154</v>
      </c>
      <c r="B70" s="59"/>
      <c r="C70" s="59"/>
      <c r="D70" s="59"/>
      <c r="E70" s="168" t="str">
        <f t="shared" si="0"/>
        <v> </v>
      </c>
      <c r="F70" s="59"/>
      <c r="G70" s="28" t="s">
        <v>154</v>
      </c>
      <c r="H70" s="171"/>
      <c r="I70" s="171"/>
      <c r="J70" s="171"/>
      <c r="K70" s="17"/>
      <c r="L70" s="171"/>
    </row>
    <row r="71" spans="1:12" ht="16.5" customHeight="1">
      <c r="A71" s="172" t="s">
        <v>266</v>
      </c>
      <c r="B71" s="71"/>
      <c r="C71" s="71"/>
      <c r="D71" s="71"/>
      <c r="E71" s="168" t="str">
        <f t="shared" si="0"/>
        <v> </v>
      </c>
      <c r="F71" s="71"/>
      <c r="G71" s="172" t="s">
        <v>266</v>
      </c>
      <c r="H71" s="151"/>
      <c r="I71" s="151"/>
      <c r="J71" s="151"/>
      <c r="K71" s="17"/>
      <c r="L71" s="151"/>
    </row>
    <row r="72" spans="1:12" ht="12.75">
      <c r="A72" s="130" t="s">
        <v>249</v>
      </c>
      <c r="B72" s="71">
        <f>B73+B74</f>
        <v>600000</v>
      </c>
      <c r="C72" s="71">
        <v>319200</v>
      </c>
      <c r="D72" s="71">
        <f>D73+D74</f>
        <v>275844</v>
      </c>
      <c r="E72" s="168">
        <f t="shared" si="0"/>
        <v>0.45974</v>
      </c>
      <c r="F72" s="71">
        <f>F73+F74</f>
        <v>170097</v>
      </c>
      <c r="G72" s="130" t="s">
        <v>249</v>
      </c>
      <c r="H72" s="151">
        <v>600</v>
      </c>
      <c r="I72" s="16">
        <v>319</v>
      </c>
      <c r="J72" s="151">
        <v>276</v>
      </c>
      <c r="K72" s="17">
        <v>0.46</v>
      </c>
      <c r="L72" s="151">
        <v>170</v>
      </c>
    </row>
    <row r="73" spans="1:12" ht="12.75">
      <c r="A73" s="77" t="s">
        <v>267</v>
      </c>
      <c r="B73" s="71">
        <v>280000</v>
      </c>
      <c r="C73" s="71"/>
      <c r="D73" s="71">
        <v>82758</v>
      </c>
      <c r="E73" s="168">
        <f t="shared" si="0"/>
        <v>0.2955642857142857</v>
      </c>
      <c r="F73" s="71">
        <f>D73-'[5]Marts1'!D73</f>
        <v>30615</v>
      </c>
      <c r="G73" s="77" t="s">
        <v>267</v>
      </c>
      <c r="H73" s="16">
        <v>280</v>
      </c>
      <c r="I73" s="16">
        <v>0</v>
      </c>
      <c r="J73" s="16">
        <v>83</v>
      </c>
      <c r="K73" s="17">
        <v>0.29642857142857143</v>
      </c>
      <c r="L73" s="16">
        <v>31</v>
      </c>
    </row>
    <row r="74" spans="1:12" ht="12.75">
      <c r="A74" s="77" t="s">
        <v>255</v>
      </c>
      <c r="B74" s="71">
        <v>320000</v>
      </c>
      <c r="C74" s="71"/>
      <c r="D74" s="71">
        <f>39920+2556+112981+37629</f>
        <v>193086</v>
      </c>
      <c r="E74" s="168">
        <f aca="true" t="shared" si="2" ref="E74:E137">IF(ISERROR(D74/B74)," ",(D74/B74))</f>
        <v>0.60339375</v>
      </c>
      <c r="F74" s="71">
        <f>D74-'[5]Marts1'!D74</f>
        <v>139482</v>
      </c>
      <c r="G74" s="77" t="s">
        <v>255</v>
      </c>
      <c r="H74" s="16">
        <v>320</v>
      </c>
      <c r="I74" s="16">
        <v>0</v>
      </c>
      <c r="J74" s="16">
        <v>193</v>
      </c>
      <c r="K74" s="17">
        <v>0.603125</v>
      </c>
      <c r="L74" s="16">
        <v>139</v>
      </c>
    </row>
    <row r="75" spans="1:12" ht="12.75">
      <c r="A75" s="130" t="s">
        <v>251</v>
      </c>
      <c r="B75" s="71">
        <f>B76+B77</f>
        <v>600000</v>
      </c>
      <c r="C75" s="71">
        <f>C76+C77</f>
        <v>319200</v>
      </c>
      <c r="D75" s="71">
        <f>D76+D77</f>
        <v>210996</v>
      </c>
      <c r="E75" s="168">
        <f t="shared" si="2"/>
        <v>0.35166</v>
      </c>
      <c r="F75" s="71">
        <f>F76+F77</f>
        <v>89850</v>
      </c>
      <c r="G75" s="130" t="s">
        <v>251</v>
      </c>
      <c r="H75" s="151">
        <v>600</v>
      </c>
      <c r="I75" s="151">
        <v>319</v>
      </c>
      <c r="J75" s="151">
        <v>211</v>
      </c>
      <c r="K75" s="17">
        <v>0.3516666666666667</v>
      </c>
      <c r="L75" s="151">
        <v>90</v>
      </c>
    </row>
    <row r="76" spans="1:12" ht="12.75">
      <c r="A76" s="130" t="s">
        <v>242</v>
      </c>
      <c r="B76" s="71">
        <v>521000</v>
      </c>
      <c r="C76" s="71">
        <v>279200</v>
      </c>
      <c r="D76" s="71">
        <v>210996</v>
      </c>
      <c r="E76" s="168">
        <f t="shared" si="2"/>
        <v>0.4049827255278311</v>
      </c>
      <c r="F76" s="71">
        <f>D76-'[5]Marts1'!D76</f>
        <v>89850</v>
      </c>
      <c r="G76" s="130" t="s">
        <v>242</v>
      </c>
      <c r="H76" s="16">
        <v>521</v>
      </c>
      <c r="I76" s="16">
        <v>279</v>
      </c>
      <c r="J76" s="16">
        <v>211</v>
      </c>
      <c r="K76" s="17">
        <v>0.4049904030710173</v>
      </c>
      <c r="L76" s="16">
        <v>90</v>
      </c>
    </row>
    <row r="77" spans="1:12" ht="12.75">
      <c r="A77" s="130" t="s">
        <v>243</v>
      </c>
      <c r="B77" s="71">
        <v>79000</v>
      </c>
      <c r="C77" s="71">
        <v>40000</v>
      </c>
      <c r="D77" s="71"/>
      <c r="E77" s="168">
        <f t="shared" si="2"/>
        <v>0</v>
      </c>
      <c r="F77" s="71">
        <f>D77-'[5]Marts1'!D77</f>
        <v>0</v>
      </c>
      <c r="G77" s="130" t="s">
        <v>243</v>
      </c>
      <c r="H77" s="16">
        <v>79</v>
      </c>
      <c r="I77" s="16">
        <v>40</v>
      </c>
      <c r="J77" s="16">
        <v>0</v>
      </c>
      <c r="K77" s="17">
        <v>0</v>
      </c>
      <c r="L77" s="16">
        <v>0</v>
      </c>
    </row>
    <row r="78" spans="1:12" ht="15.75" customHeight="1">
      <c r="A78" s="172" t="s">
        <v>268</v>
      </c>
      <c r="B78" s="71"/>
      <c r="C78" s="71"/>
      <c r="D78" s="71"/>
      <c r="E78" s="168" t="str">
        <f t="shared" si="2"/>
        <v> </v>
      </c>
      <c r="F78" s="71"/>
      <c r="G78" s="172" t="s">
        <v>268</v>
      </c>
      <c r="H78" s="151"/>
      <c r="I78" s="151"/>
      <c r="J78" s="151"/>
      <c r="K78" s="17"/>
      <c r="L78" s="151"/>
    </row>
    <row r="79" spans="1:12" ht="12.75">
      <c r="A79" s="130" t="s">
        <v>249</v>
      </c>
      <c r="B79" s="71">
        <f>B80+B81</f>
        <v>24000000</v>
      </c>
      <c r="C79" s="71">
        <v>10141461</v>
      </c>
      <c r="D79" s="71">
        <f>D80+D81</f>
        <v>6450054</v>
      </c>
      <c r="E79" s="168">
        <f t="shared" si="2"/>
        <v>0.26875225</v>
      </c>
      <c r="F79" s="71">
        <f>F80+F81</f>
        <v>801928</v>
      </c>
      <c r="G79" s="130" t="s">
        <v>249</v>
      </c>
      <c r="H79" s="151">
        <v>24000</v>
      </c>
      <c r="I79" s="16">
        <v>10141</v>
      </c>
      <c r="J79" s="151">
        <v>6451</v>
      </c>
      <c r="K79" s="17">
        <v>0.26879166666666665</v>
      </c>
      <c r="L79" s="151">
        <v>803</v>
      </c>
    </row>
    <row r="80" spans="1:12" ht="12.75">
      <c r="A80" s="77" t="s">
        <v>269</v>
      </c>
      <c r="B80" s="71">
        <v>19053504</v>
      </c>
      <c r="C80" s="71"/>
      <c r="D80" s="71">
        <v>5990644</v>
      </c>
      <c r="E80" s="168">
        <f t="shared" si="2"/>
        <v>0.31441166937063125</v>
      </c>
      <c r="F80" s="71">
        <f>D80-'[5]Marts1'!D80</f>
        <v>704253</v>
      </c>
      <c r="G80" s="77" t="s">
        <v>269</v>
      </c>
      <c r="H80" s="16">
        <v>19054</v>
      </c>
      <c r="I80" s="16">
        <v>0</v>
      </c>
      <c r="J80" s="16">
        <v>5991</v>
      </c>
      <c r="K80" s="17">
        <v>0.3144221685735279</v>
      </c>
      <c r="L80" s="16">
        <v>705</v>
      </c>
    </row>
    <row r="81" spans="1:12" ht="12.75">
      <c r="A81" s="130" t="s">
        <v>270</v>
      </c>
      <c r="B81" s="71">
        <v>4946496</v>
      </c>
      <c r="C81" s="71"/>
      <c r="D81" s="71">
        <v>459410</v>
      </c>
      <c r="E81" s="168">
        <f t="shared" si="2"/>
        <v>0.09287584585128543</v>
      </c>
      <c r="F81" s="71">
        <f>D81-'[5]Marts1'!D81</f>
        <v>97675</v>
      </c>
      <c r="G81" s="130" t="s">
        <v>270</v>
      </c>
      <c r="H81" s="16">
        <v>4946</v>
      </c>
      <c r="I81" s="16">
        <v>0</v>
      </c>
      <c r="J81" s="16">
        <v>460</v>
      </c>
      <c r="K81" s="17">
        <v>0.09300444803881924</v>
      </c>
      <c r="L81" s="16">
        <v>98</v>
      </c>
    </row>
    <row r="82" spans="1:12" ht="12.75">
      <c r="A82" s="130" t="s">
        <v>251</v>
      </c>
      <c r="B82" s="71">
        <f>B83+B84</f>
        <v>24000000</v>
      </c>
      <c r="C82" s="71">
        <f>C83+C84</f>
        <v>10141461</v>
      </c>
      <c r="D82" s="71">
        <f>D83+D84</f>
        <v>5796077</v>
      </c>
      <c r="E82" s="168">
        <f t="shared" si="2"/>
        <v>0.24150320833333333</v>
      </c>
      <c r="F82" s="71">
        <f>F83+F84</f>
        <v>1384797</v>
      </c>
      <c r="G82" s="130" t="s">
        <v>251</v>
      </c>
      <c r="H82" s="151">
        <v>24000</v>
      </c>
      <c r="I82" s="151">
        <v>10141</v>
      </c>
      <c r="J82" s="151">
        <v>5796</v>
      </c>
      <c r="K82" s="17">
        <v>0.2415</v>
      </c>
      <c r="L82" s="151">
        <v>1385</v>
      </c>
    </row>
    <row r="83" spans="1:12" ht="12.75">
      <c r="A83" s="130" t="s">
        <v>242</v>
      </c>
      <c r="B83" s="71">
        <v>22190000</v>
      </c>
      <c r="C83" s="71">
        <v>8331461</v>
      </c>
      <c r="D83" s="71">
        <v>5453826</v>
      </c>
      <c r="E83" s="168">
        <f t="shared" si="2"/>
        <v>0.24577854889589906</v>
      </c>
      <c r="F83" s="71">
        <f>D83-'[5]Marts1'!D83</f>
        <v>1290965</v>
      </c>
      <c r="G83" s="130" t="s">
        <v>242</v>
      </c>
      <c r="H83" s="16">
        <v>22190</v>
      </c>
      <c r="I83" s="16">
        <v>8331</v>
      </c>
      <c r="J83" s="16">
        <v>5454</v>
      </c>
      <c r="K83" s="17">
        <v>0.24578639026588553</v>
      </c>
      <c r="L83" s="16">
        <v>1291</v>
      </c>
    </row>
    <row r="84" spans="1:12" ht="12.75">
      <c r="A84" s="130" t="s">
        <v>243</v>
      </c>
      <c r="B84" s="71">
        <v>1810000</v>
      </c>
      <c r="C84" s="71">
        <v>1810000</v>
      </c>
      <c r="D84" s="71">
        <v>342251</v>
      </c>
      <c r="E84" s="168">
        <f t="shared" si="2"/>
        <v>0.1890889502762431</v>
      </c>
      <c r="F84" s="71">
        <f>D84-'[5]Marts1'!D84</f>
        <v>93832</v>
      </c>
      <c r="G84" s="130" t="s">
        <v>243</v>
      </c>
      <c r="H84" s="16">
        <v>1810</v>
      </c>
      <c r="I84" s="16">
        <v>1810</v>
      </c>
      <c r="J84" s="16">
        <v>342</v>
      </c>
      <c r="K84" s="17">
        <v>0.18895027624309393</v>
      </c>
      <c r="L84" s="16">
        <v>94</v>
      </c>
    </row>
    <row r="85" spans="1:12" ht="18" customHeight="1">
      <c r="A85" s="9" t="s">
        <v>155</v>
      </c>
      <c r="B85" s="59"/>
      <c r="C85" s="59"/>
      <c r="D85" s="59"/>
      <c r="E85" s="168" t="str">
        <f t="shared" si="2"/>
        <v> </v>
      </c>
      <c r="F85" s="59"/>
      <c r="G85" s="9" t="s">
        <v>155</v>
      </c>
      <c r="H85" s="16"/>
      <c r="I85" s="16"/>
      <c r="J85" s="16"/>
      <c r="K85" s="17"/>
      <c r="L85" s="16"/>
    </row>
    <row r="86" spans="1:12" ht="21" customHeight="1">
      <c r="A86" s="172" t="s">
        <v>271</v>
      </c>
      <c r="B86" s="71"/>
      <c r="C86" s="71"/>
      <c r="D86" s="71"/>
      <c r="E86" s="168" t="str">
        <f t="shared" si="2"/>
        <v> </v>
      </c>
      <c r="F86" s="71"/>
      <c r="G86" s="172" t="s">
        <v>271</v>
      </c>
      <c r="H86" s="151"/>
      <c r="I86" s="151"/>
      <c r="J86" s="151"/>
      <c r="K86" s="17"/>
      <c r="L86" s="151"/>
    </row>
    <row r="87" spans="1:12" ht="12.75">
      <c r="A87" s="130" t="s">
        <v>249</v>
      </c>
      <c r="B87" s="71">
        <f>SUM(B88:B90)</f>
        <v>78350000</v>
      </c>
      <c r="C87" s="71">
        <v>18706660</v>
      </c>
      <c r="D87" s="71">
        <f>SUM(D88:D90)</f>
        <v>15225104</v>
      </c>
      <c r="E87" s="168">
        <f t="shared" si="2"/>
        <v>0.19432168474792597</v>
      </c>
      <c r="F87" s="71">
        <f>SUM(F88:F90)</f>
        <v>5172628</v>
      </c>
      <c r="G87" s="130" t="s">
        <v>249</v>
      </c>
      <c r="H87" s="151">
        <v>78350</v>
      </c>
      <c r="I87" s="16">
        <v>18707</v>
      </c>
      <c r="J87" s="151">
        <v>15225</v>
      </c>
      <c r="K87" s="17">
        <v>0.1943203573707722</v>
      </c>
      <c r="L87" s="151">
        <v>5173</v>
      </c>
    </row>
    <row r="88" spans="1:12" ht="12.75">
      <c r="A88" s="130" t="s">
        <v>272</v>
      </c>
      <c r="B88" s="71">
        <v>7500000</v>
      </c>
      <c r="C88" s="71"/>
      <c r="D88" s="71">
        <v>3258104</v>
      </c>
      <c r="E88" s="168">
        <f t="shared" si="2"/>
        <v>0.43441386666666665</v>
      </c>
      <c r="F88" s="71">
        <f>D88-'[5]Marts1'!D88</f>
        <v>842090</v>
      </c>
      <c r="G88" s="130" t="s">
        <v>272</v>
      </c>
      <c r="H88" s="16">
        <v>7500</v>
      </c>
      <c r="I88" s="16">
        <v>0</v>
      </c>
      <c r="J88" s="16">
        <v>3258</v>
      </c>
      <c r="K88" s="17">
        <v>0.4344</v>
      </c>
      <c r="L88" s="16">
        <v>842</v>
      </c>
    </row>
    <row r="89" spans="1:12" ht="12.75">
      <c r="A89" s="130" t="s">
        <v>273</v>
      </c>
      <c r="B89" s="71">
        <v>70800000</v>
      </c>
      <c r="C89" s="71"/>
      <c r="D89" s="71">
        <v>11959513</v>
      </c>
      <c r="E89" s="168">
        <f t="shared" si="2"/>
        <v>0.16891967514124293</v>
      </c>
      <c r="F89" s="71">
        <f>D89-'[5]Marts1'!D89</f>
        <v>4329198</v>
      </c>
      <c r="G89" s="130" t="s">
        <v>273</v>
      </c>
      <c r="H89" s="16">
        <v>70800</v>
      </c>
      <c r="I89" s="16">
        <v>0</v>
      </c>
      <c r="J89" s="16">
        <v>11960</v>
      </c>
      <c r="K89" s="17">
        <v>0.16892655367231638</v>
      </c>
      <c r="L89" s="16">
        <v>4330</v>
      </c>
    </row>
    <row r="90" spans="1:12" ht="12.75">
      <c r="A90" s="130" t="s">
        <v>274</v>
      </c>
      <c r="B90" s="71">
        <v>50000</v>
      </c>
      <c r="C90" s="71"/>
      <c r="D90" s="71">
        <v>7487</v>
      </c>
      <c r="E90" s="168">
        <f t="shared" si="2"/>
        <v>0.14974</v>
      </c>
      <c r="F90" s="71">
        <f>D90-'[5]Marts1'!D90</f>
        <v>1340</v>
      </c>
      <c r="G90" s="130" t="s">
        <v>274</v>
      </c>
      <c r="H90" s="16">
        <v>50</v>
      </c>
      <c r="I90" s="16">
        <v>0</v>
      </c>
      <c r="J90" s="16">
        <v>7</v>
      </c>
      <c r="K90" s="17">
        <v>0.14</v>
      </c>
      <c r="L90" s="16">
        <v>1</v>
      </c>
    </row>
    <row r="91" spans="1:12" ht="12.75">
      <c r="A91" s="130" t="s">
        <v>251</v>
      </c>
      <c r="B91" s="71">
        <f>B92+B93</f>
        <v>100570000</v>
      </c>
      <c r="C91" s="71">
        <f>C92+C93</f>
        <v>25719000</v>
      </c>
      <c r="D91" s="71">
        <f>D92+D93</f>
        <v>20645482</v>
      </c>
      <c r="E91" s="168">
        <f t="shared" si="2"/>
        <v>0.20528469722581286</v>
      </c>
      <c r="F91" s="71">
        <f>F92+F93</f>
        <v>6318105</v>
      </c>
      <c r="G91" s="130" t="s">
        <v>251</v>
      </c>
      <c r="H91" s="151">
        <v>100570</v>
      </c>
      <c r="I91" s="151">
        <v>25719</v>
      </c>
      <c r="J91" s="151">
        <v>20645</v>
      </c>
      <c r="K91" s="17">
        <v>0.20527990454409864</v>
      </c>
      <c r="L91" s="151">
        <v>6318</v>
      </c>
    </row>
    <row r="92" spans="1:12" ht="12.75">
      <c r="A92" s="130" t="s">
        <v>242</v>
      </c>
      <c r="B92" s="71">
        <v>67084217</v>
      </c>
      <c r="C92" s="71">
        <v>20742822</v>
      </c>
      <c r="D92" s="71">
        <v>16723062</v>
      </c>
      <c r="E92" s="168">
        <f t="shared" si="2"/>
        <v>0.24928459700140795</v>
      </c>
      <c r="F92" s="71">
        <f>D92-'[5]Marts1'!D92</f>
        <v>5099839</v>
      </c>
      <c r="G92" s="130" t="s">
        <v>242</v>
      </c>
      <c r="H92" s="16">
        <v>67084</v>
      </c>
      <c r="I92" s="16">
        <v>20743</v>
      </c>
      <c r="J92" s="16">
        <v>16723</v>
      </c>
      <c r="K92" s="17">
        <v>0.24928447916045554</v>
      </c>
      <c r="L92" s="16">
        <v>5100</v>
      </c>
    </row>
    <row r="93" spans="1:12" ht="12.75">
      <c r="A93" s="130" t="s">
        <v>275</v>
      </c>
      <c r="B93" s="71">
        <v>33485783</v>
      </c>
      <c r="C93" s="71">
        <v>4976178</v>
      </c>
      <c r="D93" s="71">
        <v>3922420</v>
      </c>
      <c r="E93" s="168">
        <f t="shared" si="2"/>
        <v>0.11713687567048978</v>
      </c>
      <c r="F93" s="71">
        <f>D93-'[5]Marts1'!D93</f>
        <v>1218266</v>
      </c>
      <c r="G93" s="130" t="s">
        <v>275</v>
      </c>
      <c r="H93" s="16">
        <v>33486</v>
      </c>
      <c r="I93" s="16">
        <v>4976</v>
      </c>
      <c r="J93" s="16">
        <v>3922</v>
      </c>
      <c r="K93" s="17">
        <v>0.1171235740309383</v>
      </c>
      <c r="L93" s="16">
        <v>1218</v>
      </c>
    </row>
    <row r="94" spans="1:12" ht="15.75" customHeight="1">
      <c r="A94" s="130" t="s">
        <v>246</v>
      </c>
      <c r="B94" s="71">
        <f>B87-B91</f>
        <v>-22220000</v>
      </c>
      <c r="C94" s="71">
        <f>C87-C91</f>
        <v>-7012340</v>
      </c>
      <c r="D94" s="71">
        <f>D87-D91</f>
        <v>-5420378</v>
      </c>
      <c r="E94" s="168">
        <f t="shared" si="2"/>
        <v>0.24394140414041404</v>
      </c>
      <c r="F94" s="71">
        <f>F87-F91</f>
        <v>-1145477</v>
      </c>
      <c r="G94" s="130" t="s">
        <v>246</v>
      </c>
      <c r="H94" s="151">
        <v>-22220</v>
      </c>
      <c r="I94" s="151">
        <v>-7012</v>
      </c>
      <c r="J94" s="151">
        <v>-5420</v>
      </c>
      <c r="K94" s="17">
        <v>0.24392439243924394</v>
      </c>
      <c r="L94" s="151">
        <v>-1145</v>
      </c>
    </row>
    <row r="95" spans="1:12" ht="15.75" customHeight="1">
      <c r="A95" s="130" t="s">
        <v>247</v>
      </c>
      <c r="B95" s="71">
        <f>-B94</f>
        <v>22220000</v>
      </c>
      <c r="C95" s="71">
        <f>-C94</f>
        <v>7012340</v>
      </c>
      <c r="D95" s="71">
        <v>1398696</v>
      </c>
      <c r="E95" s="168">
        <f t="shared" si="2"/>
        <v>0.06294761476147614</v>
      </c>
      <c r="F95" s="71">
        <f>D95-'[5]Marts1'!D95</f>
        <v>234821</v>
      </c>
      <c r="G95" s="130" t="s">
        <v>247</v>
      </c>
      <c r="H95" s="151">
        <v>22220</v>
      </c>
      <c r="I95" s="151">
        <v>7012</v>
      </c>
      <c r="J95" s="16">
        <v>1399</v>
      </c>
      <c r="K95" s="17">
        <v>0.06296129612961296</v>
      </c>
      <c r="L95" s="16">
        <v>235</v>
      </c>
    </row>
    <row r="96" spans="1:12" ht="16.5" customHeight="1">
      <c r="A96" s="172" t="s">
        <v>276</v>
      </c>
      <c r="B96" s="71"/>
      <c r="C96" s="71"/>
      <c r="D96" s="71"/>
      <c r="E96" s="168" t="str">
        <f t="shared" si="2"/>
        <v> </v>
      </c>
      <c r="F96" s="71"/>
      <c r="G96" s="172" t="s">
        <v>276</v>
      </c>
      <c r="H96" s="151"/>
      <c r="I96" s="151"/>
      <c r="J96" s="151"/>
      <c r="K96" s="17"/>
      <c r="L96" s="16"/>
    </row>
    <row r="97" spans="1:12" ht="12.75">
      <c r="A97" s="130" t="s">
        <v>249</v>
      </c>
      <c r="B97" s="71">
        <f>B98+B99</f>
        <v>23013279</v>
      </c>
      <c r="C97" s="71">
        <f>C98+C99</f>
        <v>0</v>
      </c>
      <c r="D97" s="71">
        <f>D98+D99</f>
        <v>0</v>
      </c>
      <c r="E97" s="168">
        <f t="shared" si="2"/>
        <v>0</v>
      </c>
      <c r="F97" s="71">
        <f>F98+F99</f>
        <v>0</v>
      </c>
      <c r="G97" s="130" t="s">
        <v>249</v>
      </c>
      <c r="H97" s="151">
        <v>23013</v>
      </c>
      <c r="I97" s="151">
        <v>0</v>
      </c>
      <c r="J97" s="151">
        <v>0</v>
      </c>
      <c r="K97" s="17">
        <v>0</v>
      </c>
      <c r="L97" s="151">
        <v>0</v>
      </c>
    </row>
    <row r="98" spans="1:12" ht="12.75">
      <c r="A98" s="130" t="s">
        <v>189</v>
      </c>
      <c r="B98" s="71">
        <v>19278279</v>
      </c>
      <c r="C98" s="71"/>
      <c r="D98" s="71"/>
      <c r="E98" s="168">
        <f t="shared" si="2"/>
        <v>0</v>
      </c>
      <c r="F98" s="71">
        <f>D98-'[5]Marts1'!D98</f>
        <v>0</v>
      </c>
      <c r="G98" s="130" t="s">
        <v>189</v>
      </c>
      <c r="H98" s="16">
        <v>19278</v>
      </c>
      <c r="I98" s="16">
        <v>0</v>
      </c>
      <c r="J98" s="16">
        <v>0</v>
      </c>
      <c r="K98" s="17">
        <v>0</v>
      </c>
      <c r="L98" s="16">
        <v>0</v>
      </c>
    </row>
    <row r="99" spans="1:12" ht="12.75">
      <c r="A99" s="130" t="s">
        <v>277</v>
      </c>
      <c r="B99" s="71">
        <v>3735000</v>
      </c>
      <c r="C99" s="71"/>
      <c r="D99" s="71"/>
      <c r="E99" s="168">
        <f t="shared" si="2"/>
        <v>0</v>
      </c>
      <c r="F99" s="71">
        <f>D99-'[5]Marts1'!D99</f>
        <v>0</v>
      </c>
      <c r="G99" s="130" t="s">
        <v>277</v>
      </c>
      <c r="H99" s="16">
        <v>3735</v>
      </c>
      <c r="I99" s="16">
        <v>0</v>
      </c>
      <c r="J99" s="16">
        <v>0</v>
      </c>
      <c r="K99" s="17">
        <v>0</v>
      </c>
      <c r="L99" s="16">
        <v>0</v>
      </c>
    </row>
    <row r="100" spans="1:12" ht="12.75">
      <c r="A100" s="130" t="s">
        <v>251</v>
      </c>
      <c r="B100" s="71">
        <f>B101+B102</f>
        <v>23013279</v>
      </c>
      <c r="C100" s="71">
        <f>C101+C102</f>
        <v>0</v>
      </c>
      <c r="D100" s="71">
        <f>D101+D102</f>
        <v>0</v>
      </c>
      <c r="E100" s="168">
        <f t="shared" si="2"/>
        <v>0</v>
      </c>
      <c r="F100" s="71">
        <f>F101+F102</f>
        <v>0</v>
      </c>
      <c r="G100" s="130" t="s">
        <v>251</v>
      </c>
      <c r="H100" s="151">
        <v>23013</v>
      </c>
      <c r="I100" s="151">
        <v>0</v>
      </c>
      <c r="J100" s="151">
        <v>0</v>
      </c>
      <c r="K100" s="17">
        <v>0</v>
      </c>
      <c r="L100" s="151">
        <v>0</v>
      </c>
    </row>
    <row r="101" spans="1:12" ht="12.75">
      <c r="A101" s="130" t="s">
        <v>242</v>
      </c>
      <c r="B101" s="71">
        <v>14999136</v>
      </c>
      <c r="C101" s="71"/>
      <c r="D101" s="71"/>
      <c r="E101" s="168">
        <f t="shared" si="2"/>
        <v>0</v>
      </c>
      <c r="F101" s="71">
        <f>D101-'[5]Marts1'!D101</f>
        <v>0</v>
      </c>
      <c r="G101" s="130" t="s">
        <v>242</v>
      </c>
      <c r="H101" s="16">
        <v>14999</v>
      </c>
      <c r="I101" s="16">
        <v>0</v>
      </c>
      <c r="J101" s="16">
        <v>0</v>
      </c>
      <c r="K101" s="17">
        <v>0</v>
      </c>
      <c r="L101" s="16">
        <v>0</v>
      </c>
    </row>
    <row r="102" spans="1:12" ht="12.75">
      <c r="A102" s="130" t="s">
        <v>243</v>
      </c>
      <c r="B102" s="71">
        <v>8014143</v>
      </c>
      <c r="C102" s="71"/>
      <c r="D102" s="71"/>
      <c r="E102" s="168">
        <f t="shared" si="2"/>
        <v>0</v>
      </c>
      <c r="F102" s="71">
        <f>D102-'[5]Marts1'!D102</f>
        <v>0</v>
      </c>
      <c r="G102" s="130" t="s">
        <v>243</v>
      </c>
      <c r="H102" s="16">
        <v>8014</v>
      </c>
      <c r="I102" s="16">
        <v>0</v>
      </c>
      <c r="J102" s="16">
        <v>0</v>
      </c>
      <c r="K102" s="17">
        <v>0</v>
      </c>
      <c r="L102" s="16">
        <v>0</v>
      </c>
    </row>
    <row r="103" spans="1:12" ht="15.75" customHeight="1">
      <c r="A103" s="172" t="s">
        <v>278</v>
      </c>
      <c r="B103" s="71"/>
      <c r="C103" s="71"/>
      <c r="D103" s="71"/>
      <c r="E103" s="168" t="str">
        <f t="shared" si="2"/>
        <v> </v>
      </c>
      <c r="F103" s="71"/>
      <c r="G103" s="172" t="s">
        <v>278</v>
      </c>
      <c r="H103" s="151"/>
      <c r="I103" s="151"/>
      <c r="J103" s="151"/>
      <c r="K103" s="17"/>
      <c r="L103" s="151"/>
    </row>
    <row r="104" spans="1:12" ht="12.75">
      <c r="A104" s="130" t="s">
        <v>249</v>
      </c>
      <c r="B104" s="71">
        <f>B105+B106</f>
        <v>840000</v>
      </c>
      <c r="C104" s="71">
        <v>302000</v>
      </c>
      <c r="D104" s="71">
        <f>D105+D106</f>
        <v>216989</v>
      </c>
      <c r="E104" s="168">
        <f t="shared" si="2"/>
        <v>0.2583202380952381</v>
      </c>
      <c r="F104" s="71">
        <f>F105+F106</f>
        <v>75063</v>
      </c>
      <c r="G104" s="130" t="s">
        <v>249</v>
      </c>
      <c r="H104" s="151">
        <v>840</v>
      </c>
      <c r="I104" s="16">
        <v>302</v>
      </c>
      <c r="J104" s="151">
        <v>217</v>
      </c>
      <c r="K104" s="17">
        <v>0.25833333333333336</v>
      </c>
      <c r="L104" s="151">
        <v>75</v>
      </c>
    </row>
    <row r="105" spans="1:12" ht="12.75">
      <c r="A105" s="130" t="s">
        <v>279</v>
      </c>
      <c r="B105" s="71">
        <v>840000</v>
      </c>
      <c r="C105" s="71"/>
      <c r="D105" s="71">
        <v>212020</v>
      </c>
      <c r="E105" s="168">
        <f t="shared" si="2"/>
        <v>0.2524047619047619</v>
      </c>
      <c r="F105" s="71">
        <f>D105-'[5]Marts1'!D105</f>
        <v>74849</v>
      </c>
      <c r="G105" s="130" t="s">
        <v>279</v>
      </c>
      <c r="H105" s="16">
        <v>840</v>
      </c>
      <c r="I105" s="16">
        <v>0</v>
      </c>
      <c r="J105" s="16">
        <v>212</v>
      </c>
      <c r="K105" s="17">
        <v>0.2523809523809524</v>
      </c>
      <c r="L105" s="16">
        <v>75</v>
      </c>
    </row>
    <row r="106" spans="1:12" ht="12.75">
      <c r="A106" s="130" t="s">
        <v>255</v>
      </c>
      <c r="B106" s="71"/>
      <c r="C106" s="71"/>
      <c r="D106" s="71">
        <v>4969</v>
      </c>
      <c r="E106" s="168" t="str">
        <f t="shared" si="2"/>
        <v> </v>
      </c>
      <c r="F106" s="71">
        <f>D106-'[5]Marts1'!D106</f>
        <v>214</v>
      </c>
      <c r="G106" s="130" t="s">
        <v>255</v>
      </c>
      <c r="H106" s="16">
        <v>0</v>
      </c>
      <c r="I106" s="16">
        <v>0</v>
      </c>
      <c r="J106" s="16">
        <v>5</v>
      </c>
      <c r="K106" s="17" t="s">
        <v>92</v>
      </c>
      <c r="L106" s="16">
        <v>0</v>
      </c>
    </row>
    <row r="107" spans="1:12" ht="12.75">
      <c r="A107" s="130" t="s">
        <v>251</v>
      </c>
      <c r="B107" s="71">
        <f>B108+B109</f>
        <v>840000</v>
      </c>
      <c r="C107" s="71">
        <f>C108+C109</f>
        <v>302000</v>
      </c>
      <c r="D107" s="71">
        <f>D108+D109</f>
        <v>177501</v>
      </c>
      <c r="E107" s="168">
        <f t="shared" si="2"/>
        <v>0.2113107142857143</v>
      </c>
      <c r="F107" s="71">
        <f>F108+F109</f>
        <v>91261</v>
      </c>
      <c r="G107" s="130" t="s">
        <v>251</v>
      </c>
      <c r="H107" s="151">
        <v>840</v>
      </c>
      <c r="I107" s="151">
        <v>302</v>
      </c>
      <c r="J107" s="151">
        <v>177</v>
      </c>
      <c r="K107" s="17">
        <v>0.21071428571428572</v>
      </c>
      <c r="L107" s="151">
        <v>91</v>
      </c>
    </row>
    <row r="108" spans="1:12" ht="12.75">
      <c r="A108" s="130" t="s">
        <v>242</v>
      </c>
      <c r="B108" s="71">
        <v>487506</v>
      </c>
      <c r="C108" s="71">
        <v>169027</v>
      </c>
      <c r="D108" s="71">
        <v>145000</v>
      </c>
      <c r="E108" s="168">
        <f t="shared" si="2"/>
        <v>0.29743223673144537</v>
      </c>
      <c r="F108" s="71">
        <f>D108-'[5]Marts1'!D108</f>
        <v>76260</v>
      </c>
      <c r="G108" s="130" t="s">
        <v>242</v>
      </c>
      <c r="H108" s="16">
        <v>488</v>
      </c>
      <c r="I108" s="16">
        <v>169</v>
      </c>
      <c r="J108" s="16">
        <v>145</v>
      </c>
      <c r="K108" s="17">
        <v>0.29713114754098363</v>
      </c>
      <c r="L108" s="16">
        <v>76</v>
      </c>
    </row>
    <row r="109" spans="1:12" ht="12.75">
      <c r="A109" s="130" t="s">
        <v>243</v>
      </c>
      <c r="B109" s="71">
        <v>352494</v>
      </c>
      <c r="C109" s="71">
        <v>132973</v>
      </c>
      <c r="D109" s="71">
        <v>32501</v>
      </c>
      <c r="E109" s="168">
        <f t="shared" si="2"/>
        <v>0.0922029878522755</v>
      </c>
      <c r="F109" s="71">
        <f>D109-'[5]Marts1'!D109</f>
        <v>15001</v>
      </c>
      <c r="G109" s="130" t="s">
        <v>243</v>
      </c>
      <c r="H109" s="16">
        <v>352</v>
      </c>
      <c r="I109" s="16">
        <v>133</v>
      </c>
      <c r="J109" s="16">
        <v>32</v>
      </c>
      <c r="K109" s="17">
        <v>0.09090909090909091</v>
      </c>
      <c r="L109" s="16">
        <v>15</v>
      </c>
    </row>
    <row r="110" spans="1:12" ht="16.5" customHeight="1">
      <c r="A110" s="172" t="s">
        <v>280</v>
      </c>
      <c r="B110" s="71"/>
      <c r="C110" s="71"/>
      <c r="D110" s="71"/>
      <c r="E110" s="168" t="str">
        <f t="shared" si="2"/>
        <v> </v>
      </c>
      <c r="F110" s="71"/>
      <c r="G110" s="172" t="s">
        <v>280</v>
      </c>
      <c r="H110" s="151"/>
      <c r="I110" s="151"/>
      <c r="J110" s="151"/>
      <c r="K110" s="17"/>
      <c r="L110" s="151"/>
    </row>
    <row r="111" spans="1:12" ht="12.75">
      <c r="A111" s="130" t="s">
        <v>249</v>
      </c>
      <c r="B111" s="71">
        <v>1881705</v>
      </c>
      <c r="C111" s="71">
        <v>1105487</v>
      </c>
      <c r="D111" s="71">
        <v>593167</v>
      </c>
      <c r="E111" s="168">
        <f t="shared" si="2"/>
        <v>0.3152284763020771</v>
      </c>
      <c r="F111" s="71">
        <f>D111-'[5]Marts1'!D111</f>
        <v>368472</v>
      </c>
      <c r="G111" s="130" t="s">
        <v>249</v>
      </c>
      <c r="H111" s="16">
        <v>1882</v>
      </c>
      <c r="I111" s="16">
        <v>1105</v>
      </c>
      <c r="J111" s="16">
        <v>593</v>
      </c>
      <c r="K111" s="17">
        <v>0.3150903294367694</v>
      </c>
      <c r="L111" s="16">
        <v>368</v>
      </c>
    </row>
    <row r="112" spans="1:12" ht="12.75">
      <c r="A112" s="130" t="s">
        <v>251</v>
      </c>
      <c r="B112" s="71">
        <f>B113</f>
        <v>1881705</v>
      </c>
      <c r="C112" s="71">
        <f>C113</f>
        <v>1660244</v>
      </c>
      <c r="D112" s="71">
        <f>D113</f>
        <v>576548</v>
      </c>
      <c r="E112" s="168">
        <f t="shared" si="2"/>
        <v>0.3063965924520581</v>
      </c>
      <c r="F112" s="71">
        <f>F113</f>
        <v>373943</v>
      </c>
      <c r="G112" s="130" t="s">
        <v>251</v>
      </c>
      <c r="H112" s="151">
        <v>1882</v>
      </c>
      <c r="I112" s="151">
        <v>1660</v>
      </c>
      <c r="J112" s="151">
        <v>577</v>
      </c>
      <c r="K112" s="17">
        <v>0.3065887353878852</v>
      </c>
      <c r="L112" s="151">
        <v>374</v>
      </c>
    </row>
    <row r="113" spans="1:12" ht="12.75">
      <c r="A113" s="130" t="s">
        <v>243</v>
      </c>
      <c r="B113" s="71">
        <v>1881705</v>
      </c>
      <c r="C113" s="71">
        <v>1660244</v>
      </c>
      <c r="D113" s="71">
        <v>576548</v>
      </c>
      <c r="E113" s="168">
        <f t="shared" si="2"/>
        <v>0.3063965924520581</v>
      </c>
      <c r="F113" s="71">
        <f>D113-'[5]Marts1'!D113</f>
        <v>373943</v>
      </c>
      <c r="G113" s="130" t="s">
        <v>243</v>
      </c>
      <c r="H113" s="16">
        <v>1882</v>
      </c>
      <c r="I113" s="16">
        <v>1660</v>
      </c>
      <c r="J113" s="16">
        <v>577</v>
      </c>
      <c r="K113" s="17">
        <v>0.3065887353878852</v>
      </c>
      <c r="L113" s="16">
        <v>374</v>
      </c>
    </row>
    <row r="114" spans="1:12" ht="15" customHeight="1">
      <c r="A114" s="9" t="s">
        <v>156</v>
      </c>
      <c r="B114" s="71"/>
      <c r="C114" s="71"/>
      <c r="D114" s="71"/>
      <c r="E114" s="168" t="str">
        <f t="shared" si="2"/>
        <v> </v>
      </c>
      <c r="F114" s="71"/>
      <c r="G114" s="9" t="s">
        <v>156</v>
      </c>
      <c r="H114" s="151"/>
      <c r="I114" s="151"/>
      <c r="J114" s="151"/>
      <c r="K114" s="17"/>
      <c r="L114" s="151"/>
    </row>
    <row r="115" spans="1:12" ht="15.75" customHeight="1">
      <c r="A115" s="172" t="s">
        <v>281</v>
      </c>
      <c r="B115" s="71"/>
      <c r="C115" s="71"/>
      <c r="D115" s="71"/>
      <c r="E115" s="168" t="str">
        <f t="shared" si="2"/>
        <v> </v>
      </c>
      <c r="F115" s="71"/>
      <c r="G115" s="172" t="s">
        <v>281</v>
      </c>
      <c r="H115" s="151"/>
      <c r="I115" s="151"/>
      <c r="J115" s="151"/>
      <c r="K115" s="17"/>
      <c r="L115" s="151"/>
    </row>
    <row r="116" spans="1:12" ht="12.75">
      <c r="A116" s="130" t="s">
        <v>249</v>
      </c>
      <c r="B116" s="71">
        <f>SUM(B117:B119)</f>
        <v>479841299</v>
      </c>
      <c r="C116" s="71">
        <v>148162894</v>
      </c>
      <c r="D116" s="71">
        <f>SUM(D117:D119)</f>
        <v>141835047</v>
      </c>
      <c r="E116" s="168">
        <f t="shared" si="2"/>
        <v>0.29558741045338827</v>
      </c>
      <c r="F116" s="71">
        <f>SUM(F117:F119)</f>
        <v>38079534</v>
      </c>
      <c r="G116" s="130" t="s">
        <v>249</v>
      </c>
      <c r="H116" s="151">
        <v>479841</v>
      </c>
      <c r="I116" s="16">
        <v>148163</v>
      </c>
      <c r="J116" s="151">
        <v>141835</v>
      </c>
      <c r="K116" s="17">
        <v>0.29558749669161244</v>
      </c>
      <c r="L116" s="16">
        <v>38079</v>
      </c>
    </row>
    <row r="117" spans="1:33" s="153" customFormat="1" ht="12.75">
      <c r="A117" s="173" t="s">
        <v>282</v>
      </c>
      <c r="B117" s="79">
        <v>472550000</v>
      </c>
      <c r="C117" s="79"/>
      <c r="D117" s="79">
        <v>139528620</v>
      </c>
      <c r="E117" s="168">
        <f t="shared" si="2"/>
        <v>0.295267421436885</v>
      </c>
      <c r="F117" s="71">
        <f>D117-'[5]Marts1'!D117</f>
        <v>37337473</v>
      </c>
      <c r="G117" s="130" t="s">
        <v>282</v>
      </c>
      <c r="H117" s="16">
        <v>472550</v>
      </c>
      <c r="I117" s="16">
        <v>0</v>
      </c>
      <c r="J117" s="16">
        <v>139529</v>
      </c>
      <c r="K117" s="17">
        <v>0.2952682255845942</v>
      </c>
      <c r="L117" s="16">
        <v>37338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153" customFormat="1" ht="12.75">
      <c r="A118" s="173" t="s">
        <v>283</v>
      </c>
      <c r="B118" s="79">
        <v>5687299</v>
      </c>
      <c r="C118" s="79"/>
      <c r="D118" s="79">
        <v>639381</v>
      </c>
      <c r="E118" s="168">
        <f t="shared" si="2"/>
        <v>0.11242261045181552</v>
      </c>
      <c r="F118" s="71">
        <f>D118-'[5]Marts1'!D118</f>
        <v>-577867</v>
      </c>
      <c r="G118" s="130" t="s">
        <v>283</v>
      </c>
      <c r="H118" s="16">
        <v>5687</v>
      </c>
      <c r="I118" s="16">
        <v>0</v>
      </c>
      <c r="J118" s="16">
        <v>639</v>
      </c>
      <c r="K118" s="17">
        <v>0.11236152628802532</v>
      </c>
      <c r="L118" s="16">
        <v>-578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153" customFormat="1" ht="12.75">
      <c r="A119" s="173" t="s">
        <v>284</v>
      </c>
      <c r="B119" s="79">
        <v>1604000</v>
      </c>
      <c r="C119" s="79"/>
      <c r="D119" s="79">
        <f>2306427-639381</f>
        <v>1667046</v>
      </c>
      <c r="E119" s="168">
        <f t="shared" si="2"/>
        <v>1.0393054862842892</v>
      </c>
      <c r="F119" s="71">
        <f>D119-'[5]Marts1'!D119</f>
        <v>1319928</v>
      </c>
      <c r="G119" s="130" t="s">
        <v>284</v>
      </c>
      <c r="H119" s="16">
        <v>1604</v>
      </c>
      <c r="I119" s="16">
        <v>0</v>
      </c>
      <c r="J119" s="16">
        <v>1667</v>
      </c>
      <c r="K119" s="17">
        <v>1.0392768079800498</v>
      </c>
      <c r="L119" s="16">
        <v>1319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153" customFormat="1" ht="12.75">
      <c r="A120" s="130" t="s">
        <v>251</v>
      </c>
      <c r="B120" s="71">
        <v>510061089</v>
      </c>
      <c r="C120" s="71">
        <f>SUM(C121:C122)</f>
        <v>166620457</v>
      </c>
      <c r="D120" s="71">
        <f>SUM(D121:D122)</f>
        <v>167860186</v>
      </c>
      <c r="E120" s="168">
        <f t="shared" si="2"/>
        <v>0.3290981994511642</v>
      </c>
      <c r="F120" s="71">
        <f>SUM(F121:F122)</f>
        <v>40712973</v>
      </c>
      <c r="G120" s="130" t="s">
        <v>251</v>
      </c>
      <c r="H120" s="71">
        <v>510061</v>
      </c>
      <c r="I120" s="71">
        <v>166620</v>
      </c>
      <c r="J120" s="71">
        <v>167860</v>
      </c>
      <c r="K120" s="17">
        <v>0.3290978922128922</v>
      </c>
      <c r="L120" s="151">
        <v>40713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12" ht="12.75">
      <c r="A121" s="130" t="s">
        <v>242</v>
      </c>
      <c r="B121" s="71">
        <v>504568273</v>
      </c>
      <c r="C121" s="71">
        <v>165613254</v>
      </c>
      <c r="D121" s="71">
        <v>166763164</v>
      </c>
      <c r="E121" s="168">
        <f t="shared" si="2"/>
        <v>0.3305066388904718</v>
      </c>
      <c r="F121" s="71">
        <f>D121-'[5]Marts1'!D121</f>
        <v>40391817</v>
      </c>
      <c r="G121" s="130" t="s">
        <v>242</v>
      </c>
      <c r="H121" s="16">
        <v>504568</v>
      </c>
      <c r="I121" s="16">
        <v>165613</v>
      </c>
      <c r="J121" s="16">
        <v>166763</v>
      </c>
      <c r="K121" s="17">
        <v>0.3305064926828495</v>
      </c>
      <c r="L121" s="16">
        <v>40392</v>
      </c>
    </row>
    <row r="122" spans="1:12" ht="12.75">
      <c r="A122" s="130" t="s">
        <v>243</v>
      </c>
      <c r="B122" s="71">
        <v>5492816</v>
      </c>
      <c r="C122" s="71">
        <v>1007203</v>
      </c>
      <c r="D122" s="71">
        <v>1097022</v>
      </c>
      <c r="E122" s="168">
        <f t="shared" si="2"/>
        <v>0.199719415323579</v>
      </c>
      <c r="F122" s="71">
        <f>D122-'[5]Marts1'!D122</f>
        <v>321156</v>
      </c>
      <c r="G122" s="130" t="s">
        <v>243</v>
      </c>
      <c r="H122" s="16">
        <v>5493</v>
      </c>
      <c r="I122" s="16">
        <v>1007</v>
      </c>
      <c r="J122" s="16">
        <v>1097</v>
      </c>
      <c r="K122" s="17">
        <v>0.1997087201893319</v>
      </c>
      <c r="L122" s="16">
        <v>321</v>
      </c>
    </row>
    <row r="123" spans="1:12" ht="12.75">
      <c r="A123" s="130" t="s">
        <v>246</v>
      </c>
      <c r="B123" s="71">
        <v>-30219790</v>
      </c>
      <c r="C123" s="71">
        <f>SUM(C116-C120)</f>
        <v>-18457563</v>
      </c>
      <c r="D123" s="71">
        <f>SUM(D116-D120)</f>
        <v>-26025139</v>
      </c>
      <c r="E123" s="168">
        <f t="shared" si="2"/>
        <v>0.8611952300131801</v>
      </c>
      <c r="F123" s="71">
        <f>SUM(F116-F120)</f>
        <v>-2633439</v>
      </c>
      <c r="G123" s="130" t="s">
        <v>246</v>
      </c>
      <c r="H123" s="16">
        <v>-30220</v>
      </c>
      <c r="I123" s="16">
        <v>-18458</v>
      </c>
      <c r="J123" s="16">
        <v>-26025</v>
      </c>
      <c r="K123" s="17">
        <v>0.8611846459298478</v>
      </c>
      <c r="L123" s="16">
        <v>-2633</v>
      </c>
    </row>
    <row r="124" spans="1:12" ht="12.75">
      <c r="A124" s="130" t="s">
        <v>247</v>
      </c>
      <c r="B124" s="71">
        <v>15277816</v>
      </c>
      <c r="C124" s="71"/>
      <c r="D124" s="71">
        <v>11887516</v>
      </c>
      <c r="E124" s="168">
        <f t="shared" si="2"/>
        <v>0.778090009723903</v>
      </c>
      <c r="F124" s="71">
        <f>D124-'[5]Marts1'!D124</f>
        <v>-686887</v>
      </c>
      <c r="G124" s="130" t="s">
        <v>247</v>
      </c>
      <c r="H124" s="16">
        <v>15278</v>
      </c>
      <c r="I124" s="16">
        <v>0</v>
      </c>
      <c r="J124" s="16">
        <v>11887</v>
      </c>
      <c r="K124" s="17">
        <v>0.778046864772876</v>
      </c>
      <c r="L124" s="16">
        <v>-687</v>
      </c>
    </row>
    <row r="125" spans="1:12" ht="12.75">
      <c r="A125" s="172" t="s">
        <v>285</v>
      </c>
      <c r="B125" s="71"/>
      <c r="C125" s="71"/>
      <c r="D125" s="71"/>
      <c r="E125" s="168" t="str">
        <f t="shared" si="2"/>
        <v> </v>
      </c>
      <c r="F125" s="71"/>
      <c r="G125" s="172" t="s">
        <v>285</v>
      </c>
      <c r="H125" s="151"/>
      <c r="I125" s="151"/>
      <c r="J125" s="151"/>
      <c r="K125" s="17"/>
      <c r="L125" s="151"/>
    </row>
    <row r="126" spans="1:12" ht="12.75">
      <c r="A126" s="130" t="s">
        <v>249</v>
      </c>
      <c r="B126" s="71">
        <f>SUM(B127:B129)</f>
        <v>378233271</v>
      </c>
      <c r="C126" s="71">
        <v>118993872</v>
      </c>
      <c r="D126" s="71">
        <f>SUM(D127:D129)</f>
        <v>111793230</v>
      </c>
      <c r="E126" s="168">
        <f t="shared" si="2"/>
        <v>0.29556688575923823</v>
      </c>
      <c r="F126" s="71">
        <f>SUM(F127:F129)</f>
        <v>32863602</v>
      </c>
      <c r="G126" s="130" t="s">
        <v>249</v>
      </c>
      <c r="H126" s="151">
        <v>378233</v>
      </c>
      <c r="I126" s="23">
        <v>118994</v>
      </c>
      <c r="J126" s="151">
        <v>111793</v>
      </c>
      <c r="K126" s="17">
        <v>0.29556648943904945</v>
      </c>
      <c r="L126" s="16">
        <v>32863</v>
      </c>
    </row>
    <row r="127" spans="1:33" s="153" customFormat="1" ht="12.75">
      <c r="A127" s="173" t="s">
        <v>282</v>
      </c>
      <c r="B127" s="79">
        <v>357284400</v>
      </c>
      <c r="C127" s="79"/>
      <c r="D127" s="23">
        <v>105476205</v>
      </c>
      <c r="E127" s="168" t="str">
        <f>IF(ISERROR(#REF!/B127)," ",(#REF!/B127))</f>
        <v> </v>
      </c>
      <c r="F127" s="71">
        <f>D127-'[5]Marts1'!D127</f>
        <v>28234005</v>
      </c>
      <c r="G127" s="173" t="s">
        <v>282</v>
      </c>
      <c r="H127" s="23">
        <v>357284</v>
      </c>
      <c r="I127" s="23">
        <v>0</v>
      </c>
      <c r="J127" s="23">
        <v>105476</v>
      </c>
      <c r="K127" s="17">
        <v>0.29521613058519275</v>
      </c>
      <c r="L127" s="16">
        <v>28234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153" customFormat="1" ht="12.75">
      <c r="A128" s="173" t="s">
        <v>283</v>
      </c>
      <c r="B128" s="79">
        <v>3224892</v>
      </c>
      <c r="C128" s="79"/>
      <c r="D128" s="23">
        <v>4988</v>
      </c>
      <c r="E128" s="168" t="str">
        <f>IF(ISERROR(#REF!/B128)," ",(#REF!/B128))</f>
        <v> </v>
      </c>
      <c r="F128" s="71">
        <f>D128-'[5]Marts1'!D128</f>
        <v>-708733</v>
      </c>
      <c r="G128" s="173" t="s">
        <v>283</v>
      </c>
      <c r="H128" s="23">
        <v>3225</v>
      </c>
      <c r="I128" s="23">
        <v>0</v>
      </c>
      <c r="J128" s="23">
        <v>5</v>
      </c>
      <c r="K128" s="17">
        <v>0.0015503875968992248</v>
      </c>
      <c r="L128" s="16">
        <v>-709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153" customFormat="1" ht="12.75">
      <c r="A129" s="173" t="s">
        <v>284</v>
      </c>
      <c r="B129" s="79">
        <v>17723979</v>
      </c>
      <c r="C129" s="79"/>
      <c r="D129" s="23">
        <f>6317025-4988</f>
        <v>6312037</v>
      </c>
      <c r="E129" s="168" t="str">
        <f>IF(ISERROR(#REF!/B129)," ",(#REF!/B129))</f>
        <v> </v>
      </c>
      <c r="F129" s="71">
        <f>D129-'[5]Marts1'!D129</f>
        <v>5338330</v>
      </c>
      <c r="G129" s="173" t="s">
        <v>284</v>
      </c>
      <c r="H129" s="23">
        <v>17724</v>
      </c>
      <c r="I129" s="23">
        <v>0</v>
      </c>
      <c r="J129" s="23">
        <v>6312</v>
      </c>
      <c r="K129" s="17">
        <v>0.3561272850372376</v>
      </c>
      <c r="L129" s="16">
        <v>5338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153" customFormat="1" ht="12.75">
      <c r="A130" s="130" t="s">
        <v>251</v>
      </c>
      <c r="B130" s="79">
        <f>SUM(B131)</f>
        <v>393635050</v>
      </c>
      <c r="C130" s="79">
        <f>SUM(C131)</f>
        <v>129637730</v>
      </c>
      <c r="D130" s="79">
        <f>SUM(D131)</f>
        <v>128733716</v>
      </c>
      <c r="E130" s="168">
        <f t="shared" si="2"/>
        <v>0.32703824519691527</v>
      </c>
      <c r="F130" s="79">
        <f>SUM(F131)</f>
        <v>31389879</v>
      </c>
      <c r="G130" s="130" t="s">
        <v>251</v>
      </c>
      <c r="H130" s="151">
        <v>393635</v>
      </c>
      <c r="I130" s="151">
        <v>129638</v>
      </c>
      <c r="J130" s="151">
        <v>128734</v>
      </c>
      <c r="K130" s="17">
        <v>0.32703900821827325</v>
      </c>
      <c r="L130" s="151">
        <v>31390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12" ht="12.75">
      <c r="A131" s="130" t="s">
        <v>286</v>
      </c>
      <c r="B131" s="71">
        <v>393635050</v>
      </c>
      <c r="C131" s="71">
        <v>129637730</v>
      </c>
      <c r="D131" s="23">
        <v>128733716</v>
      </c>
      <c r="E131" s="168" t="str">
        <f>IF(ISERROR(#REF!/B131)," ",(#REF!/B131))</f>
        <v> </v>
      </c>
      <c r="F131" s="71">
        <f>D131-'[5]Marts1'!D131</f>
        <v>31389879</v>
      </c>
      <c r="G131" s="173" t="s">
        <v>286</v>
      </c>
      <c r="H131" s="23">
        <v>393635</v>
      </c>
      <c r="I131" s="23">
        <v>129638</v>
      </c>
      <c r="J131" s="23">
        <v>128734</v>
      </c>
      <c r="K131" s="17">
        <v>0.32703900821827325</v>
      </c>
      <c r="L131" s="16">
        <v>31390</v>
      </c>
    </row>
    <row r="132" spans="1:12" ht="12.75">
      <c r="A132" s="130" t="s">
        <v>246</v>
      </c>
      <c r="B132" s="71">
        <f>SUM(B126-B130)</f>
        <v>-15401779</v>
      </c>
      <c r="C132" s="71">
        <f>SUM(C126-C130)</f>
        <v>-10643858</v>
      </c>
      <c r="D132" s="71">
        <f>SUM(D126-D130)</f>
        <v>-16940486</v>
      </c>
      <c r="E132" s="168">
        <f t="shared" si="2"/>
        <v>1.0999044980453232</v>
      </c>
      <c r="F132" s="71">
        <f>SUM(F126-F130)</f>
        <v>1473723</v>
      </c>
      <c r="G132" s="130" t="s">
        <v>246</v>
      </c>
      <c r="H132" s="151">
        <v>-15402</v>
      </c>
      <c r="I132" s="151">
        <v>-10644</v>
      </c>
      <c r="J132" s="151">
        <v>-16941</v>
      </c>
      <c r="K132" s="17">
        <v>1.0999220880405143</v>
      </c>
      <c r="L132" s="151">
        <v>1473</v>
      </c>
    </row>
    <row r="133" spans="1:12" ht="12.75">
      <c r="A133" s="130" t="s">
        <v>247</v>
      </c>
      <c r="B133" s="71">
        <v>10000000</v>
      </c>
      <c r="C133" s="71"/>
      <c r="D133" s="71">
        <v>9409467</v>
      </c>
      <c r="E133" s="168">
        <f t="shared" si="2"/>
        <v>0.9409467</v>
      </c>
      <c r="F133" s="71">
        <f>D133-'[5]Marts1'!D133</f>
        <v>-1458275</v>
      </c>
      <c r="G133" s="130" t="s">
        <v>247</v>
      </c>
      <c r="H133" s="16">
        <v>10000</v>
      </c>
      <c r="I133" s="16">
        <v>0</v>
      </c>
      <c r="J133" s="16">
        <v>9409</v>
      </c>
      <c r="K133" s="17">
        <v>0.9409</v>
      </c>
      <c r="L133" s="16">
        <v>-1459</v>
      </c>
    </row>
    <row r="134" spans="1:12" ht="12.75">
      <c r="A134" s="172" t="s">
        <v>287</v>
      </c>
      <c r="B134" s="71"/>
      <c r="C134" s="71"/>
      <c r="D134" s="71"/>
      <c r="E134" s="168" t="str">
        <f t="shared" si="2"/>
        <v> </v>
      </c>
      <c r="F134" s="71"/>
      <c r="G134" s="172" t="s">
        <v>287</v>
      </c>
      <c r="H134" s="151"/>
      <c r="I134" s="151"/>
      <c r="J134" s="151"/>
      <c r="K134" s="17"/>
      <c r="L134" s="151"/>
    </row>
    <row r="135" spans="1:12" ht="12.75">
      <c r="A135" s="130" t="s">
        <v>249</v>
      </c>
      <c r="B135" s="71">
        <f>SUM(B136:B138)</f>
        <v>33769326</v>
      </c>
      <c r="C135" s="71">
        <v>9961473</v>
      </c>
      <c r="D135" s="71">
        <f>SUM(D136:D138)</f>
        <v>10977625</v>
      </c>
      <c r="E135" s="168">
        <f t="shared" si="2"/>
        <v>0.3250768167537605</v>
      </c>
      <c r="F135" s="71">
        <f>SUM(F136:F138)</f>
        <v>2855865</v>
      </c>
      <c r="G135" s="130" t="s">
        <v>249</v>
      </c>
      <c r="H135" s="151">
        <v>33769</v>
      </c>
      <c r="I135" s="23">
        <v>9961</v>
      </c>
      <c r="J135" s="151">
        <v>10978</v>
      </c>
      <c r="K135" s="17">
        <v>0.3250910598477894</v>
      </c>
      <c r="L135" s="16">
        <v>2857</v>
      </c>
    </row>
    <row r="136" spans="1:33" s="153" customFormat="1" ht="12.75">
      <c r="A136" s="173" t="s">
        <v>282</v>
      </c>
      <c r="B136" s="79">
        <v>29902920</v>
      </c>
      <c r="C136" s="79"/>
      <c r="D136" s="79">
        <v>10231714</v>
      </c>
      <c r="E136" s="168">
        <f t="shared" si="2"/>
        <v>0.3421643772581407</v>
      </c>
      <c r="F136" s="71">
        <f>D136-'[5]Marts1'!D136</f>
        <v>2367315</v>
      </c>
      <c r="G136" s="173" t="s">
        <v>282</v>
      </c>
      <c r="H136" s="23">
        <v>29903</v>
      </c>
      <c r="I136" s="23">
        <v>0</v>
      </c>
      <c r="J136" s="23">
        <v>10232</v>
      </c>
      <c r="K136" s="24">
        <v>0.34217302611778083</v>
      </c>
      <c r="L136" s="16">
        <v>2368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153" customFormat="1" ht="12.75">
      <c r="A137" s="173" t="s">
        <v>283</v>
      </c>
      <c r="B137" s="79">
        <v>372407</v>
      </c>
      <c r="C137" s="79"/>
      <c r="D137" s="79">
        <v>100767</v>
      </c>
      <c r="E137" s="168">
        <f t="shared" si="2"/>
        <v>0.2705829911897467</v>
      </c>
      <c r="F137" s="71">
        <f>D137-'[5]Marts1'!D137</f>
        <v>49740</v>
      </c>
      <c r="G137" s="173" t="s">
        <v>283</v>
      </c>
      <c r="H137" s="23">
        <v>372</v>
      </c>
      <c r="I137" s="23">
        <v>0</v>
      </c>
      <c r="J137" s="23">
        <v>101</v>
      </c>
      <c r="K137" s="24">
        <v>0.271505376344086</v>
      </c>
      <c r="L137" s="16">
        <v>50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153" customFormat="1" ht="12.75">
      <c r="A138" s="173" t="s">
        <v>284</v>
      </c>
      <c r="B138" s="79">
        <v>3493999</v>
      </c>
      <c r="C138" s="79"/>
      <c r="D138" s="79">
        <f>745911-100767</f>
        <v>645144</v>
      </c>
      <c r="E138" s="168">
        <f aca="true" t="shared" si="3" ref="E138:E201">IF(ISERROR(D138/B138)," ",(D138/B138))</f>
        <v>0.18464344151214698</v>
      </c>
      <c r="F138" s="71">
        <f>D138-'[5]Marts1'!D138</f>
        <v>438810</v>
      </c>
      <c r="G138" s="173" t="s">
        <v>284</v>
      </c>
      <c r="H138" s="23">
        <v>3494</v>
      </c>
      <c r="I138" s="23">
        <v>0</v>
      </c>
      <c r="J138" s="23">
        <v>645</v>
      </c>
      <c r="K138" s="24">
        <v>0.1846021751574127</v>
      </c>
      <c r="L138" s="16">
        <v>439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153" customFormat="1" ht="12.75">
      <c r="A139" s="130" t="s">
        <v>251</v>
      </c>
      <c r="B139" s="79">
        <f>SUM(B140:B141)</f>
        <v>43019897</v>
      </c>
      <c r="C139" s="79">
        <f>SUM(C140:C141)</f>
        <v>16981953</v>
      </c>
      <c r="D139" s="79">
        <f>SUM(D140:D141)</f>
        <v>16529542</v>
      </c>
      <c r="E139" s="168">
        <f t="shared" si="3"/>
        <v>0.38423016215031847</v>
      </c>
      <c r="F139" s="79">
        <f>SUM(F140:F141)</f>
        <v>6571591</v>
      </c>
      <c r="G139" s="130" t="s">
        <v>251</v>
      </c>
      <c r="H139" s="151">
        <v>43020</v>
      </c>
      <c r="I139" s="151">
        <v>16982</v>
      </c>
      <c r="J139" s="151">
        <v>16530</v>
      </c>
      <c r="K139" s="17">
        <v>0.3842398884239888</v>
      </c>
      <c r="L139" s="151">
        <v>6572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153" customFormat="1" ht="12.75">
      <c r="A140" s="173" t="s">
        <v>286</v>
      </c>
      <c r="B140" s="79">
        <v>43004897</v>
      </c>
      <c r="C140" s="79">
        <v>16976953</v>
      </c>
      <c r="D140" s="79">
        <v>16529542</v>
      </c>
      <c r="E140" s="177">
        <f t="shared" si="3"/>
        <v>0.3843641806652856</v>
      </c>
      <c r="F140" s="79">
        <f>D140-'[5]Marts1'!D140</f>
        <v>6571591</v>
      </c>
      <c r="G140" s="173" t="s">
        <v>286</v>
      </c>
      <c r="H140" s="23">
        <v>43005</v>
      </c>
      <c r="I140" s="23">
        <v>16977</v>
      </c>
      <c r="J140" s="23">
        <v>16530</v>
      </c>
      <c r="K140" s="24">
        <v>0.3843739100104639</v>
      </c>
      <c r="L140" s="23">
        <v>6572</v>
      </c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</row>
    <row r="141" spans="1:33" s="153" customFormat="1" ht="12.75">
      <c r="A141" s="173" t="s">
        <v>288</v>
      </c>
      <c r="B141" s="79">
        <v>15000</v>
      </c>
      <c r="C141" s="79">
        <v>5000</v>
      </c>
      <c r="D141" s="79"/>
      <c r="E141" s="177">
        <f t="shared" si="3"/>
        <v>0</v>
      </c>
      <c r="F141" s="79">
        <f>D141-'[5]Marts1'!D141</f>
        <v>0</v>
      </c>
      <c r="G141" s="173" t="s">
        <v>288</v>
      </c>
      <c r="H141" s="23">
        <v>15</v>
      </c>
      <c r="I141" s="23">
        <v>5</v>
      </c>
      <c r="J141" s="23">
        <v>0</v>
      </c>
      <c r="K141" s="24">
        <v>0</v>
      </c>
      <c r="L141" s="23">
        <v>0</v>
      </c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</row>
    <row r="142" spans="1:12" ht="12.75">
      <c r="A142" s="130" t="s">
        <v>246</v>
      </c>
      <c r="B142" s="71">
        <f>SUM(B135-B139)</f>
        <v>-9250571</v>
      </c>
      <c r="C142" s="71">
        <f>SUM(C135-C139)</f>
        <v>-7020480</v>
      </c>
      <c r="D142" s="71">
        <f>SUM(D135-D139)</f>
        <v>-5551917</v>
      </c>
      <c r="E142" s="168">
        <f t="shared" si="3"/>
        <v>0.6001701948993202</v>
      </c>
      <c r="F142" s="71">
        <f>SUM(F135-F139)</f>
        <v>-3715726</v>
      </c>
      <c r="G142" s="130" t="s">
        <v>246</v>
      </c>
      <c r="H142" s="151">
        <v>-9251</v>
      </c>
      <c r="I142" s="151">
        <v>-7021</v>
      </c>
      <c r="J142" s="151">
        <v>-5552</v>
      </c>
      <c r="K142" s="17">
        <v>0.6001513349908119</v>
      </c>
      <c r="L142" s="151">
        <v>-3715</v>
      </c>
    </row>
    <row r="143" spans="1:12" ht="12.75">
      <c r="A143" s="130" t="s">
        <v>247</v>
      </c>
      <c r="B143" s="179"/>
      <c r="C143" s="179"/>
      <c r="D143" s="179"/>
      <c r="E143" s="168" t="str">
        <f t="shared" si="3"/>
        <v> </v>
      </c>
      <c r="F143" s="71">
        <f>D143-'[5]Marts1'!D143</f>
        <v>0</v>
      </c>
      <c r="G143" s="130" t="s">
        <v>247</v>
      </c>
      <c r="H143" s="16">
        <v>0</v>
      </c>
      <c r="I143" s="16">
        <v>0</v>
      </c>
      <c r="J143" s="16">
        <v>0</v>
      </c>
      <c r="K143" s="17"/>
      <c r="L143" s="16">
        <v>0</v>
      </c>
    </row>
    <row r="144" spans="1:12" ht="12.75">
      <c r="A144" s="172" t="s">
        <v>289</v>
      </c>
      <c r="B144" s="71"/>
      <c r="C144" s="71"/>
      <c r="D144" s="71"/>
      <c r="E144" s="168" t="str">
        <f t="shared" si="3"/>
        <v> </v>
      </c>
      <c r="F144" s="71"/>
      <c r="G144" s="172" t="s">
        <v>289</v>
      </c>
      <c r="H144" s="151"/>
      <c r="I144" s="151"/>
      <c r="J144" s="151"/>
      <c r="K144" s="17" t="s">
        <v>92</v>
      </c>
      <c r="L144" s="151"/>
    </row>
    <row r="145" spans="1:12" ht="12.75">
      <c r="A145" s="130" t="s">
        <v>249</v>
      </c>
      <c r="B145" s="71">
        <f>SUM(B146:B148)</f>
        <v>1119050</v>
      </c>
      <c r="C145" s="71">
        <v>347930</v>
      </c>
      <c r="D145" s="71">
        <f>SUM(D146:D148)</f>
        <v>348726</v>
      </c>
      <c r="E145" s="168">
        <f t="shared" si="3"/>
        <v>0.31162682632590144</v>
      </c>
      <c r="F145" s="71">
        <f>SUM(F146:F148)</f>
        <v>90018</v>
      </c>
      <c r="G145" s="130" t="s">
        <v>249</v>
      </c>
      <c r="H145" s="151">
        <v>1120</v>
      </c>
      <c r="I145" s="23">
        <v>348</v>
      </c>
      <c r="J145" s="151">
        <v>348</v>
      </c>
      <c r="K145" s="17">
        <v>0.3107142857142857</v>
      </c>
      <c r="L145" s="151">
        <v>90</v>
      </c>
    </row>
    <row r="146" spans="1:33" s="153" customFormat="1" ht="12.75">
      <c r="A146" s="173" t="s">
        <v>282</v>
      </c>
      <c r="B146" s="79">
        <v>1086520</v>
      </c>
      <c r="C146" s="79"/>
      <c r="D146" s="79">
        <v>341231</v>
      </c>
      <c r="E146" s="168">
        <f t="shared" si="3"/>
        <v>0.3140586459522144</v>
      </c>
      <c r="F146" s="71">
        <f>D146-'[5]Marts1'!D146</f>
        <v>85893</v>
      </c>
      <c r="G146" s="173" t="s">
        <v>282</v>
      </c>
      <c r="H146" s="23">
        <v>1087</v>
      </c>
      <c r="I146" s="23">
        <v>0</v>
      </c>
      <c r="J146" s="23">
        <v>341</v>
      </c>
      <c r="K146" s="24">
        <v>0.3137074517019319</v>
      </c>
      <c r="L146" s="16">
        <v>86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s="153" customFormat="1" ht="13.5" customHeight="1" hidden="1">
      <c r="A147" s="173"/>
      <c r="B147" s="79"/>
      <c r="C147" s="79"/>
      <c r="D147" s="79"/>
      <c r="E147" s="168" t="str">
        <f t="shared" si="3"/>
        <v> </v>
      </c>
      <c r="F147" s="79"/>
      <c r="G147" s="173"/>
      <c r="H147" s="180"/>
      <c r="I147" s="180"/>
      <c r="J147" s="180"/>
      <c r="K147" s="24" t="s">
        <v>92</v>
      </c>
      <c r="L147" s="180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s="153" customFormat="1" ht="12.75">
      <c r="A148" s="173" t="s">
        <v>284</v>
      </c>
      <c r="B148" s="79">
        <v>32530</v>
      </c>
      <c r="C148" s="79"/>
      <c r="D148" s="79">
        <v>7495</v>
      </c>
      <c r="E148" s="168">
        <f t="shared" si="3"/>
        <v>0.23040270519520442</v>
      </c>
      <c r="F148" s="71">
        <f>D148-'[5]Marts1'!D148</f>
        <v>4125</v>
      </c>
      <c r="G148" s="173" t="s">
        <v>284</v>
      </c>
      <c r="H148" s="23">
        <v>33</v>
      </c>
      <c r="I148" s="23">
        <v>0</v>
      </c>
      <c r="J148" s="23">
        <v>7</v>
      </c>
      <c r="K148" s="24">
        <v>0.21212121212121213</v>
      </c>
      <c r="L148" s="16">
        <v>4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s="153" customFormat="1" ht="12.75">
      <c r="A149" s="130" t="s">
        <v>251</v>
      </c>
      <c r="B149" s="79">
        <f>SUM(B150:B151)</f>
        <v>1184169</v>
      </c>
      <c r="C149" s="79">
        <f>SUM(C150:C151)</f>
        <v>196098</v>
      </c>
      <c r="D149" s="79">
        <f>SUM(D150:D151)</f>
        <v>158536</v>
      </c>
      <c r="E149" s="168">
        <f t="shared" si="3"/>
        <v>0.13387953915361744</v>
      </c>
      <c r="F149" s="79">
        <f>SUM(F150:F151)</f>
        <v>40267</v>
      </c>
      <c r="G149" s="130" t="s">
        <v>251</v>
      </c>
      <c r="H149" s="151">
        <v>1184</v>
      </c>
      <c r="I149" s="151">
        <v>196</v>
      </c>
      <c r="J149" s="151">
        <v>159</v>
      </c>
      <c r="K149" s="17">
        <v>0.13429054054054054</v>
      </c>
      <c r="L149" s="151">
        <v>41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12" ht="12.75">
      <c r="A150" s="130" t="s">
        <v>286</v>
      </c>
      <c r="B150" s="71">
        <v>1184169</v>
      </c>
      <c r="C150" s="71">
        <v>196098</v>
      </c>
      <c r="D150" s="71">
        <v>158536</v>
      </c>
      <c r="E150" s="168">
        <f t="shared" si="3"/>
        <v>0.13387953915361744</v>
      </c>
      <c r="F150" s="71">
        <f>D150-'[5]Marts1'!D150</f>
        <v>40267</v>
      </c>
      <c r="G150" s="173" t="s">
        <v>286</v>
      </c>
      <c r="H150" s="23">
        <v>1184</v>
      </c>
      <c r="I150" s="23">
        <v>196</v>
      </c>
      <c r="J150" s="23">
        <v>159</v>
      </c>
      <c r="K150" s="24">
        <v>0.13429054054054054</v>
      </c>
      <c r="L150" s="16">
        <v>41</v>
      </c>
    </row>
    <row r="151" spans="1:12" ht="12.75" hidden="1">
      <c r="A151" s="130"/>
      <c r="B151" s="71"/>
      <c r="C151" s="71"/>
      <c r="D151" s="71"/>
      <c r="E151" s="168" t="str">
        <f t="shared" si="3"/>
        <v> </v>
      </c>
      <c r="F151" s="71"/>
      <c r="G151" s="130"/>
      <c r="H151" s="151"/>
      <c r="I151" s="151"/>
      <c r="J151" s="151"/>
      <c r="K151" s="17" t="s">
        <v>92</v>
      </c>
      <c r="L151" s="151"/>
    </row>
    <row r="152" spans="1:12" ht="12.75">
      <c r="A152" s="130" t="s">
        <v>246</v>
      </c>
      <c r="B152" s="71">
        <f>SUM(B145-B149)</f>
        <v>-65119</v>
      </c>
      <c r="C152" s="71">
        <f>SUM(C145-C149)</f>
        <v>151832</v>
      </c>
      <c r="D152" s="71">
        <f>SUM(D145-D149)</f>
        <v>190190</v>
      </c>
      <c r="E152" s="168">
        <f t="shared" si="3"/>
        <v>-2.9206529584299514</v>
      </c>
      <c r="F152" s="71">
        <f>SUM(F145-F149)</f>
        <v>49751</v>
      </c>
      <c r="G152" s="130" t="s">
        <v>246</v>
      </c>
      <c r="H152" s="151">
        <v>-64</v>
      </c>
      <c r="I152" s="151">
        <v>152</v>
      </c>
      <c r="J152" s="151">
        <v>189</v>
      </c>
      <c r="K152" s="17">
        <v>-2.953125</v>
      </c>
      <c r="L152" s="151">
        <v>49</v>
      </c>
    </row>
    <row r="153" spans="1:12" ht="12.75">
      <c r="A153" s="130" t="s">
        <v>247</v>
      </c>
      <c r="B153" s="179"/>
      <c r="C153" s="179"/>
      <c r="D153" s="179"/>
      <c r="E153" s="168" t="str">
        <f t="shared" si="3"/>
        <v> </v>
      </c>
      <c r="F153" s="71">
        <f>D153-'[5]Marts1'!D153</f>
        <v>0</v>
      </c>
      <c r="G153" s="130" t="s">
        <v>247</v>
      </c>
      <c r="H153" s="16">
        <v>0</v>
      </c>
      <c r="I153" s="16">
        <v>0</v>
      </c>
      <c r="J153" s="16">
        <v>0</v>
      </c>
      <c r="K153" s="17" t="s">
        <v>92</v>
      </c>
      <c r="L153" s="16">
        <v>0</v>
      </c>
    </row>
    <row r="154" spans="1:12" ht="28.5" customHeight="1">
      <c r="A154" s="174" t="s">
        <v>290</v>
      </c>
      <c r="B154" s="71"/>
      <c r="C154" s="71"/>
      <c r="D154" s="71"/>
      <c r="E154" s="168" t="str">
        <f t="shared" si="3"/>
        <v> </v>
      </c>
      <c r="F154" s="71"/>
      <c r="G154" s="174" t="s">
        <v>290</v>
      </c>
      <c r="H154" s="151"/>
      <c r="I154" s="151"/>
      <c r="J154" s="151"/>
      <c r="K154" s="17"/>
      <c r="L154" s="151"/>
    </row>
    <row r="155" spans="1:12" ht="12.75">
      <c r="A155" s="130" t="s">
        <v>249</v>
      </c>
      <c r="B155" s="71">
        <f>SUM(B156:B158)</f>
        <v>92682400</v>
      </c>
      <c r="C155" s="71">
        <v>27475068</v>
      </c>
      <c r="D155" s="71">
        <f>SUM(D156:D158)</f>
        <v>24893261</v>
      </c>
      <c r="E155" s="168">
        <f t="shared" si="3"/>
        <v>0.2685867111770951</v>
      </c>
      <c r="F155" s="71">
        <f>SUM(F156:F158)</f>
        <v>7949269</v>
      </c>
      <c r="G155" s="130" t="s">
        <v>249</v>
      </c>
      <c r="H155" s="151">
        <v>92682</v>
      </c>
      <c r="I155" s="16">
        <v>27475</v>
      </c>
      <c r="J155" s="151">
        <v>24893</v>
      </c>
      <c r="K155" s="17">
        <v>0.26858505427159535</v>
      </c>
      <c r="L155" s="151">
        <v>7949</v>
      </c>
    </row>
    <row r="156" spans="1:33" s="153" customFormat="1" ht="12" customHeight="1">
      <c r="A156" s="173" t="s">
        <v>282</v>
      </c>
      <c r="B156" s="79">
        <v>84276160</v>
      </c>
      <c r="C156" s="79"/>
      <c r="D156" s="79">
        <v>23479470</v>
      </c>
      <c r="E156" s="168">
        <f t="shared" si="3"/>
        <v>0.2786015641908696</v>
      </c>
      <c r="F156" s="71">
        <f>D156-'[5]Marts1'!D156</f>
        <v>6650260</v>
      </c>
      <c r="G156" s="173" t="s">
        <v>282</v>
      </c>
      <c r="H156" s="23">
        <v>84276</v>
      </c>
      <c r="I156" s="23">
        <v>0</v>
      </c>
      <c r="J156" s="23">
        <v>23479</v>
      </c>
      <c r="K156" s="24">
        <v>0.2785965162086478</v>
      </c>
      <c r="L156" s="16">
        <v>6650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s="153" customFormat="1" ht="12.75" hidden="1">
      <c r="A157" s="173"/>
      <c r="B157" s="79"/>
      <c r="C157" s="79"/>
      <c r="D157" s="79"/>
      <c r="E157" s="168" t="str">
        <f t="shared" si="3"/>
        <v> </v>
      </c>
      <c r="F157" s="79"/>
      <c r="G157" s="173"/>
      <c r="H157" s="180"/>
      <c r="I157" s="180"/>
      <c r="J157" s="180"/>
      <c r="K157" s="24" t="s">
        <v>92</v>
      </c>
      <c r="L157" s="180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s="153" customFormat="1" ht="12.75">
      <c r="A158" s="173" t="s">
        <v>284</v>
      </c>
      <c r="B158" s="79">
        <v>8406240</v>
      </c>
      <c r="C158" s="79"/>
      <c r="D158" s="79">
        <v>1413791</v>
      </c>
      <c r="E158" s="168">
        <f t="shared" si="3"/>
        <v>0.1681835160547403</v>
      </c>
      <c r="F158" s="71">
        <f>D158-'[5]Marts1'!D158</f>
        <v>1299009</v>
      </c>
      <c r="G158" s="173" t="s">
        <v>284</v>
      </c>
      <c r="H158" s="23">
        <v>8406</v>
      </c>
      <c r="I158" s="23">
        <v>0</v>
      </c>
      <c r="J158" s="23">
        <v>1414</v>
      </c>
      <c r="K158" s="24">
        <v>0.1682131810611468</v>
      </c>
      <c r="L158" s="16">
        <v>1299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s="153" customFormat="1" ht="12.75">
      <c r="A159" s="130" t="s">
        <v>251</v>
      </c>
      <c r="B159" s="79">
        <f>B160</f>
        <v>92906905</v>
      </c>
      <c r="C159" s="79">
        <f>C160</f>
        <v>30280263</v>
      </c>
      <c r="D159" s="79">
        <f>D160</f>
        <v>28083768</v>
      </c>
      <c r="E159" s="168">
        <f t="shared" si="3"/>
        <v>0.3022785873665687</v>
      </c>
      <c r="F159" s="79">
        <f>F160</f>
        <v>8400046</v>
      </c>
      <c r="G159" s="130" t="s">
        <v>251</v>
      </c>
      <c r="H159" s="151">
        <v>92907</v>
      </c>
      <c r="I159" s="151">
        <v>30280</v>
      </c>
      <c r="J159" s="151">
        <v>28084</v>
      </c>
      <c r="K159" s="17">
        <v>0.30228077539905496</v>
      </c>
      <c r="L159" s="151">
        <v>8400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12" ht="12.75">
      <c r="A160" s="130" t="s">
        <v>286</v>
      </c>
      <c r="B160" s="71">
        <v>92906905</v>
      </c>
      <c r="C160" s="71">
        <v>30280263</v>
      </c>
      <c r="D160" s="71">
        <v>28083768</v>
      </c>
      <c r="E160" s="168">
        <f t="shared" si="3"/>
        <v>0.3022785873665687</v>
      </c>
      <c r="F160" s="71">
        <f>D160-'[5]Marts1'!D160</f>
        <v>8400046</v>
      </c>
      <c r="G160" s="173" t="s">
        <v>286</v>
      </c>
      <c r="H160" s="23">
        <v>92907</v>
      </c>
      <c r="I160" s="23">
        <v>30280</v>
      </c>
      <c r="J160" s="23">
        <v>28084</v>
      </c>
      <c r="K160" s="24">
        <v>0.30228077539905496</v>
      </c>
      <c r="L160" s="16">
        <v>8400</v>
      </c>
    </row>
    <row r="161" spans="1:12" ht="12.75">
      <c r="A161" s="130" t="s">
        <v>246</v>
      </c>
      <c r="B161" s="71">
        <f>SUM(B155-B159)</f>
        <v>-224505</v>
      </c>
      <c r="C161" s="71">
        <f>SUM(C155-C159)</f>
        <v>-2805195</v>
      </c>
      <c r="D161" s="71">
        <f>SUM(D155-D159)</f>
        <v>-3190507</v>
      </c>
      <c r="E161" s="168">
        <f t="shared" si="3"/>
        <v>14.211295962228013</v>
      </c>
      <c r="F161" s="71">
        <f>SUM(F155-F159)</f>
        <v>-450777</v>
      </c>
      <c r="G161" s="130" t="s">
        <v>246</v>
      </c>
      <c r="H161" s="151">
        <v>-225</v>
      </c>
      <c r="I161" s="151">
        <v>-2805</v>
      </c>
      <c r="J161" s="151">
        <v>-3191</v>
      </c>
      <c r="K161" s="17">
        <v>14.182222222222222</v>
      </c>
      <c r="L161" s="151">
        <v>-451</v>
      </c>
    </row>
    <row r="162" spans="1:12" ht="12.75">
      <c r="A162" s="130" t="s">
        <v>247</v>
      </c>
      <c r="B162" s="71"/>
      <c r="C162" s="71"/>
      <c r="D162" s="71">
        <v>2035060</v>
      </c>
      <c r="E162" s="168" t="str">
        <f t="shared" si="3"/>
        <v> </v>
      </c>
      <c r="F162" s="71">
        <f>D162-'[5]Marts1'!D162</f>
        <v>450564</v>
      </c>
      <c r="G162" s="130" t="s">
        <v>247</v>
      </c>
      <c r="H162" s="16">
        <v>0</v>
      </c>
      <c r="I162" s="16">
        <v>0</v>
      </c>
      <c r="J162" s="16">
        <v>2035</v>
      </c>
      <c r="K162" s="17" t="s">
        <v>92</v>
      </c>
      <c r="L162" s="16">
        <v>451</v>
      </c>
    </row>
    <row r="163" spans="1:12" ht="12.75">
      <c r="A163" s="172" t="s">
        <v>291</v>
      </c>
      <c r="B163" s="71"/>
      <c r="C163" s="71"/>
      <c r="D163" s="71"/>
      <c r="E163" s="168" t="str">
        <f t="shared" si="3"/>
        <v> </v>
      </c>
      <c r="F163" s="71"/>
      <c r="G163" s="172" t="s">
        <v>291</v>
      </c>
      <c r="H163" s="151"/>
      <c r="I163" s="151"/>
      <c r="J163" s="151"/>
      <c r="K163" s="17"/>
      <c r="L163" s="151"/>
    </row>
    <row r="164" spans="1:12" ht="12.75">
      <c r="A164" s="130" t="s">
        <v>249</v>
      </c>
      <c r="B164" s="71">
        <f>SUM(B165:B166)</f>
        <v>10677018</v>
      </c>
      <c r="C164" s="71">
        <f>SUM(C165:C166)</f>
        <v>0</v>
      </c>
      <c r="D164" s="71">
        <f>SUM(D165:D166)</f>
        <v>3488877</v>
      </c>
      <c r="E164" s="168">
        <f t="shared" si="3"/>
        <v>0.3267651136300416</v>
      </c>
      <c r="F164" s="71">
        <f>SUM(F165:F166)</f>
        <v>1274863</v>
      </c>
      <c r="G164" s="130" t="s">
        <v>249</v>
      </c>
      <c r="H164" s="151">
        <v>10677</v>
      </c>
      <c r="I164" s="151">
        <v>0</v>
      </c>
      <c r="J164" s="151">
        <v>3488</v>
      </c>
      <c r="K164" s="17">
        <v>0.32668352533483186</v>
      </c>
      <c r="L164" s="16">
        <v>1273</v>
      </c>
    </row>
    <row r="165" spans="1:33" s="153" customFormat="1" ht="12.75">
      <c r="A165" s="173" t="s">
        <v>283</v>
      </c>
      <c r="B165" s="79">
        <f>200000+1890000</f>
        <v>2090000</v>
      </c>
      <c r="C165" s="79"/>
      <c r="D165" s="79">
        <f>600000+39381</f>
        <v>639381</v>
      </c>
      <c r="E165" s="168">
        <f t="shared" si="3"/>
        <v>0.3059239234449761</v>
      </c>
      <c r="F165" s="71">
        <f>D165-'[5]Marts1'!D165</f>
        <v>186881</v>
      </c>
      <c r="G165" s="173" t="s">
        <v>283</v>
      </c>
      <c r="H165" s="23">
        <v>2090</v>
      </c>
      <c r="I165" s="23">
        <v>0</v>
      </c>
      <c r="J165" s="23">
        <v>639</v>
      </c>
      <c r="K165" s="24">
        <v>0.30574162679425837</v>
      </c>
      <c r="L165" s="16">
        <v>186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s="153" customFormat="1" ht="12.75">
      <c r="A166" s="173" t="s">
        <v>284</v>
      </c>
      <c r="B166" s="79">
        <v>8587018</v>
      </c>
      <c r="C166" s="79"/>
      <c r="D166" s="79">
        <f>3488877-600000-39381</f>
        <v>2849496</v>
      </c>
      <c r="E166" s="168">
        <f t="shared" si="3"/>
        <v>0.3318376647166688</v>
      </c>
      <c r="F166" s="71">
        <f>D166-'[5]Marts1'!D166</f>
        <v>1087982</v>
      </c>
      <c r="G166" s="173" t="s">
        <v>284</v>
      </c>
      <c r="H166" s="23">
        <v>8587</v>
      </c>
      <c r="I166" s="23">
        <v>0</v>
      </c>
      <c r="J166" s="23">
        <v>2849</v>
      </c>
      <c r="K166" s="24">
        <v>0.3317805985792477</v>
      </c>
      <c r="L166" s="16">
        <v>1087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s="153" customFormat="1" ht="12.75">
      <c r="A167" s="130" t="s">
        <v>251</v>
      </c>
      <c r="B167" s="71">
        <f>SUM(B168:B169)</f>
        <v>15954834</v>
      </c>
      <c r="C167" s="71">
        <f>SUM(C168:C169)</f>
        <v>1002203</v>
      </c>
      <c r="D167" s="71">
        <f>SUM(D168:D169)</f>
        <v>3776248</v>
      </c>
      <c r="E167" s="168">
        <f t="shared" si="3"/>
        <v>0.23668362829722955</v>
      </c>
      <c r="F167" s="71">
        <f>SUM(F168:F169)</f>
        <v>1020224</v>
      </c>
      <c r="G167" s="130" t="s">
        <v>251</v>
      </c>
      <c r="H167" s="151">
        <v>15955</v>
      </c>
      <c r="I167" s="151">
        <v>1002</v>
      </c>
      <c r="J167" s="151">
        <v>3776</v>
      </c>
      <c r="K167" s="17">
        <v>0.23666562206204952</v>
      </c>
      <c r="L167" s="151">
        <v>1020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12" ht="12.75">
      <c r="A168" s="77" t="s">
        <v>286</v>
      </c>
      <c r="B168" s="71">
        <v>10477018</v>
      </c>
      <c r="C168" s="71"/>
      <c r="D168" s="71">
        <v>2924274</v>
      </c>
      <c r="E168" s="168">
        <f t="shared" si="3"/>
        <v>0.27911319804929224</v>
      </c>
      <c r="F168" s="71">
        <f>D168-'[5]Marts1'!D168</f>
        <v>944116</v>
      </c>
      <c r="G168" s="22" t="s">
        <v>286</v>
      </c>
      <c r="H168" s="23">
        <v>10477</v>
      </c>
      <c r="I168" s="23">
        <v>0</v>
      </c>
      <c r="J168" s="23">
        <v>2924</v>
      </c>
      <c r="K168" s="24">
        <v>0.2790875250548821</v>
      </c>
      <c r="L168" s="16">
        <v>944</v>
      </c>
    </row>
    <row r="169" spans="1:12" ht="12.75">
      <c r="A169" s="77" t="s">
        <v>288</v>
      </c>
      <c r="B169" s="71">
        <v>5477816</v>
      </c>
      <c r="C169" s="71">
        <v>1002203</v>
      </c>
      <c r="D169" s="71">
        <v>851974</v>
      </c>
      <c r="E169" s="168">
        <f t="shared" si="3"/>
        <v>0.15553169365309094</v>
      </c>
      <c r="F169" s="71">
        <f>D169-'[5]Marts1'!D169</f>
        <v>76108</v>
      </c>
      <c r="G169" s="22" t="s">
        <v>288</v>
      </c>
      <c r="H169" s="23">
        <v>5478</v>
      </c>
      <c r="I169" s="23">
        <v>1002</v>
      </c>
      <c r="J169" s="23">
        <v>852</v>
      </c>
      <c r="K169" s="24">
        <v>0.15553121577217963</v>
      </c>
      <c r="L169" s="16">
        <v>76</v>
      </c>
    </row>
    <row r="170" spans="1:12" ht="12.75">
      <c r="A170" s="130" t="s">
        <v>246</v>
      </c>
      <c r="B170" s="71">
        <f>SUM(B164-B167)</f>
        <v>-5277816</v>
      </c>
      <c r="C170" s="71">
        <f>SUM(C164-C167)</f>
        <v>-1002203</v>
      </c>
      <c r="D170" s="71">
        <f>SUM(D164-D167)</f>
        <v>-287371</v>
      </c>
      <c r="E170" s="168">
        <f t="shared" si="3"/>
        <v>0.05444884778097607</v>
      </c>
      <c r="F170" s="71">
        <f>SUM(F164-F167)</f>
        <v>254639</v>
      </c>
      <c r="G170" s="130" t="s">
        <v>246</v>
      </c>
      <c r="H170" s="151">
        <v>-5278</v>
      </c>
      <c r="I170" s="151">
        <v>-1002</v>
      </c>
      <c r="J170" s="151">
        <v>-288</v>
      </c>
      <c r="K170" s="17">
        <v>0.054566123531640774</v>
      </c>
      <c r="L170" s="151">
        <v>253</v>
      </c>
    </row>
    <row r="171" spans="1:12" ht="12.75">
      <c r="A171" s="130" t="s">
        <v>247</v>
      </c>
      <c r="B171" s="71">
        <v>5277816</v>
      </c>
      <c r="C171" s="71"/>
      <c r="D171" s="71">
        <v>442989</v>
      </c>
      <c r="E171" s="168">
        <f t="shared" si="3"/>
        <v>0.08393415003478712</v>
      </c>
      <c r="F171" s="71">
        <f>D171-'[5]Marts1'!D171</f>
        <v>320824</v>
      </c>
      <c r="G171" s="130" t="s">
        <v>247</v>
      </c>
      <c r="H171" s="16">
        <v>5278</v>
      </c>
      <c r="I171" s="16">
        <v>0</v>
      </c>
      <c r="J171" s="16">
        <v>443</v>
      </c>
      <c r="K171" s="17">
        <v>0.08393330807123911</v>
      </c>
      <c r="L171" s="16">
        <v>321</v>
      </c>
    </row>
    <row r="172" spans="1:12" ht="12.75">
      <c r="A172" s="172" t="s">
        <v>292</v>
      </c>
      <c r="B172" s="71"/>
      <c r="C172" s="71"/>
      <c r="D172" s="71"/>
      <c r="E172" s="168" t="str">
        <f t="shared" si="3"/>
        <v> </v>
      </c>
      <c r="F172" s="71"/>
      <c r="G172" s="172" t="s">
        <v>292</v>
      </c>
      <c r="H172" s="151"/>
      <c r="I172" s="151"/>
      <c r="J172" s="151"/>
      <c r="K172" s="17"/>
      <c r="L172" s="151"/>
    </row>
    <row r="173" spans="1:12" ht="12.75">
      <c r="A173" s="130" t="s">
        <v>249</v>
      </c>
      <c r="B173" s="71">
        <f>SUM(B174:B176)</f>
        <v>139035440</v>
      </c>
      <c r="C173" s="71">
        <f>7892209+5981147+6138147+22466862</f>
        <v>42478365</v>
      </c>
      <c r="D173" s="71">
        <f>SUM(D174:D176)</f>
        <v>42684327</v>
      </c>
      <c r="E173" s="168">
        <f t="shared" si="3"/>
        <v>0.307003214432234</v>
      </c>
      <c r="F173" s="71">
        <f>SUM(F174:F176)</f>
        <v>22122598</v>
      </c>
      <c r="G173" s="130" t="s">
        <v>249</v>
      </c>
      <c r="H173" s="151">
        <v>139036</v>
      </c>
      <c r="I173" s="16">
        <v>42478</v>
      </c>
      <c r="J173" s="151">
        <v>42684</v>
      </c>
      <c r="K173" s="17">
        <v>0.3069996259961449</v>
      </c>
      <c r="L173" s="151">
        <v>22122</v>
      </c>
    </row>
    <row r="174" spans="1:12" ht="12.75">
      <c r="A174" s="130" t="s">
        <v>293</v>
      </c>
      <c r="B174" s="71">
        <v>69125600</v>
      </c>
      <c r="C174" s="71"/>
      <c r="D174" s="71">
        <v>21903377</v>
      </c>
      <c r="E174" s="168">
        <f t="shared" si="3"/>
        <v>0.31686346302961566</v>
      </c>
      <c r="F174" s="71">
        <f>D174-'[5]Marts1'!D174</f>
        <v>5600151</v>
      </c>
      <c r="G174" s="130" t="s">
        <v>293</v>
      </c>
      <c r="H174" s="16">
        <v>69126</v>
      </c>
      <c r="I174" s="16">
        <v>0</v>
      </c>
      <c r="J174" s="16">
        <v>21903</v>
      </c>
      <c r="K174" s="17">
        <v>0.3168561756791945</v>
      </c>
      <c r="L174" s="16">
        <v>5600</v>
      </c>
    </row>
    <row r="175" spans="1:12" ht="12.75">
      <c r="A175" s="130" t="s">
        <v>294</v>
      </c>
      <c r="B175" s="71">
        <v>59428840</v>
      </c>
      <c r="C175" s="71"/>
      <c r="D175" s="71">
        <v>17430662</v>
      </c>
      <c r="E175" s="168">
        <f t="shared" si="3"/>
        <v>0.2933030831495281</v>
      </c>
      <c r="F175" s="71">
        <f>D175-'[5]Marts1'!D175</f>
        <v>13172159</v>
      </c>
      <c r="G175" s="130" t="s">
        <v>294</v>
      </c>
      <c r="H175" s="16">
        <v>59429</v>
      </c>
      <c r="I175" s="16">
        <v>0</v>
      </c>
      <c r="J175" s="16">
        <v>17431</v>
      </c>
      <c r="K175" s="17">
        <v>0.29330798095206045</v>
      </c>
      <c r="L175" s="16">
        <v>13172</v>
      </c>
    </row>
    <row r="176" spans="1:12" ht="12.75">
      <c r="A176" s="130" t="s">
        <v>189</v>
      </c>
      <c r="B176" s="71">
        <v>10481000</v>
      </c>
      <c r="C176" s="71"/>
      <c r="D176" s="71">
        <v>3350288</v>
      </c>
      <c r="E176" s="168">
        <f t="shared" si="3"/>
        <v>0.31965346818051715</v>
      </c>
      <c r="F176" s="71">
        <f>D176-'[5]Marts1'!D176</f>
        <v>3350288</v>
      </c>
      <c r="G176" s="130" t="s">
        <v>189</v>
      </c>
      <c r="H176" s="16">
        <v>10481</v>
      </c>
      <c r="I176" s="16">
        <v>0</v>
      </c>
      <c r="J176" s="16">
        <v>3350</v>
      </c>
      <c r="K176" s="17">
        <v>0.31962598988646124</v>
      </c>
      <c r="L176" s="16">
        <v>3350</v>
      </c>
    </row>
    <row r="177" spans="1:12" ht="12.75">
      <c r="A177" s="130" t="s">
        <v>251</v>
      </c>
      <c r="B177" s="71">
        <f>SUM(B178:B179)</f>
        <v>147053440</v>
      </c>
      <c r="C177" s="71">
        <f>SUM(C178:C179)</f>
        <v>42478365</v>
      </c>
      <c r="D177" s="71">
        <f>SUM(D178:D179)</f>
        <v>35592239</v>
      </c>
      <c r="E177" s="168">
        <f t="shared" si="3"/>
        <v>0.24203608565702373</v>
      </c>
      <c r="F177" s="71">
        <f>SUM(F178:F179)</f>
        <v>15843825</v>
      </c>
      <c r="G177" s="130" t="s">
        <v>251</v>
      </c>
      <c r="H177" s="151">
        <v>147053</v>
      </c>
      <c r="I177" s="151">
        <v>42478</v>
      </c>
      <c r="J177" s="151">
        <v>35592</v>
      </c>
      <c r="K177" s="17">
        <v>0.2420351845933099</v>
      </c>
      <c r="L177" s="151">
        <v>15844</v>
      </c>
    </row>
    <row r="178" spans="1:12" ht="12.75">
      <c r="A178" s="77" t="s">
        <v>242</v>
      </c>
      <c r="B178" s="71">
        <v>136798140</v>
      </c>
      <c r="C178" s="71">
        <f>7892209+5981147+6138147+21995141</f>
        <v>42006644</v>
      </c>
      <c r="D178" s="71">
        <v>35568239</v>
      </c>
      <c r="E178" s="168">
        <f t="shared" si="3"/>
        <v>0.2600052822355626</v>
      </c>
      <c r="F178" s="71">
        <f>D178-'[5]Marts1'!D178</f>
        <v>15819825</v>
      </c>
      <c r="G178" s="77" t="s">
        <v>242</v>
      </c>
      <c r="H178" s="16">
        <v>136798</v>
      </c>
      <c r="I178" s="16">
        <v>42006</v>
      </c>
      <c r="J178" s="16">
        <v>35568</v>
      </c>
      <c r="K178" s="17">
        <v>0.2600038012251641</v>
      </c>
      <c r="L178" s="16">
        <v>15820</v>
      </c>
    </row>
    <row r="179" spans="1:12" ht="12.75">
      <c r="A179" s="130" t="s">
        <v>243</v>
      </c>
      <c r="B179" s="71">
        <v>10255300</v>
      </c>
      <c r="C179" s="71">
        <f>471721</f>
        <v>471721</v>
      </c>
      <c r="D179" s="71">
        <v>24000</v>
      </c>
      <c r="E179" s="168">
        <f t="shared" si="3"/>
        <v>0.002340253332423235</v>
      </c>
      <c r="F179" s="71">
        <f>D179-'[5]Marts1'!D179</f>
        <v>24000</v>
      </c>
      <c r="G179" s="130" t="s">
        <v>243</v>
      </c>
      <c r="H179" s="16">
        <v>10255</v>
      </c>
      <c r="I179" s="16">
        <v>472</v>
      </c>
      <c r="J179" s="16">
        <v>24</v>
      </c>
      <c r="K179" s="17">
        <v>0.002340321794246709</v>
      </c>
      <c r="L179" s="16">
        <v>24</v>
      </c>
    </row>
    <row r="180" spans="1:12" ht="12.75">
      <c r="A180" s="130" t="s">
        <v>246</v>
      </c>
      <c r="B180" s="71">
        <f>SUM(B173-B177)</f>
        <v>-8018000</v>
      </c>
      <c r="C180" s="71"/>
      <c r="D180" s="71">
        <f>SUM(D173-D177)</f>
        <v>7092088</v>
      </c>
      <c r="E180" s="168">
        <f t="shared" si="3"/>
        <v>-0.8845208281366924</v>
      </c>
      <c r="F180" s="71">
        <f>SUM(F173-F177)</f>
        <v>6278773</v>
      </c>
      <c r="G180" s="130" t="s">
        <v>246</v>
      </c>
      <c r="H180" s="151">
        <v>-8017</v>
      </c>
      <c r="I180" s="151">
        <v>0</v>
      </c>
      <c r="J180" s="151">
        <v>7092</v>
      </c>
      <c r="K180" s="17">
        <v>-0.8846201821130099</v>
      </c>
      <c r="L180" s="151">
        <v>6278</v>
      </c>
    </row>
    <row r="181" spans="1:12" ht="12.75">
      <c r="A181" s="130" t="s">
        <v>247</v>
      </c>
      <c r="B181" s="71">
        <f>-B180</f>
        <v>8018000</v>
      </c>
      <c r="C181" s="71"/>
      <c r="D181" s="71"/>
      <c r="E181" s="168">
        <f t="shared" si="3"/>
        <v>0</v>
      </c>
      <c r="F181" s="71">
        <f>-F180</f>
        <v>-6278773</v>
      </c>
      <c r="G181" s="130" t="s">
        <v>247</v>
      </c>
      <c r="H181" s="151">
        <v>8017</v>
      </c>
      <c r="I181" s="151">
        <v>0</v>
      </c>
      <c r="J181" s="151"/>
      <c r="K181" s="17">
        <v>0</v>
      </c>
      <c r="L181" s="151">
        <v>-6278</v>
      </c>
    </row>
    <row r="182" spans="1:12" ht="30" customHeight="1">
      <c r="A182" s="28" t="s">
        <v>158</v>
      </c>
      <c r="B182" s="59"/>
      <c r="C182" s="59"/>
      <c r="D182" s="59"/>
      <c r="E182" s="168" t="str">
        <f t="shared" si="3"/>
        <v> </v>
      </c>
      <c r="F182" s="59"/>
      <c r="G182" s="28" t="s">
        <v>158</v>
      </c>
      <c r="H182" s="171"/>
      <c r="I182" s="171"/>
      <c r="J182" s="171"/>
      <c r="K182" s="17"/>
      <c r="L182" s="171"/>
    </row>
    <row r="183" spans="1:12" ht="15" customHeight="1">
      <c r="A183" s="172" t="s">
        <v>295</v>
      </c>
      <c r="B183" s="71"/>
      <c r="C183" s="71"/>
      <c r="D183" s="71"/>
      <c r="E183" s="168" t="str">
        <f t="shared" si="3"/>
        <v> </v>
      </c>
      <c r="F183" s="71"/>
      <c r="G183" s="172" t="s">
        <v>295</v>
      </c>
      <c r="H183" s="151"/>
      <c r="I183" s="151"/>
      <c r="J183" s="151"/>
      <c r="K183" s="17"/>
      <c r="L183" s="151"/>
    </row>
    <row r="184" spans="1:12" ht="12.75">
      <c r="A184" s="130" t="s">
        <v>249</v>
      </c>
      <c r="B184" s="71">
        <f>SUM(B185:B187)</f>
        <v>8837000</v>
      </c>
      <c r="C184" s="71">
        <v>3158970</v>
      </c>
      <c r="D184" s="71">
        <f>SUM(D185:D187)</f>
        <v>1832923</v>
      </c>
      <c r="E184" s="168">
        <f t="shared" si="3"/>
        <v>0.20741462034627137</v>
      </c>
      <c r="F184" s="71">
        <f>SUM(F185:F187)</f>
        <v>542975</v>
      </c>
      <c r="G184" s="130" t="s">
        <v>249</v>
      </c>
      <c r="H184" s="151">
        <v>8837</v>
      </c>
      <c r="I184" s="16">
        <v>3159</v>
      </c>
      <c r="J184" s="151">
        <v>1833</v>
      </c>
      <c r="K184" s="17">
        <v>0.20742333371053526</v>
      </c>
      <c r="L184" s="151">
        <v>543</v>
      </c>
    </row>
    <row r="185" spans="1:12" ht="12.75">
      <c r="A185" s="130" t="s">
        <v>296</v>
      </c>
      <c r="B185" s="71">
        <v>8245000</v>
      </c>
      <c r="C185" s="71"/>
      <c r="D185" s="71">
        <v>1760578</v>
      </c>
      <c r="E185" s="168">
        <f t="shared" si="3"/>
        <v>0.21353280776228017</v>
      </c>
      <c r="F185" s="71">
        <f>D185-'[5]Marts1'!D185</f>
        <v>483019</v>
      </c>
      <c r="G185" s="130" t="s">
        <v>296</v>
      </c>
      <c r="H185" s="16">
        <v>8245</v>
      </c>
      <c r="I185" s="16">
        <v>0</v>
      </c>
      <c r="J185" s="16">
        <v>1761</v>
      </c>
      <c r="K185" s="17">
        <v>0.21358399029714978</v>
      </c>
      <c r="L185" s="16">
        <v>483</v>
      </c>
    </row>
    <row r="186" spans="1:12" ht="12.75">
      <c r="A186" s="130" t="s">
        <v>297</v>
      </c>
      <c r="B186" s="71">
        <v>300000</v>
      </c>
      <c r="C186" s="71"/>
      <c r="D186" s="71">
        <v>57310</v>
      </c>
      <c r="E186" s="168">
        <f t="shared" si="3"/>
        <v>0.19103333333333333</v>
      </c>
      <c r="F186" s="71">
        <f>D186-'[5]Marts1'!D186</f>
        <v>57310</v>
      </c>
      <c r="G186" s="130" t="s">
        <v>297</v>
      </c>
      <c r="H186" s="16">
        <v>300</v>
      </c>
      <c r="I186" s="16">
        <v>0</v>
      </c>
      <c r="J186" s="16">
        <v>57</v>
      </c>
      <c r="K186" s="17">
        <v>0.19</v>
      </c>
      <c r="L186" s="16">
        <v>57</v>
      </c>
    </row>
    <row r="187" spans="1:12" ht="12.75">
      <c r="A187" s="130" t="s">
        <v>270</v>
      </c>
      <c r="B187" s="71">
        <f>255000+37000</f>
        <v>292000</v>
      </c>
      <c r="C187" s="71"/>
      <c r="D187" s="71">
        <v>15035</v>
      </c>
      <c r="E187" s="168">
        <f t="shared" si="3"/>
        <v>0.05148972602739726</v>
      </c>
      <c r="F187" s="71">
        <f>D187-'[5]Marts1'!D187</f>
        <v>2646</v>
      </c>
      <c r="G187" s="130" t="s">
        <v>270</v>
      </c>
      <c r="H187" s="16">
        <v>292</v>
      </c>
      <c r="I187" s="16">
        <v>0</v>
      </c>
      <c r="J187" s="16">
        <v>15</v>
      </c>
      <c r="K187" s="17">
        <v>0.05136986301369863</v>
      </c>
      <c r="L187" s="16">
        <v>3</v>
      </c>
    </row>
    <row r="188" spans="1:12" ht="12.75">
      <c r="A188" s="130" t="s">
        <v>251</v>
      </c>
      <c r="B188" s="71">
        <f>SUM(B189:B190)</f>
        <v>8837000</v>
      </c>
      <c r="C188" s="71">
        <f>SUM(C189:C190)</f>
        <v>3158970</v>
      </c>
      <c r="D188" s="71">
        <f>SUM(D189:D190)</f>
        <v>2268888</v>
      </c>
      <c r="E188" s="168">
        <f t="shared" si="3"/>
        <v>0.25674867036324545</v>
      </c>
      <c r="F188" s="71">
        <f>SUM(F189:F190)</f>
        <v>481037</v>
      </c>
      <c r="G188" s="130" t="s">
        <v>251</v>
      </c>
      <c r="H188" s="151">
        <v>8838</v>
      </c>
      <c r="I188" s="151">
        <v>3159</v>
      </c>
      <c r="J188" s="151">
        <v>2269</v>
      </c>
      <c r="K188" s="17">
        <v>0.2567322923738402</v>
      </c>
      <c r="L188" s="151">
        <v>481</v>
      </c>
    </row>
    <row r="189" spans="1:12" ht="12.75">
      <c r="A189" s="130" t="s">
        <v>242</v>
      </c>
      <c r="B189" s="71">
        <v>6642500</v>
      </c>
      <c r="C189" s="71">
        <v>2767620</v>
      </c>
      <c r="D189" s="71">
        <v>2231790</v>
      </c>
      <c r="E189" s="168">
        <f t="shared" si="3"/>
        <v>0.33598645088445617</v>
      </c>
      <c r="F189" s="71">
        <f>D189-'[5]Marts1'!D189</f>
        <v>468978</v>
      </c>
      <c r="G189" s="130" t="s">
        <v>242</v>
      </c>
      <c r="H189" s="16">
        <v>6643</v>
      </c>
      <c r="I189" s="16">
        <v>2768</v>
      </c>
      <c r="J189" s="16">
        <v>2232</v>
      </c>
      <c r="K189" s="17">
        <v>0.3359927743489387</v>
      </c>
      <c r="L189" s="16">
        <v>469</v>
      </c>
    </row>
    <row r="190" spans="1:12" ht="12.75">
      <c r="A190" s="130" t="s">
        <v>243</v>
      </c>
      <c r="B190" s="71">
        <v>2194500</v>
      </c>
      <c r="C190" s="71">
        <v>391350</v>
      </c>
      <c r="D190" s="71">
        <v>37098</v>
      </c>
      <c r="E190" s="168">
        <f t="shared" si="3"/>
        <v>0.01690498974709501</v>
      </c>
      <c r="F190" s="71">
        <f>D190-'[5]Marts1'!D190</f>
        <v>12059</v>
      </c>
      <c r="G190" s="130" t="s">
        <v>243</v>
      </c>
      <c r="H190" s="16">
        <v>2195</v>
      </c>
      <c r="I190" s="16">
        <v>391</v>
      </c>
      <c r="J190" s="16">
        <v>37</v>
      </c>
      <c r="K190" s="17">
        <v>0.01685649202733485</v>
      </c>
      <c r="L190" s="16">
        <v>12</v>
      </c>
    </row>
    <row r="191" spans="1:12" ht="16.5" customHeight="1">
      <c r="A191" s="172" t="s">
        <v>298</v>
      </c>
      <c r="B191" s="71"/>
      <c r="C191" s="71"/>
      <c r="D191" s="71"/>
      <c r="E191" s="168" t="str">
        <f t="shared" si="3"/>
        <v> </v>
      </c>
      <c r="F191" s="71"/>
      <c r="G191" s="172" t="s">
        <v>298</v>
      </c>
      <c r="H191" s="151"/>
      <c r="I191" s="151"/>
      <c r="J191" s="151"/>
      <c r="K191" s="17"/>
      <c r="L191" s="151"/>
    </row>
    <row r="192" spans="1:12" ht="12.75">
      <c r="A192" s="130" t="s">
        <v>249</v>
      </c>
      <c r="B192" s="71">
        <v>1450000</v>
      </c>
      <c r="C192" s="71">
        <v>815500</v>
      </c>
      <c r="D192" s="71">
        <v>711250</v>
      </c>
      <c r="E192" s="168">
        <f t="shared" si="3"/>
        <v>0.49051724137931035</v>
      </c>
      <c r="F192" s="71">
        <f>D192-'[5]Marts1'!D192</f>
        <v>0</v>
      </c>
      <c r="G192" s="130" t="s">
        <v>249</v>
      </c>
      <c r="H192" s="16">
        <v>1450</v>
      </c>
      <c r="I192" s="16">
        <v>816</v>
      </c>
      <c r="J192" s="16">
        <v>711</v>
      </c>
      <c r="K192" s="17">
        <v>0.4903448275862069</v>
      </c>
      <c r="L192" s="16">
        <v>0</v>
      </c>
    </row>
    <row r="193" spans="1:12" ht="12.75">
      <c r="A193" s="130" t="s">
        <v>251</v>
      </c>
      <c r="B193" s="71">
        <f>SUM(B194:B195)</f>
        <v>1450000</v>
      </c>
      <c r="C193" s="71">
        <f>SUM(C194:C195)</f>
        <v>815500</v>
      </c>
      <c r="D193" s="71">
        <f>SUM(D194:D195)</f>
        <v>248755</v>
      </c>
      <c r="E193" s="168">
        <f t="shared" si="3"/>
        <v>0.17155517241379312</v>
      </c>
      <c r="F193" s="71">
        <f>SUM(F194:F195)</f>
        <v>49904</v>
      </c>
      <c r="G193" s="130" t="s">
        <v>251</v>
      </c>
      <c r="H193" s="151">
        <v>1450</v>
      </c>
      <c r="I193" s="151">
        <v>816</v>
      </c>
      <c r="J193" s="151">
        <v>249</v>
      </c>
      <c r="K193" s="17">
        <v>0.17172413793103447</v>
      </c>
      <c r="L193" s="151">
        <v>50</v>
      </c>
    </row>
    <row r="194" spans="1:12" ht="12.75">
      <c r="A194" s="130" t="s">
        <v>242</v>
      </c>
      <c r="B194" s="71">
        <v>45000</v>
      </c>
      <c r="C194" s="71">
        <v>15000</v>
      </c>
      <c r="D194" s="71">
        <v>14537</v>
      </c>
      <c r="E194" s="168">
        <f t="shared" si="3"/>
        <v>0.32304444444444447</v>
      </c>
      <c r="F194" s="71">
        <f>D194-'[5]Marts1'!D194</f>
        <v>12759</v>
      </c>
      <c r="G194" s="130" t="s">
        <v>242</v>
      </c>
      <c r="H194" s="16">
        <v>45</v>
      </c>
      <c r="I194" s="16">
        <v>15</v>
      </c>
      <c r="J194" s="16">
        <v>15</v>
      </c>
      <c r="K194" s="17">
        <v>0.3333333333333333</v>
      </c>
      <c r="L194" s="16">
        <v>13</v>
      </c>
    </row>
    <row r="195" spans="1:12" ht="12.75">
      <c r="A195" s="130" t="s">
        <v>243</v>
      </c>
      <c r="B195" s="71">
        <v>1405000</v>
      </c>
      <c r="C195" s="71">
        <v>800500</v>
      </c>
      <c r="D195" s="71">
        <v>234218</v>
      </c>
      <c r="E195" s="168">
        <f t="shared" si="3"/>
        <v>0.1667032028469751</v>
      </c>
      <c r="F195" s="71">
        <f>D195-'[5]Marts1'!D195</f>
        <v>37145</v>
      </c>
      <c r="G195" s="130" t="s">
        <v>243</v>
      </c>
      <c r="H195" s="16">
        <v>1405</v>
      </c>
      <c r="I195" s="16">
        <v>801</v>
      </c>
      <c r="J195" s="16">
        <v>234</v>
      </c>
      <c r="K195" s="17">
        <v>0.16654804270462634</v>
      </c>
      <c r="L195" s="16">
        <v>37</v>
      </c>
    </row>
    <row r="196" spans="1:12" ht="16.5" customHeight="1">
      <c r="A196" s="9" t="s">
        <v>159</v>
      </c>
      <c r="B196" s="59"/>
      <c r="C196" s="59"/>
      <c r="D196" s="59"/>
      <c r="E196" s="168" t="str">
        <f t="shared" si="3"/>
        <v> </v>
      </c>
      <c r="F196" s="59"/>
      <c r="G196" s="9" t="s">
        <v>159</v>
      </c>
      <c r="H196" s="171"/>
      <c r="I196" s="171"/>
      <c r="J196" s="171"/>
      <c r="K196" s="17"/>
      <c r="L196" s="171"/>
    </row>
    <row r="197" spans="1:12" ht="15" customHeight="1">
      <c r="A197" s="172" t="s">
        <v>299</v>
      </c>
      <c r="B197" s="71"/>
      <c r="C197" s="71"/>
      <c r="D197" s="71"/>
      <c r="E197" s="168" t="str">
        <f t="shared" si="3"/>
        <v> </v>
      </c>
      <c r="F197" s="71"/>
      <c r="G197" s="172" t="s">
        <v>299</v>
      </c>
      <c r="H197" s="151"/>
      <c r="I197" s="151"/>
      <c r="J197" s="151"/>
      <c r="K197" s="17"/>
      <c r="L197" s="151"/>
    </row>
    <row r="198" spans="1:12" ht="12.75">
      <c r="A198" s="130" t="s">
        <v>249</v>
      </c>
      <c r="B198" s="71">
        <f>SUM(B199:B200)</f>
        <v>2600000</v>
      </c>
      <c r="C198" s="71">
        <v>600000</v>
      </c>
      <c r="D198" s="71">
        <f>SUM(D199:D200)</f>
        <v>816400</v>
      </c>
      <c r="E198" s="168">
        <f t="shared" si="3"/>
        <v>0.314</v>
      </c>
      <c r="F198" s="71">
        <f>SUM(F199:F200)</f>
        <v>284524</v>
      </c>
      <c r="G198" s="130" t="s">
        <v>249</v>
      </c>
      <c r="H198" s="151">
        <v>2600</v>
      </c>
      <c r="I198" s="16">
        <v>600</v>
      </c>
      <c r="J198" s="151">
        <v>816</v>
      </c>
      <c r="K198" s="17">
        <v>0.31384615384615383</v>
      </c>
      <c r="L198" s="151">
        <v>284</v>
      </c>
    </row>
    <row r="199" spans="1:12" ht="22.5">
      <c r="A199" s="77" t="s">
        <v>300</v>
      </c>
      <c r="B199" s="71">
        <v>1400000</v>
      </c>
      <c r="C199" s="71"/>
      <c r="D199" s="71">
        <v>816400</v>
      </c>
      <c r="E199" s="168">
        <f t="shared" si="3"/>
        <v>0.5831428571428572</v>
      </c>
      <c r="F199" s="71">
        <f>D199-'[5]Marts1'!D199</f>
        <v>284524</v>
      </c>
      <c r="G199" s="77" t="s">
        <v>300</v>
      </c>
      <c r="H199" s="16">
        <v>1400</v>
      </c>
      <c r="I199" s="16">
        <v>0</v>
      </c>
      <c r="J199" s="16">
        <v>816</v>
      </c>
      <c r="K199" s="17">
        <v>0.5828571428571429</v>
      </c>
      <c r="L199" s="16">
        <v>284</v>
      </c>
    </row>
    <row r="200" spans="1:12" ht="12.75">
      <c r="A200" s="130" t="s">
        <v>294</v>
      </c>
      <c r="B200" s="71">
        <v>1200000</v>
      </c>
      <c r="C200" s="71"/>
      <c r="D200" s="71"/>
      <c r="E200" s="168">
        <f t="shared" si="3"/>
        <v>0</v>
      </c>
      <c r="F200" s="71">
        <f>D200-'[5]Marts1'!D200</f>
        <v>0</v>
      </c>
      <c r="G200" s="130" t="s">
        <v>294</v>
      </c>
      <c r="H200" s="16">
        <v>1200</v>
      </c>
      <c r="I200" s="16">
        <v>0</v>
      </c>
      <c r="J200" s="16">
        <v>0</v>
      </c>
      <c r="K200" s="17">
        <v>0</v>
      </c>
      <c r="L200" s="16">
        <v>0</v>
      </c>
    </row>
    <row r="201" spans="1:12" ht="12.75">
      <c r="A201" s="130" t="s">
        <v>251</v>
      </c>
      <c r="B201" s="71">
        <f>B202</f>
        <v>2600000</v>
      </c>
      <c r="C201" s="71">
        <f>C202</f>
        <v>950000</v>
      </c>
      <c r="D201" s="71">
        <f>D202</f>
        <v>680641</v>
      </c>
      <c r="E201" s="168">
        <f t="shared" si="3"/>
        <v>0.261785</v>
      </c>
      <c r="F201" s="71">
        <f>F202</f>
        <v>89397</v>
      </c>
      <c r="G201" s="130" t="s">
        <v>251</v>
      </c>
      <c r="H201" s="151">
        <v>2600</v>
      </c>
      <c r="I201" s="151">
        <v>950</v>
      </c>
      <c r="J201" s="151">
        <v>681</v>
      </c>
      <c r="K201" s="17">
        <v>0.2619230769230769</v>
      </c>
      <c r="L201" s="151">
        <v>90</v>
      </c>
    </row>
    <row r="202" spans="1:12" ht="12.75">
      <c r="A202" s="130" t="s">
        <v>242</v>
      </c>
      <c r="B202" s="71">
        <v>2600000</v>
      </c>
      <c r="C202" s="71">
        <v>950000</v>
      </c>
      <c r="D202" s="71">
        <v>680641</v>
      </c>
      <c r="E202" s="168">
        <f aca="true" t="shared" si="4" ref="E202:E217">IF(ISERROR(D202/B202)," ",(D202/B202))</f>
        <v>0.261785</v>
      </c>
      <c r="F202" s="71">
        <f>D202-'[5]Marts1'!D202</f>
        <v>89397</v>
      </c>
      <c r="G202" s="130" t="s">
        <v>242</v>
      </c>
      <c r="H202" s="16">
        <v>2600</v>
      </c>
      <c r="I202" s="16">
        <v>950</v>
      </c>
      <c r="J202" s="16">
        <v>681</v>
      </c>
      <c r="K202" s="17">
        <v>0.2619230769230769</v>
      </c>
      <c r="L202" s="16">
        <v>90</v>
      </c>
    </row>
    <row r="203" spans="1:12" ht="15.75" customHeight="1">
      <c r="A203" s="9" t="s">
        <v>168</v>
      </c>
      <c r="B203" s="59"/>
      <c r="C203" s="59"/>
      <c r="D203" s="59"/>
      <c r="E203" s="168" t="str">
        <f t="shared" si="4"/>
        <v> </v>
      </c>
      <c r="F203" s="59"/>
      <c r="G203" s="9" t="s">
        <v>168</v>
      </c>
      <c r="H203" s="171"/>
      <c r="I203" s="171"/>
      <c r="J203" s="171"/>
      <c r="K203" s="17"/>
      <c r="L203" s="171"/>
    </row>
    <row r="204" spans="1:12" ht="12.75">
      <c r="A204" s="130" t="s">
        <v>249</v>
      </c>
      <c r="B204" s="71">
        <f>SUM(B205:B206)</f>
        <v>65000</v>
      </c>
      <c r="C204" s="71">
        <v>31000</v>
      </c>
      <c r="D204" s="71">
        <f>SUM(D205:D206)</f>
        <v>59041</v>
      </c>
      <c r="E204" s="168">
        <f t="shared" si="4"/>
        <v>0.9083230769230769</v>
      </c>
      <c r="F204" s="71">
        <f>SUM(F205:F206)</f>
        <v>36022</v>
      </c>
      <c r="G204" s="130" t="s">
        <v>249</v>
      </c>
      <c r="H204" s="151">
        <v>65</v>
      </c>
      <c r="I204" s="16">
        <v>31</v>
      </c>
      <c r="J204" s="16">
        <v>59</v>
      </c>
      <c r="K204" s="17">
        <v>0.9076923076923077</v>
      </c>
      <c r="L204" s="151">
        <v>36</v>
      </c>
    </row>
    <row r="205" spans="1:12" ht="12.75">
      <c r="A205" s="130" t="s">
        <v>301</v>
      </c>
      <c r="B205" s="71">
        <v>61000</v>
      </c>
      <c r="C205" s="71"/>
      <c r="D205" s="71">
        <v>38138</v>
      </c>
      <c r="E205" s="168">
        <f t="shared" si="4"/>
        <v>0.6252131147540984</v>
      </c>
      <c r="F205" s="71">
        <f>D205-'[5]Marts1'!D205</f>
        <v>15119</v>
      </c>
      <c r="G205" s="130" t="s">
        <v>301</v>
      </c>
      <c r="H205" s="16">
        <v>61</v>
      </c>
      <c r="I205" s="16">
        <v>0</v>
      </c>
      <c r="J205" s="16">
        <v>38</v>
      </c>
      <c r="K205" s="17">
        <v>0.6229508196721312</v>
      </c>
      <c r="L205" s="16">
        <v>15</v>
      </c>
    </row>
    <row r="206" spans="1:33" s="15" customFormat="1" ht="12.75">
      <c r="A206" s="130" t="s">
        <v>302</v>
      </c>
      <c r="B206" s="130">
        <v>4000</v>
      </c>
      <c r="C206" s="130"/>
      <c r="D206" s="130">
        <v>20903</v>
      </c>
      <c r="E206" s="168">
        <f t="shared" si="4"/>
        <v>5.22575</v>
      </c>
      <c r="F206" s="71">
        <f>D206-'[5]Marts1'!D206</f>
        <v>20903</v>
      </c>
      <c r="G206" s="130" t="s">
        <v>302</v>
      </c>
      <c r="H206" s="16">
        <v>4</v>
      </c>
      <c r="I206" s="16">
        <v>0</v>
      </c>
      <c r="J206" s="16">
        <v>21</v>
      </c>
      <c r="K206" s="17">
        <v>5.25</v>
      </c>
      <c r="L206" s="16">
        <v>21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s="15" customFormat="1" ht="12.75">
      <c r="A207" s="130" t="s">
        <v>251</v>
      </c>
      <c r="B207" s="71">
        <f>SUM(B208:B209)</f>
        <v>65000</v>
      </c>
      <c r="C207" s="71">
        <f>SUM(C208:C209)</f>
        <v>59499</v>
      </c>
      <c r="D207" s="71">
        <f>SUM(D208:D209)</f>
        <v>50679</v>
      </c>
      <c r="E207" s="168">
        <f t="shared" si="4"/>
        <v>0.779676923076923</v>
      </c>
      <c r="F207" s="71">
        <f>SUM(F208:F209)</f>
        <v>36049</v>
      </c>
      <c r="G207" s="130" t="s">
        <v>251</v>
      </c>
      <c r="H207" s="151">
        <v>65</v>
      </c>
      <c r="I207" s="151">
        <v>60</v>
      </c>
      <c r="J207" s="151">
        <v>51</v>
      </c>
      <c r="K207" s="17">
        <v>0.7846153846153846</v>
      </c>
      <c r="L207" s="151">
        <v>37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12" ht="12.75">
      <c r="A208" s="130" t="s">
        <v>242</v>
      </c>
      <c r="B208" s="71">
        <v>62000</v>
      </c>
      <c r="C208" s="71">
        <v>58749</v>
      </c>
      <c r="D208" s="71">
        <v>49929</v>
      </c>
      <c r="E208" s="168">
        <f t="shared" si="4"/>
        <v>0.8053064516129033</v>
      </c>
      <c r="F208" s="71">
        <f>D208-'[5]Marts1'!D208</f>
        <v>36049</v>
      </c>
      <c r="G208" s="130" t="s">
        <v>242</v>
      </c>
      <c r="H208" s="16">
        <v>62</v>
      </c>
      <c r="I208" s="16">
        <v>59</v>
      </c>
      <c r="J208" s="16">
        <v>50</v>
      </c>
      <c r="K208" s="17">
        <v>0.8064516129032258</v>
      </c>
      <c r="L208" s="16">
        <v>36</v>
      </c>
    </row>
    <row r="209" spans="1:12" ht="12.75">
      <c r="A209" s="130" t="s">
        <v>243</v>
      </c>
      <c r="B209" s="71">
        <v>3000</v>
      </c>
      <c r="C209" s="71">
        <v>750</v>
      </c>
      <c r="D209" s="71">
        <v>750</v>
      </c>
      <c r="E209" s="168">
        <f t="shared" si="4"/>
        <v>0.25</v>
      </c>
      <c r="F209" s="71"/>
      <c r="G209" s="130" t="s">
        <v>243</v>
      </c>
      <c r="H209" s="16">
        <v>3</v>
      </c>
      <c r="I209" s="16">
        <v>1</v>
      </c>
      <c r="J209" s="16">
        <v>1</v>
      </c>
      <c r="K209" s="17">
        <v>0.3333333333333333</v>
      </c>
      <c r="L209" s="16">
        <v>1</v>
      </c>
    </row>
    <row r="210" spans="1:33" s="15" customFormat="1" ht="27" customHeight="1">
      <c r="A210" s="28" t="s">
        <v>303</v>
      </c>
      <c r="B210" s="130"/>
      <c r="C210" s="130"/>
      <c r="D210" s="130"/>
      <c r="E210" s="168" t="str">
        <f t="shared" si="4"/>
        <v> </v>
      </c>
      <c r="F210" s="130"/>
      <c r="G210" s="28" t="s">
        <v>303</v>
      </c>
      <c r="H210" s="151"/>
      <c r="I210" s="151"/>
      <c r="J210" s="151"/>
      <c r="K210" s="17"/>
      <c r="L210" s="151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s="15" customFormat="1" ht="12.75">
      <c r="A211" s="130" t="s">
        <v>249</v>
      </c>
      <c r="B211" s="130">
        <f>B212</f>
        <v>69988</v>
      </c>
      <c r="C211" s="130">
        <v>7776</v>
      </c>
      <c r="D211" s="130">
        <f>D212</f>
        <v>0</v>
      </c>
      <c r="E211" s="168">
        <f t="shared" si="4"/>
        <v>0</v>
      </c>
      <c r="F211" s="130">
        <f>F212</f>
        <v>0</v>
      </c>
      <c r="G211" s="130" t="s">
        <v>249</v>
      </c>
      <c r="H211" s="151">
        <v>70</v>
      </c>
      <c r="I211" s="16">
        <v>8</v>
      </c>
      <c r="J211" s="151">
        <v>0</v>
      </c>
      <c r="K211" s="17">
        <v>0</v>
      </c>
      <c r="L211" s="151">
        <v>0</v>
      </c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s="15" customFormat="1" ht="31.5" customHeight="1">
      <c r="A212" s="77" t="s">
        <v>304</v>
      </c>
      <c r="B212" s="130">
        <v>69988</v>
      </c>
      <c r="C212" s="130">
        <v>7776</v>
      </c>
      <c r="D212" s="130"/>
      <c r="E212" s="168">
        <f t="shared" si="4"/>
        <v>0</v>
      </c>
      <c r="F212" s="71">
        <f>D212-'[5]Marts1'!D212</f>
        <v>0</v>
      </c>
      <c r="G212" s="77" t="s">
        <v>304</v>
      </c>
      <c r="H212" s="16">
        <v>70</v>
      </c>
      <c r="I212" s="16">
        <v>8</v>
      </c>
      <c r="J212" s="16">
        <v>0</v>
      </c>
      <c r="K212" s="17">
        <v>0</v>
      </c>
      <c r="L212" s="16">
        <v>0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12" ht="12.75">
      <c r="A213" s="130" t="s">
        <v>251</v>
      </c>
      <c r="B213" s="71">
        <f>SUM(B214:B215)</f>
        <v>132568</v>
      </c>
      <c r="C213" s="71">
        <f>SUM(C214:C215)</f>
        <v>14730</v>
      </c>
      <c r="D213" s="71">
        <f>SUM(D214:D215)</f>
        <v>2845</v>
      </c>
      <c r="E213" s="168">
        <f t="shared" si="4"/>
        <v>0.021460684328042965</v>
      </c>
      <c r="F213" s="71">
        <f>SUM(F214:F215)</f>
        <v>2845</v>
      </c>
      <c r="G213" s="130" t="s">
        <v>251</v>
      </c>
      <c r="H213" s="151">
        <v>132</v>
      </c>
      <c r="I213" s="151">
        <v>15</v>
      </c>
      <c r="J213" s="151">
        <v>3</v>
      </c>
      <c r="K213" s="17">
        <v>0.022727272727272728</v>
      </c>
      <c r="L213" s="151">
        <v>3</v>
      </c>
    </row>
    <row r="214" spans="1:12" ht="12.75">
      <c r="A214" s="130" t="s">
        <v>242</v>
      </c>
      <c r="B214" s="71">
        <v>124433</v>
      </c>
      <c r="C214" s="71">
        <v>13826</v>
      </c>
      <c r="D214" s="71">
        <v>2772</v>
      </c>
      <c r="E214" s="168">
        <f t="shared" si="4"/>
        <v>0.022277048692870862</v>
      </c>
      <c r="F214" s="71">
        <f>D214-'[5]Marts1'!D214</f>
        <v>2772</v>
      </c>
      <c r="G214" s="130" t="s">
        <v>242</v>
      </c>
      <c r="H214" s="16">
        <v>124</v>
      </c>
      <c r="I214" s="16">
        <v>14</v>
      </c>
      <c r="J214" s="16">
        <v>3</v>
      </c>
      <c r="K214" s="17">
        <v>0.024193548387096774</v>
      </c>
      <c r="L214" s="16">
        <v>3</v>
      </c>
    </row>
    <row r="215" spans="1:12" ht="12.75">
      <c r="A215" s="130" t="s">
        <v>243</v>
      </c>
      <c r="B215" s="71">
        <v>8135</v>
      </c>
      <c r="C215" s="71">
        <v>904</v>
      </c>
      <c r="D215" s="71">
        <v>73</v>
      </c>
      <c r="E215" s="168">
        <f t="shared" si="4"/>
        <v>0.008973570989551321</v>
      </c>
      <c r="F215" s="71">
        <f>D215-'[5]Marts1'!D215</f>
        <v>73</v>
      </c>
      <c r="G215" s="130" t="s">
        <v>243</v>
      </c>
      <c r="H215" s="16">
        <v>8</v>
      </c>
      <c r="I215" s="16">
        <v>1</v>
      </c>
      <c r="J215" s="16">
        <v>0</v>
      </c>
      <c r="K215" s="17">
        <v>0</v>
      </c>
      <c r="L215" s="16">
        <v>0</v>
      </c>
    </row>
    <row r="216" spans="1:12" ht="12.75">
      <c r="A216" s="130" t="s">
        <v>246</v>
      </c>
      <c r="B216" s="71">
        <f>SUM(B211-B213)</f>
        <v>-62580</v>
      </c>
      <c r="C216" s="71">
        <f>SUM(C211-C213)</f>
        <v>-6954</v>
      </c>
      <c r="D216" s="71">
        <f>SUM(D211-D213)</f>
        <v>-2845</v>
      </c>
      <c r="E216" s="168">
        <f t="shared" si="4"/>
        <v>0.045461808884627676</v>
      </c>
      <c r="F216" s="71">
        <f>SUM(F211-F213)</f>
        <v>-2845</v>
      </c>
      <c r="G216" s="130" t="s">
        <v>246</v>
      </c>
      <c r="H216" s="151">
        <v>-62</v>
      </c>
      <c r="I216" s="151">
        <v>-7</v>
      </c>
      <c r="J216" s="151">
        <v>-3</v>
      </c>
      <c r="K216" s="17">
        <v>0.04838709677419355</v>
      </c>
      <c r="L216" s="151">
        <v>-3</v>
      </c>
    </row>
    <row r="217" spans="1:12" ht="12.75">
      <c r="A217" s="130" t="s">
        <v>247</v>
      </c>
      <c r="B217" s="71">
        <f>-B216</f>
        <v>62580</v>
      </c>
      <c r="C217" s="71"/>
      <c r="D217" s="71"/>
      <c r="E217" s="168">
        <f t="shared" si="4"/>
        <v>0</v>
      </c>
      <c r="F217" s="71">
        <f>-F216</f>
        <v>2845</v>
      </c>
      <c r="G217" s="130" t="s">
        <v>247</v>
      </c>
      <c r="H217" s="151">
        <v>62</v>
      </c>
      <c r="I217" s="151"/>
      <c r="J217" s="151"/>
      <c r="K217" s="17">
        <v>0</v>
      </c>
      <c r="L217" s="151">
        <v>3</v>
      </c>
    </row>
    <row r="218" spans="1:12" ht="14.25">
      <c r="A218" s="181"/>
      <c r="B218" s="182"/>
      <c r="C218" s="182"/>
      <c r="D218" s="182"/>
      <c r="E218" s="182"/>
      <c r="G218" s="181"/>
      <c r="H218" s="182"/>
      <c r="I218" s="182"/>
      <c r="J218" s="182"/>
      <c r="K218" s="182"/>
      <c r="L218" s="163"/>
    </row>
    <row r="219" spans="1:12" ht="14.25">
      <c r="A219" s="181"/>
      <c r="B219" s="182"/>
      <c r="C219" s="182"/>
      <c r="D219" s="182"/>
      <c r="E219" s="182"/>
      <c r="G219" s="181"/>
      <c r="H219" s="182"/>
      <c r="I219" s="182"/>
      <c r="J219" s="182"/>
      <c r="K219" s="182"/>
      <c r="L219" s="163"/>
    </row>
    <row r="220" spans="1:12" ht="12.75">
      <c r="A220" s="33"/>
      <c r="B220" s="182"/>
      <c r="C220" s="182"/>
      <c r="D220" s="182"/>
      <c r="E220" s="182"/>
      <c r="G220" s="33"/>
      <c r="H220" s="182"/>
      <c r="I220" s="182"/>
      <c r="J220" s="182"/>
      <c r="K220" s="182"/>
      <c r="L220" s="163"/>
    </row>
    <row r="221" spans="1:12" ht="12.75">
      <c r="A221" s="35" t="s">
        <v>305</v>
      </c>
      <c r="B221" s="43"/>
      <c r="C221" s="43"/>
      <c r="D221" s="43"/>
      <c r="E221" s="36"/>
      <c r="G221" s="35"/>
      <c r="H221" s="43"/>
      <c r="I221" s="43"/>
      <c r="J221" s="43"/>
      <c r="K221" s="36"/>
      <c r="L221" s="163"/>
    </row>
    <row r="222" spans="1:12" ht="12.75">
      <c r="A222" s="183"/>
      <c r="B222" s="183"/>
      <c r="C222" s="183"/>
      <c r="D222" s="183"/>
      <c r="E222" s="162"/>
      <c r="G222" s="183"/>
      <c r="H222" s="183"/>
      <c r="I222" s="183"/>
      <c r="J222" s="183"/>
      <c r="K222" s="162"/>
      <c r="L222" s="163"/>
    </row>
    <row r="223" spans="1:12" ht="12.75">
      <c r="A223" s="183"/>
      <c r="B223" s="183"/>
      <c r="C223" s="183"/>
      <c r="D223" s="183"/>
      <c r="E223" s="162"/>
      <c r="G223" s="183"/>
      <c r="H223" s="183"/>
      <c r="I223" s="183"/>
      <c r="J223" s="183"/>
      <c r="K223" s="162"/>
      <c r="L223" s="163"/>
    </row>
    <row r="224" spans="1:12" ht="12.75">
      <c r="A224" s="183"/>
      <c r="B224" s="183"/>
      <c r="C224" s="183"/>
      <c r="D224" s="183"/>
      <c r="E224" s="162"/>
      <c r="G224" s="183"/>
      <c r="H224" s="183"/>
      <c r="I224" s="183"/>
      <c r="J224" s="183"/>
      <c r="K224" s="162"/>
      <c r="L224" s="163"/>
    </row>
    <row r="225" spans="1:12" ht="12.75">
      <c r="A225" s="183" t="s">
        <v>89</v>
      </c>
      <c r="B225" s="183"/>
      <c r="C225" s="183"/>
      <c r="D225" s="183"/>
      <c r="E225" s="162"/>
      <c r="G225" s="183"/>
      <c r="H225" s="183"/>
      <c r="I225" s="183"/>
      <c r="J225" s="183"/>
      <c r="K225" s="162"/>
      <c r="L225" s="163"/>
    </row>
    <row r="226" spans="1:12" ht="12.75">
      <c r="A226" s="183" t="s">
        <v>133</v>
      </c>
      <c r="B226" s="183"/>
      <c r="C226" s="183"/>
      <c r="D226" s="183"/>
      <c r="E226" s="162"/>
      <c r="G226" s="183"/>
      <c r="H226" s="183"/>
      <c r="I226" s="183"/>
      <c r="J226" s="183"/>
      <c r="K226" s="162"/>
      <c r="L226" s="163"/>
    </row>
    <row r="227" spans="1:12" ht="12.75">
      <c r="A227" s="183"/>
      <c r="B227" s="183"/>
      <c r="C227" s="183"/>
      <c r="D227" s="183"/>
      <c r="E227" s="162"/>
      <c r="G227" s="183"/>
      <c r="H227" s="183"/>
      <c r="I227" s="183"/>
      <c r="J227" s="183"/>
      <c r="K227" s="162"/>
      <c r="L227" s="163"/>
    </row>
    <row r="228" spans="1:12" ht="12.75">
      <c r="A228" s="183"/>
      <c r="B228" s="183"/>
      <c r="C228" s="183"/>
      <c r="D228" s="183"/>
      <c r="E228" s="162"/>
      <c r="G228" s="183"/>
      <c r="H228" s="183"/>
      <c r="I228" s="183"/>
      <c r="J228" s="183"/>
      <c r="K228" s="162"/>
      <c r="L228" s="163"/>
    </row>
    <row r="229" spans="2:11" ht="12.75">
      <c r="B229" s="183"/>
      <c r="C229" s="183"/>
      <c r="D229" s="183"/>
      <c r="E229" s="162"/>
      <c r="K229" s="184"/>
    </row>
    <row r="230" spans="1:11" ht="12.75">
      <c r="A230" s="183"/>
      <c r="B230" s="183"/>
      <c r="C230" s="183"/>
      <c r="D230" s="183"/>
      <c r="E230" s="162"/>
      <c r="K230" s="184"/>
    </row>
    <row r="231" spans="1:7" ht="12.75">
      <c r="A231" s="183"/>
      <c r="B231" s="183"/>
      <c r="C231" s="183"/>
      <c r="D231" s="183"/>
      <c r="E231" s="162"/>
      <c r="G231" s="35"/>
    </row>
    <row r="232" spans="1:7" ht="12.75">
      <c r="A232" s="183"/>
      <c r="B232" s="162"/>
      <c r="C232" s="162"/>
      <c r="D232" s="162"/>
      <c r="E232" s="162"/>
      <c r="G232" s="183"/>
    </row>
    <row r="233" spans="1:5" ht="12.75">
      <c r="A233" s="183"/>
      <c r="B233" s="162"/>
      <c r="C233" s="162"/>
      <c r="D233" s="162"/>
      <c r="E233" s="162"/>
    </row>
    <row r="234" spans="1:5" ht="12.75">
      <c r="A234" s="162"/>
      <c r="B234" s="162"/>
      <c r="C234" s="162"/>
      <c r="D234" s="162"/>
      <c r="E234" s="162"/>
    </row>
    <row r="235" spans="1:5" ht="12.75">
      <c r="A235" s="162"/>
      <c r="B235" s="162"/>
      <c r="C235" s="162"/>
      <c r="D235" s="162"/>
      <c r="E235" s="162"/>
    </row>
    <row r="236" spans="1:5" ht="12.75">
      <c r="A236" s="162"/>
      <c r="B236" s="162"/>
      <c r="C236" s="162"/>
      <c r="D236" s="162"/>
      <c r="E236" s="162"/>
    </row>
    <row r="237" spans="1:5" ht="12.75">
      <c r="A237" s="162"/>
      <c r="B237" s="162"/>
      <c r="C237" s="162"/>
      <c r="D237" s="162"/>
      <c r="E237" s="162"/>
    </row>
    <row r="238" spans="1:5" ht="12.75">
      <c r="A238" s="162"/>
      <c r="B238" s="162"/>
      <c r="C238" s="162"/>
      <c r="D238" s="162"/>
      <c r="E238" s="162"/>
    </row>
    <row r="239" spans="1:5" ht="12.75">
      <c r="A239" s="162"/>
      <c r="B239" s="162"/>
      <c r="C239" s="162"/>
      <c r="D239" s="162"/>
      <c r="E239" s="162"/>
    </row>
    <row r="240" spans="1:5" ht="12.75">
      <c r="A240" s="162"/>
      <c r="B240" s="162"/>
      <c r="C240" s="162"/>
      <c r="D240" s="162"/>
      <c r="E240" s="162"/>
    </row>
    <row r="241" spans="1:7" ht="12.75">
      <c r="A241" s="162"/>
      <c r="B241" s="162"/>
      <c r="C241" s="162"/>
      <c r="D241" s="162"/>
      <c r="E241" s="162"/>
      <c r="G241" s="35" t="s">
        <v>305</v>
      </c>
    </row>
    <row r="242" spans="1:5" ht="12.75">
      <c r="A242" s="162"/>
      <c r="B242" s="162"/>
      <c r="C242" s="162"/>
      <c r="D242" s="162"/>
      <c r="E242" s="162"/>
    </row>
    <row r="243" spans="1:5" ht="12.75">
      <c r="A243" s="162"/>
      <c r="B243" s="162"/>
      <c r="C243" s="162"/>
      <c r="D243" s="162"/>
      <c r="E243" s="162"/>
    </row>
    <row r="244" spans="1:5" ht="12.75">
      <c r="A244" s="162"/>
      <c r="B244" s="162"/>
      <c r="C244" s="162"/>
      <c r="D244" s="162"/>
      <c r="E244" s="162"/>
    </row>
    <row r="245" spans="1:5" ht="12.75">
      <c r="A245" s="162"/>
      <c r="B245" s="162"/>
      <c r="C245" s="162"/>
      <c r="D245" s="162"/>
      <c r="E245" s="162"/>
    </row>
    <row r="246" ht="12.75">
      <c r="G246" s="183" t="s">
        <v>89</v>
      </c>
    </row>
    <row r="247" ht="12.75">
      <c r="G247" s="183" t="s">
        <v>91</v>
      </c>
    </row>
  </sheetData>
  <mergeCells count="5">
    <mergeCell ref="G2:L2"/>
    <mergeCell ref="A4:F4"/>
    <mergeCell ref="G4:L4"/>
    <mergeCell ref="A5:F5"/>
    <mergeCell ref="G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FG323"/>
  <sheetViews>
    <sheetView workbookViewId="0" topLeftCell="H5">
      <selection activeCell="K15" sqref="K15"/>
    </sheetView>
  </sheetViews>
  <sheetFormatPr defaultColWidth="9.140625" defaultRowHeight="12.75"/>
  <cols>
    <col min="1" max="1" width="36.140625" style="1" hidden="1" customWidth="1"/>
    <col min="2" max="2" width="11.7109375" style="1" hidden="1" customWidth="1"/>
    <col min="3" max="4" width="11.421875" style="1" hidden="1" customWidth="1"/>
    <col min="5" max="5" width="9.140625" style="1" hidden="1" customWidth="1"/>
    <col min="6" max="6" width="8.28125" style="1" hidden="1" customWidth="1"/>
    <col min="7" max="7" width="10.28125" style="1" hidden="1" customWidth="1"/>
    <col min="8" max="8" width="32.8515625" style="1" customWidth="1"/>
    <col min="9" max="9" width="11.28125" style="1" customWidth="1"/>
    <col min="10" max="10" width="11.140625" style="1" customWidth="1"/>
    <col min="11" max="11" width="11.57421875" style="1" customWidth="1"/>
    <col min="12" max="12" width="11.421875" style="1" customWidth="1"/>
    <col min="13" max="13" width="11.7109375" style="1" customWidth="1"/>
    <col min="14" max="14" width="11.8515625" style="1" customWidth="1"/>
    <col min="15" max="16384" width="9.140625" style="1" customWidth="1"/>
  </cols>
  <sheetData>
    <row r="1" spans="1:14" ht="21" customHeight="1">
      <c r="A1" s="3" t="s">
        <v>306</v>
      </c>
      <c r="B1" s="3"/>
      <c r="C1" s="36"/>
      <c r="D1" s="36"/>
      <c r="E1" s="3"/>
      <c r="F1" s="3"/>
      <c r="G1" s="1" t="s">
        <v>307</v>
      </c>
      <c r="H1" s="3" t="s">
        <v>306</v>
      </c>
      <c r="I1" s="3"/>
      <c r="J1" s="36"/>
      <c r="K1" s="36"/>
      <c r="L1" s="3"/>
      <c r="M1" s="3"/>
      <c r="N1" s="185" t="s">
        <v>307</v>
      </c>
    </row>
    <row r="2" spans="1:11" ht="0.75" customHeight="1" hidden="1">
      <c r="A2" s="6"/>
      <c r="B2" s="6"/>
      <c r="C2" s="6"/>
      <c r="D2" s="6"/>
      <c r="H2" s="6"/>
      <c r="I2" s="6"/>
      <c r="J2" s="6"/>
      <c r="K2" s="6"/>
    </row>
    <row r="3" spans="1:11" ht="11.25" customHeight="1">
      <c r="A3" s="6"/>
      <c r="B3" s="6"/>
      <c r="C3" s="6"/>
      <c r="D3" s="6"/>
      <c r="H3" s="6"/>
      <c r="I3" s="6"/>
      <c r="J3" s="6"/>
      <c r="K3" s="6"/>
    </row>
    <row r="4" spans="1:14" ht="18.75" customHeight="1">
      <c r="A4" s="48" t="s">
        <v>308</v>
      </c>
      <c r="B4" s="186"/>
      <c r="C4" s="186"/>
      <c r="D4" s="186"/>
      <c r="E4" s="186"/>
      <c r="F4" s="186"/>
      <c r="H4" s="280" t="s">
        <v>308</v>
      </c>
      <c r="I4" s="280"/>
      <c r="J4" s="280"/>
      <c r="K4" s="280"/>
      <c r="L4" s="280"/>
      <c r="M4" s="280"/>
      <c r="N4" s="280"/>
    </row>
    <row r="5" spans="1:14" ht="20.25" customHeight="1">
      <c r="A5" s="48"/>
      <c r="B5" s="186"/>
      <c r="C5" s="186"/>
      <c r="D5" s="186"/>
      <c r="E5" s="186"/>
      <c r="F5" s="186"/>
      <c r="H5" s="280" t="s">
        <v>180</v>
      </c>
      <c r="I5" s="280"/>
      <c r="J5" s="280"/>
      <c r="K5" s="280"/>
      <c r="L5" s="280"/>
      <c r="M5" s="280"/>
      <c r="N5" s="280"/>
    </row>
    <row r="6" spans="1:14" ht="20.25">
      <c r="A6" s="48" t="s">
        <v>137</v>
      </c>
      <c r="B6" s="186"/>
      <c r="C6" s="186"/>
      <c r="D6" s="186"/>
      <c r="E6" s="186"/>
      <c r="F6" s="186"/>
      <c r="H6" s="280" t="s">
        <v>182</v>
      </c>
      <c r="I6" s="280"/>
      <c r="J6" s="280"/>
      <c r="K6" s="280"/>
      <c r="L6" s="280"/>
      <c r="M6" s="280"/>
      <c r="N6" s="280"/>
    </row>
    <row r="7" spans="1:14" ht="17.25" customHeight="1">
      <c r="A7" s="6"/>
      <c r="B7" s="6"/>
      <c r="C7" s="6"/>
      <c r="D7" s="6"/>
      <c r="G7" s="6"/>
      <c r="H7" s="6"/>
      <c r="I7" s="6"/>
      <c r="J7" s="6"/>
      <c r="K7" s="6"/>
      <c r="N7" s="187" t="s">
        <v>97</v>
      </c>
    </row>
    <row r="8" spans="1:14" ht="58.5" customHeight="1">
      <c r="A8" s="7" t="s">
        <v>5</v>
      </c>
      <c r="B8" s="7" t="s">
        <v>6</v>
      </c>
      <c r="C8" s="7" t="s">
        <v>183</v>
      </c>
      <c r="D8" s="7" t="s">
        <v>7</v>
      </c>
      <c r="E8" s="7" t="s">
        <v>184</v>
      </c>
      <c r="F8" s="7" t="s">
        <v>309</v>
      </c>
      <c r="G8" s="7" t="s">
        <v>310</v>
      </c>
      <c r="H8" s="7" t="s">
        <v>5</v>
      </c>
      <c r="I8" s="7" t="s">
        <v>6</v>
      </c>
      <c r="J8" s="7" t="s">
        <v>183</v>
      </c>
      <c r="K8" s="7" t="s">
        <v>7</v>
      </c>
      <c r="L8" s="7" t="s">
        <v>184</v>
      </c>
      <c r="M8" s="7" t="s">
        <v>309</v>
      </c>
      <c r="N8" s="7" t="s">
        <v>310</v>
      </c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1</v>
      </c>
      <c r="I9" s="7">
        <v>2</v>
      </c>
      <c r="J9" s="7">
        <v>3</v>
      </c>
      <c r="K9" s="7">
        <v>4</v>
      </c>
      <c r="L9" s="7">
        <v>5</v>
      </c>
      <c r="M9" s="7">
        <v>6</v>
      </c>
      <c r="N9" s="7">
        <v>7</v>
      </c>
    </row>
    <row r="10" spans="1:14" ht="18.75" customHeight="1">
      <c r="A10" s="155" t="s">
        <v>311</v>
      </c>
      <c r="B10" s="188">
        <f>SUM(B11:B12)</f>
        <v>810358111</v>
      </c>
      <c r="C10" s="188">
        <f>SUM(C11:C12)</f>
        <v>231770696</v>
      </c>
      <c r="D10" s="188">
        <f>SUM(D11:D12)</f>
        <v>215375000</v>
      </c>
      <c r="E10" s="14">
        <f>IF(ISERROR(D10/B10)," ",(D10/B10))</f>
        <v>0.2657775581887154</v>
      </c>
      <c r="F10" s="14">
        <f>IF(ISERROR(D10/C10)," ",(D10/C10))</f>
        <v>0.9292589775887803</v>
      </c>
      <c r="G10" s="188">
        <f>SUM(G11:G12)</f>
        <v>68536000</v>
      </c>
      <c r="H10" s="155" t="s">
        <v>311</v>
      </c>
      <c r="I10" s="189">
        <v>810358</v>
      </c>
      <c r="J10" s="189">
        <v>231771</v>
      </c>
      <c r="K10" s="189">
        <v>215375</v>
      </c>
      <c r="L10" s="190">
        <v>0.26577759459399425</v>
      </c>
      <c r="M10" s="190">
        <v>0.9292577587359937</v>
      </c>
      <c r="N10" s="189">
        <v>68536</v>
      </c>
    </row>
    <row r="11" spans="1:14" ht="22.5" customHeight="1">
      <c r="A11" s="77" t="s">
        <v>312</v>
      </c>
      <c r="B11" s="57">
        <v>775745348</v>
      </c>
      <c r="C11" s="191">
        <f>77996171+148162894</f>
        <v>226159065</v>
      </c>
      <c r="D11" s="57">
        <f>188851000</f>
        <v>188851000</v>
      </c>
      <c r="E11" s="17">
        <f aca="true" t="shared" si="0" ref="E11:E16">IF(ISERROR(D11/B11)," ",(D11/B11))</f>
        <v>0.2434445794446453</v>
      </c>
      <c r="F11" s="17">
        <f aca="true" t="shared" si="1" ref="F11:F16">IF(ISERROR(D11/C11)," ",(D11/C11))</f>
        <v>0.8350361724390751</v>
      </c>
      <c r="G11" s="18">
        <f>D11-'[6]Marts'!D11</f>
        <v>42576000</v>
      </c>
      <c r="H11" s="77" t="s">
        <v>312</v>
      </c>
      <c r="I11" s="131">
        <v>775745</v>
      </c>
      <c r="J11" s="131">
        <v>226159</v>
      </c>
      <c r="K11" s="131">
        <v>188851</v>
      </c>
      <c r="L11" s="17">
        <v>0.2434446886541325</v>
      </c>
      <c r="M11" s="17">
        <v>0.8350364124354989</v>
      </c>
      <c r="N11" s="131">
        <v>42576</v>
      </c>
    </row>
    <row r="12" spans="1:14" ht="15.75" customHeight="1">
      <c r="A12" s="77" t="s">
        <v>313</v>
      </c>
      <c r="B12" s="57">
        <v>34612763</v>
      </c>
      <c r="C12" s="191">
        <v>5611631</v>
      </c>
      <c r="D12" s="57">
        <v>26524000</v>
      </c>
      <c r="E12" s="17">
        <f t="shared" si="0"/>
        <v>0.766306925569623</v>
      </c>
      <c r="F12" s="17">
        <f t="shared" si="1"/>
        <v>4.726611568009372</v>
      </c>
      <c r="G12" s="18">
        <f>D12-'[6]Marts'!D12</f>
        <v>25960000</v>
      </c>
      <c r="H12" s="77" t="s">
        <v>313</v>
      </c>
      <c r="I12" s="131">
        <v>34613</v>
      </c>
      <c r="J12" s="131">
        <v>5612</v>
      </c>
      <c r="K12" s="131">
        <v>26524</v>
      </c>
      <c r="L12" s="17">
        <v>0.7663016785600786</v>
      </c>
      <c r="M12" s="17">
        <v>4.726300784034213</v>
      </c>
      <c r="N12" s="131">
        <v>25960</v>
      </c>
    </row>
    <row r="13" spans="1:14" ht="21.75" customHeight="1">
      <c r="A13" s="155" t="s">
        <v>190</v>
      </c>
      <c r="B13" s="59">
        <f>SUM(B14,B40)</f>
        <v>870883731</v>
      </c>
      <c r="C13" s="59">
        <f>SUM(C14,C40)</f>
        <v>258079286</v>
      </c>
      <c r="D13" s="59">
        <f>SUM(D14,D40)</f>
        <v>235604514</v>
      </c>
      <c r="E13" s="14">
        <f t="shared" si="0"/>
        <v>0.27053498143714894</v>
      </c>
      <c r="F13" s="14">
        <f t="shared" si="1"/>
        <v>0.912915242643689</v>
      </c>
      <c r="G13" s="59">
        <f>SUM(G14,G40)</f>
        <v>66543749</v>
      </c>
      <c r="H13" s="155" t="s">
        <v>190</v>
      </c>
      <c r="I13" s="171">
        <v>870884</v>
      </c>
      <c r="J13" s="171">
        <v>258079</v>
      </c>
      <c r="K13" s="171">
        <v>235605</v>
      </c>
      <c r="L13" s="190">
        <v>0.2705354559275403</v>
      </c>
      <c r="M13" s="190">
        <v>0.9129181374695345</v>
      </c>
      <c r="N13" s="171">
        <v>65945</v>
      </c>
    </row>
    <row r="14" spans="1:14" ht="20.25" customHeight="1">
      <c r="A14" s="63" t="s">
        <v>314</v>
      </c>
      <c r="B14" s="109">
        <f>SUM(B15,B24,B27)</f>
        <v>804930855</v>
      </c>
      <c r="C14" s="109">
        <f>SUM(C15,C24,C27)</f>
        <v>246408463</v>
      </c>
      <c r="D14" s="109">
        <f>SUM(D15,D24,D27)</f>
        <v>229054249</v>
      </c>
      <c r="E14" s="14">
        <f t="shared" si="0"/>
        <v>0.28456388219830386</v>
      </c>
      <c r="F14" s="14">
        <f t="shared" si="1"/>
        <v>0.9295713556721467</v>
      </c>
      <c r="G14" s="109">
        <f>SUM(G15,G24,G27)</f>
        <v>64250563</v>
      </c>
      <c r="H14" s="63" t="s">
        <v>314</v>
      </c>
      <c r="I14" s="38">
        <v>804931</v>
      </c>
      <c r="J14" s="38">
        <v>246408</v>
      </c>
      <c r="K14" s="38">
        <v>229055</v>
      </c>
      <c r="L14" s="190">
        <v>0.2845647639362877</v>
      </c>
      <c r="M14" s="190">
        <v>0.929576150124996</v>
      </c>
      <c r="N14" s="38">
        <v>63652</v>
      </c>
    </row>
    <row r="15" spans="1:14" ht="18.75" customHeight="1">
      <c r="A15" s="67" t="s">
        <v>192</v>
      </c>
      <c r="B15" s="133">
        <v>137219699</v>
      </c>
      <c r="C15" s="133">
        <f>28400440+1971493</f>
        <v>30371933</v>
      </c>
      <c r="D15" s="133">
        <f>SUM(D16,D17,D18,D23)</f>
        <v>35232824</v>
      </c>
      <c r="E15" s="14">
        <f t="shared" si="0"/>
        <v>0.2567621431672139</v>
      </c>
      <c r="F15" s="14">
        <f t="shared" si="1"/>
        <v>1.1600454933177944</v>
      </c>
      <c r="G15" s="133">
        <f>SUM(G16,G17,G18,G23)</f>
        <v>23458690</v>
      </c>
      <c r="H15" s="67" t="s">
        <v>192</v>
      </c>
      <c r="I15" s="134">
        <v>137220</v>
      </c>
      <c r="J15" s="134">
        <v>30372</v>
      </c>
      <c r="K15" s="192">
        <v>35233</v>
      </c>
      <c r="L15" s="14">
        <v>0.2567628625564786</v>
      </c>
      <c r="M15" s="14">
        <v>1.1600487290925854</v>
      </c>
      <c r="N15" s="13">
        <v>23459</v>
      </c>
    </row>
    <row r="16" spans="1:14" ht="12.75">
      <c r="A16" s="130" t="s">
        <v>193</v>
      </c>
      <c r="B16" s="112">
        <v>19960471</v>
      </c>
      <c r="C16" s="112">
        <f>4422587+39197</f>
        <v>4461784</v>
      </c>
      <c r="D16" s="112">
        <v>3896960</v>
      </c>
      <c r="E16" s="17">
        <f t="shared" si="0"/>
        <v>0.19523386998232656</v>
      </c>
      <c r="F16" s="17">
        <f t="shared" si="1"/>
        <v>0.8734084841399763</v>
      </c>
      <c r="G16" s="18">
        <f>D16-'[6]Marts'!D16</f>
        <v>2195608</v>
      </c>
      <c r="H16" s="130" t="s">
        <v>193</v>
      </c>
      <c r="I16" s="150">
        <v>19960</v>
      </c>
      <c r="J16" s="150">
        <v>4462</v>
      </c>
      <c r="K16" s="131">
        <v>3897</v>
      </c>
      <c r="L16" s="17">
        <v>0.19524048096192384</v>
      </c>
      <c r="M16" s="17">
        <v>0.8733751680860601</v>
      </c>
      <c r="N16" s="131">
        <v>2197</v>
      </c>
    </row>
    <row r="17" spans="1:14" ht="22.5">
      <c r="A17" s="77" t="s">
        <v>194</v>
      </c>
      <c r="B17" s="136" t="s">
        <v>195</v>
      </c>
      <c r="C17" s="136" t="s">
        <v>195</v>
      </c>
      <c r="D17" s="112">
        <v>1035937</v>
      </c>
      <c r="E17" s="137" t="s">
        <v>195</v>
      </c>
      <c r="F17" s="136" t="s">
        <v>195</v>
      </c>
      <c r="G17" s="18">
        <f>D17-'[6]Marts'!D17</f>
        <v>558329</v>
      </c>
      <c r="H17" s="77" t="s">
        <v>194</v>
      </c>
      <c r="I17" s="139" t="s">
        <v>195</v>
      </c>
      <c r="J17" s="139" t="s">
        <v>195</v>
      </c>
      <c r="K17" s="131">
        <v>1036</v>
      </c>
      <c r="L17" s="137" t="s">
        <v>195</v>
      </c>
      <c r="M17" s="136" t="s">
        <v>195</v>
      </c>
      <c r="N17" s="131">
        <v>558</v>
      </c>
    </row>
    <row r="18" spans="1:14" ht="12.75">
      <c r="A18" s="77" t="s">
        <v>196</v>
      </c>
      <c r="B18" s="136" t="s">
        <v>195</v>
      </c>
      <c r="C18" s="136" t="s">
        <v>195</v>
      </c>
      <c r="D18" s="112">
        <f>SUM(D19:D22)</f>
        <v>29591282</v>
      </c>
      <c r="E18" s="137" t="s">
        <v>195</v>
      </c>
      <c r="F18" s="136" t="s">
        <v>195</v>
      </c>
      <c r="G18" s="18">
        <f>D18-'[6]Marts'!D18</f>
        <v>20649753</v>
      </c>
      <c r="H18" s="77" t="s">
        <v>196</v>
      </c>
      <c r="I18" s="139" t="s">
        <v>195</v>
      </c>
      <c r="J18" s="139" t="s">
        <v>195</v>
      </c>
      <c r="K18" s="131">
        <v>29591</v>
      </c>
      <c r="L18" s="137" t="s">
        <v>195</v>
      </c>
      <c r="M18" s="136" t="s">
        <v>195</v>
      </c>
      <c r="N18" s="131">
        <v>20649</v>
      </c>
    </row>
    <row r="19" spans="1:14" s="153" customFormat="1" ht="22.5" customHeight="1">
      <c r="A19" s="78" t="s">
        <v>315</v>
      </c>
      <c r="B19" s="140" t="s">
        <v>195</v>
      </c>
      <c r="C19" s="140" t="s">
        <v>195</v>
      </c>
      <c r="D19" s="141">
        <v>27482071</v>
      </c>
      <c r="E19" s="142" t="s">
        <v>195</v>
      </c>
      <c r="F19" s="140" t="s">
        <v>195</v>
      </c>
      <c r="G19" s="27">
        <f>D19-'[6]Marts'!D19</f>
        <v>18540542</v>
      </c>
      <c r="H19" s="78" t="s">
        <v>315</v>
      </c>
      <c r="I19" s="144" t="s">
        <v>195</v>
      </c>
      <c r="J19" s="144" t="s">
        <v>195</v>
      </c>
      <c r="K19" s="145">
        <v>27482</v>
      </c>
      <c r="L19" s="142" t="s">
        <v>195</v>
      </c>
      <c r="M19" s="140" t="s">
        <v>195</v>
      </c>
      <c r="N19" s="145">
        <v>18540</v>
      </c>
    </row>
    <row r="20" spans="1:14" s="153" customFormat="1" ht="18.75" customHeight="1">
      <c r="A20" s="78" t="s">
        <v>316</v>
      </c>
      <c r="B20" s="193">
        <v>48012000</v>
      </c>
      <c r="C20" s="140" t="s">
        <v>195</v>
      </c>
      <c r="D20" s="141"/>
      <c r="E20" s="24">
        <f>IF(ISERROR(D20/B20)," ",(D20/B20))</f>
        <v>0</v>
      </c>
      <c r="F20" s="194" t="s">
        <v>195</v>
      </c>
      <c r="G20" s="27">
        <f>D20-'[6]Marts'!D20</f>
        <v>0</v>
      </c>
      <c r="H20" s="78" t="s">
        <v>316</v>
      </c>
      <c r="I20" s="144"/>
      <c r="J20" s="144" t="s">
        <v>195</v>
      </c>
      <c r="K20" s="145">
        <v>0</v>
      </c>
      <c r="L20" s="24" t="s">
        <v>92</v>
      </c>
      <c r="M20" s="194" t="s">
        <v>195</v>
      </c>
      <c r="N20" s="145">
        <v>0</v>
      </c>
    </row>
    <row r="21" spans="1:14" s="153" customFormat="1" ht="25.5" customHeight="1">
      <c r="A21" s="78" t="s">
        <v>317</v>
      </c>
      <c r="B21" s="193">
        <v>8578000</v>
      </c>
      <c r="C21" s="140" t="s">
        <v>195</v>
      </c>
      <c r="D21" s="141"/>
      <c r="E21" s="24">
        <f>IF(ISERROR(D21/B21)," ",(D21/B21))</f>
        <v>0</v>
      </c>
      <c r="F21" s="140" t="s">
        <v>195</v>
      </c>
      <c r="G21" s="27">
        <f>D21-'[6]Marts'!D21</f>
        <v>0</v>
      </c>
      <c r="H21" s="78" t="s">
        <v>317</v>
      </c>
      <c r="I21" s="145">
        <v>8578</v>
      </c>
      <c r="J21" s="144" t="s">
        <v>195</v>
      </c>
      <c r="K21" s="145">
        <v>0</v>
      </c>
      <c r="L21" s="24">
        <v>0</v>
      </c>
      <c r="M21" s="140" t="s">
        <v>195</v>
      </c>
      <c r="N21" s="145">
        <v>0</v>
      </c>
    </row>
    <row r="22" spans="1:14" s="153" customFormat="1" ht="12.75">
      <c r="A22" s="78" t="s">
        <v>199</v>
      </c>
      <c r="B22" s="140" t="s">
        <v>195</v>
      </c>
      <c r="C22" s="140" t="s">
        <v>195</v>
      </c>
      <c r="D22" s="141">
        <v>2109211</v>
      </c>
      <c r="E22" s="142" t="s">
        <v>195</v>
      </c>
      <c r="F22" s="140" t="s">
        <v>195</v>
      </c>
      <c r="G22" s="27">
        <f>D22-'[6]Marts'!D22</f>
        <v>2109211</v>
      </c>
      <c r="H22" s="78" t="s">
        <v>199</v>
      </c>
      <c r="I22" s="144" t="s">
        <v>195</v>
      </c>
      <c r="J22" s="144" t="s">
        <v>195</v>
      </c>
      <c r="K22" s="145">
        <v>2109</v>
      </c>
      <c r="L22" s="142" t="s">
        <v>195</v>
      </c>
      <c r="M22" s="140" t="s">
        <v>195</v>
      </c>
      <c r="N22" s="145">
        <v>2109</v>
      </c>
    </row>
    <row r="23" spans="1:14" ht="12.75">
      <c r="A23" s="77" t="s">
        <v>318</v>
      </c>
      <c r="B23" s="136" t="s">
        <v>195</v>
      </c>
      <c r="C23" s="136" t="s">
        <v>195</v>
      </c>
      <c r="D23" s="112">
        <v>708645</v>
      </c>
      <c r="E23" s="137" t="s">
        <v>195</v>
      </c>
      <c r="F23" s="136" t="s">
        <v>195</v>
      </c>
      <c r="G23" s="18">
        <f>D23-'[6]Marts'!D23</f>
        <v>55000</v>
      </c>
      <c r="H23" s="77" t="s">
        <v>318</v>
      </c>
      <c r="I23" s="139" t="s">
        <v>195</v>
      </c>
      <c r="J23" s="139" t="s">
        <v>195</v>
      </c>
      <c r="K23" s="131">
        <v>709</v>
      </c>
      <c r="L23" s="137" t="s">
        <v>195</v>
      </c>
      <c r="M23" s="136" t="s">
        <v>195</v>
      </c>
      <c r="N23" s="131">
        <v>55</v>
      </c>
    </row>
    <row r="24" spans="1:14" ht="26.25" customHeight="1">
      <c r="A24" s="76" t="s">
        <v>202</v>
      </c>
      <c r="B24" s="112">
        <v>3475250</v>
      </c>
      <c r="C24" s="112">
        <f>872284+90000</f>
        <v>962284</v>
      </c>
      <c r="D24" s="112">
        <f>SUM(D25:D26)</f>
        <v>715319</v>
      </c>
      <c r="E24" s="17">
        <f>IF(ISERROR(D24/B24)," ",(D24/B24))</f>
        <v>0.2058323861592691</v>
      </c>
      <c r="F24" s="17">
        <f>IF(ISERROR(D24/C24)," ",(D24/C24))</f>
        <v>0.7433553919632874</v>
      </c>
      <c r="G24" s="112">
        <f>SUM(G25:G26)</f>
        <v>198869</v>
      </c>
      <c r="H24" s="76" t="s">
        <v>202</v>
      </c>
      <c r="I24" s="134">
        <v>3475</v>
      </c>
      <c r="J24" s="134">
        <v>962</v>
      </c>
      <c r="K24" s="192">
        <v>716</v>
      </c>
      <c r="L24" s="14">
        <v>0.2060431654676259</v>
      </c>
      <c r="M24" s="14">
        <v>0.7442827442827443</v>
      </c>
      <c r="N24" s="192">
        <v>199</v>
      </c>
    </row>
    <row r="25" spans="1:14" ht="23.25" customHeight="1">
      <c r="A25" s="77" t="s">
        <v>319</v>
      </c>
      <c r="B25" s="136" t="s">
        <v>195</v>
      </c>
      <c r="C25" s="136" t="s">
        <v>195</v>
      </c>
      <c r="D25" s="112">
        <v>261802</v>
      </c>
      <c r="E25" s="137" t="s">
        <v>195</v>
      </c>
      <c r="F25" s="136" t="s">
        <v>195</v>
      </c>
      <c r="G25" s="18">
        <f>D25-'[6]Marts'!D25</f>
        <v>193211</v>
      </c>
      <c r="H25" s="77" t="s">
        <v>319</v>
      </c>
      <c r="I25" s="139" t="s">
        <v>195</v>
      </c>
      <c r="J25" s="139" t="s">
        <v>195</v>
      </c>
      <c r="K25" s="131">
        <v>262</v>
      </c>
      <c r="L25" s="137" t="s">
        <v>195</v>
      </c>
      <c r="M25" s="136" t="s">
        <v>195</v>
      </c>
      <c r="N25" s="131">
        <v>193</v>
      </c>
    </row>
    <row r="26" spans="1:14" ht="24.75" customHeight="1">
      <c r="A26" s="77" t="s">
        <v>320</v>
      </c>
      <c r="B26" s="136" t="s">
        <v>195</v>
      </c>
      <c r="C26" s="136" t="s">
        <v>195</v>
      </c>
      <c r="D26" s="112">
        <v>453517</v>
      </c>
      <c r="E26" s="137" t="s">
        <v>195</v>
      </c>
      <c r="F26" s="136" t="s">
        <v>195</v>
      </c>
      <c r="G26" s="18">
        <f>D26-'[6]Marts'!D26</f>
        <v>5658</v>
      </c>
      <c r="H26" s="77" t="s">
        <v>320</v>
      </c>
      <c r="I26" s="139" t="s">
        <v>195</v>
      </c>
      <c r="J26" s="139" t="s">
        <v>195</v>
      </c>
      <c r="K26" s="131">
        <v>454</v>
      </c>
      <c r="L26" s="137" t="s">
        <v>195</v>
      </c>
      <c r="M26" s="136" t="s">
        <v>195</v>
      </c>
      <c r="N26" s="131">
        <v>6</v>
      </c>
    </row>
    <row r="27" spans="1:14" ht="16.5" customHeight="1">
      <c r="A27" s="195" t="s">
        <v>206</v>
      </c>
      <c r="B27" s="112">
        <v>664235906</v>
      </c>
      <c r="C27" s="112">
        <f>51522485+163551761</f>
        <v>215074246</v>
      </c>
      <c r="D27" s="112">
        <f>SUM(D28,D29,D30,D31,D34,D39)</f>
        <v>193106106</v>
      </c>
      <c r="E27" s="17">
        <f>IF(ISERROR(D27/B27)," ",(D27/B27))</f>
        <v>0.290719162056259</v>
      </c>
      <c r="F27" s="17">
        <f>IF(ISERROR(D27/C27)," ",(D27/C27))</f>
        <v>0.8978578774141094</v>
      </c>
      <c r="G27" s="196">
        <f>SUM(G28,G29,G30,G31,G34,G39)</f>
        <v>40593004</v>
      </c>
      <c r="H27" s="195" t="s">
        <v>206</v>
      </c>
      <c r="I27" s="134">
        <v>664236</v>
      </c>
      <c r="J27" s="134">
        <v>215074</v>
      </c>
      <c r="K27" s="192">
        <v>193106</v>
      </c>
      <c r="L27" s="14">
        <v>0.29071896133302016</v>
      </c>
      <c r="M27" s="14">
        <v>0.8978584115234757</v>
      </c>
      <c r="N27" s="192">
        <v>39994</v>
      </c>
    </row>
    <row r="28" spans="1:14" ht="15.75" customHeight="1">
      <c r="A28" s="130" t="s">
        <v>207</v>
      </c>
      <c r="B28" s="136" t="s">
        <v>195</v>
      </c>
      <c r="C28" s="136" t="s">
        <v>195</v>
      </c>
      <c r="D28" s="112">
        <v>1013794</v>
      </c>
      <c r="E28" s="137" t="s">
        <v>195</v>
      </c>
      <c r="F28" s="136" t="s">
        <v>195</v>
      </c>
      <c r="G28" s="18">
        <v>233476</v>
      </c>
      <c r="H28" s="130" t="s">
        <v>207</v>
      </c>
      <c r="I28" s="139" t="s">
        <v>195</v>
      </c>
      <c r="J28" s="139" t="s">
        <v>195</v>
      </c>
      <c r="K28" s="131">
        <v>1014</v>
      </c>
      <c r="L28" s="137" t="s">
        <v>195</v>
      </c>
      <c r="M28" s="136" t="s">
        <v>195</v>
      </c>
      <c r="N28" s="131">
        <v>-365</v>
      </c>
    </row>
    <row r="29" spans="1:14" ht="15.75" customHeight="1">
      <c r="A29" s="130" t="s">
        <v>208</v>
      </c>
      <c r="B29" s="136" t="s">
        <v>195</v>
      </c>
      <c r="C29" s="136" t="s">
        <v>195</v>
      </c>
      <c r="D29" s="112"/>
      <c r="E29" s="137" t="s">
        <v>195</v>
      </c>
      <c r="F29" s="136" t="s">
        <v>195</v>
      </c>
      <c r="G29" s="18">
        <f>D29-'[6]Marts'!D29</f>
        <v>0</v>
      </c>
      <c r="H29" s="130" t="s">
        <v>208</v>
      </c>
      <c r="I29" s="139" t="s">
        <v>195</v>
      </c>
      <c r="J29" s="139" t="s">
        <v>195</v>
      </c>
      <c r="K29" s="131">
        <v>0</v>
      </c>
      <c r="L29" s="137" t="s">
        <v>195</v>
      </c>
      <c r="M29" s="136" t="s">
        <v>195</v>
      </c>
      <c r="N29" s="131">
        <v>0</v>
      </c>
    </row>
    <row r="30" spans="1:14" ht="17.25" customHeight="1">
      <c r="A30" s="77" t="s">
        <v>209</v>
      </c>
      <c r="B30" s="136" t="s">
        <v>195</v>
      </c>
      <c r="C30" s="136" t="s">
        <v>195</v>
      </c>
      <c r="D30" s="112">
        <v>6189847</v>
      </c>
      <c r="E30" s="137" t="s">
        <v>195</v>
      </c>
      <c r="F30" s="136" t="s">
        <v>195</v>
      </c>
      <c r="G30" s="18">
        <f>D30-'[6]Marts'!D30</f>
        <v>1644933</v>
      </c>
      <c r="H30" s="77" t="s">
        <v>209</v>
      </c>
      <c r="I30" s="139" t="s">
        <v>195</v>
      </c>
      <c r="J30" s="139" t="s">
        <v>195</v>
      </c>
      <c r="K30" s="131">
        <v>6190</v>
      </c>
      <c r="L30" s="137" t="s">
        <v>195</v>
      </c>
      <c r="M30" s="136" t="s">
        <v>195</v>
      </c>
      <c r="N30" s="131">
        <v>1645</v>
      </c>
    </row>
    <row r="31" spans="1:14" ht="12.75">
      <c r="A31" s="77" t="s">
        <v>210</v>
      </c>
      <c r="B31" s="136" t="s">
        <v>195</v>
      </c>
      <c r="C31" s="136" t="s">
        <v>195</v>
      </c>
      <c r="D31" s="112">
        <f>SUM(D32:D33)</f>
        <v>24074000</v>
      </c>
      <c r="E31" s="137" t="s">
        <v>195</v>
      </c>
      <c r="F31" s="136" t="s">
        <v>195</v>
      </c>
      <c r="G31" s="112">
        <f>SUM(G32:G33)</f>
        <v>2952000</v>
      </c>
      <c r="H31" s="77" t="s">
        <v>210</v>
      </c>
      <c r="I31" s="139" t="s">
        <v>195</v>
      </c>
      <c r="J31" s="139" t="s">
        <v>195</v>
      </c>
      <c r="K31" s="151">
        <v>24074</v>
      </c>
      <c r="L31" s="137" t="s">
        <v>195</v>
      </c>
      <c r="M31" s="136" t="s">
        <v>195</v>
      </c>
      <c r="N31" s="151">
        <v>2952</v>
      </c>
    </row>
    <row r="32" spans="1:14" s="153" customFormat="1" ht="26.25" customHeight="1">
      <c r="A32" s="78" t="s">
        <v>321</v>
      </c>
      <c r="B32" s="193">
        <v>1201200</v>
      </c>
      <c r="C32" s="140" t="s">
        <v>195</v>
      </c>
      <c r="D32" s="141">
        <v>325000</v>
      </c>
      <c r="E32" s="17">
        <f>IF(ISERROR(D32/B32)," ",(D32/B32))</f>
        <v>0.27056277056277056</v>
      </c>
      <c r="F32" s="140" t="s">
        <v>195</v>
      </c>
      <c r="G32" s="18">
        <f>D32-'[6]Marts'!D32</f>
        <v>-2</v>
      </c>
      <c r="H32" s="78" t="s">
        <v>321</v>
      </c>
      <c r="I32" s="145">
        <v>1201</v>
      </c>
      <c r="J32" s="144" t="s">
        <v>195</v>
      </c>
      <c r="K32" s="145">
        <v>325</v>
      </c>
      <c r="L32" s="24">
        <v>0.2706078268109908</v>
      </c>
      <c r="M32" s="140" t="s">
        <v>195</v>
      </c>
      <c r="N32" s="131">
        <v>0</v>
      </c>
    </row>
    <row r="33" spans="1:14" s="153" customFormat="1" ht="12.75">
      <c r="A33" s="78" t="s">
        <v>322</v>
      </c>
      <c r="B33" s="140" t="s">
        <v>195</v>
      </c>
      <c r="C33" s="140" t="s">
        <v>195</v>
      </c>
      <c r="D33" s="141">
        <v>23749000</v>
      </c>
      <c r="E33" s="142" t="s">
        <v>195</v>
      </c>
      <c r="F33" s="140" t="s">
        <v>195</v>
      </c>
      <c r="G33" s="18">
        <f>D33-'[6]Marts'!D33</f>
        <v>2952002</v>
      </c>
      <c r="H33" s="78" t="s">
        <v>322</v>
      </c>
      <c r="I33" s="144" t="s">
        <v>195</v>
      </c>
      <c r="J33" s="144" t="s">
        <v>195</v>
      </c>
      <c r="K33" s="145">
        <v>23749</v>
      </c>
      <c r="L33" s="142" t="s">
        <v>195</v>
      </c>
      <c r="M33" s="140" t="s">
        <v>195</v>
      </c>
      <c r="N33" s="131">
        <v>2952</v>
      </c>
    </row>
    <row r="34" spans="1:14" ht="15" customHeight="1">
      <c r="A34" s="77" t="s">
        <v>215</v>
      </c>
      <c r="B34" s="136" t="s">
        <v>195</v>
      </c>
      <c r="C34" s="136" t="s">
        <v>195</v>
      </c>
      <c r="D34" s="112">
        <f>SUM(D35:D38)</f>
        <v>161787494</v>
      </c>
      <c r="E34" s="137" t="s">
        <v>195</v>
      </c>
      <c r="F34" s="136" t="s">
        <v>195</v>
      </c>
      <c r="G34" s="112">
        <f>SUM(G35:G38)</f>
        <v>35735220</v>
      </c>
      <c r="H34" s="77" t="s">
        <v>215</v>
      </c>
      <c r="I34" s="139" t="s">
        <v>195</v>
      </c>
      <c r="J34" s="139" t="s">
        <v>195</v>
      </c>
      <c r="K34" s="151">
        <v>161787</v>
      </c>
      <c r="L34" s="137" t="s">
        <v>195</v>
      </c>
      <c r="M34" s="136" t="s">
        <v>195</v>
      </c>
      <c r="N34" s="151">
        <v>35735</v>
      </c>
    </row>
    <row r="35" spans="1:14" s="153" customFormat="1" ht="15" customHeight="1">
      <c r="A35" s="78" t="s">
        <v>323</v>
      </c>
      <c r="B35" s="140" t="s">
        <v>195</v>
      </c>
      <c r="C35" s="140" t="s">
        <v>195</v>
      </c>
      <c r="D35" s="141">
        <f>123977399+19573257</f>
        <v>143550656</v>
      </c>
      <c r="E35" s="142" t="s">
        <v>195</v>
      </c>
      <c r="F35" s="140" t="s">
        <v>195</v>
      </c>
      <c r="G35" s="18">
        <f>D35-'[6]Marts'!D35</f>
        <v>34529238</v>
      </c>
      <c r="H35" s="78" t="s">
        <v>323</v>
      </c>
      <c r="I35" s="144" t="s">
        <v>195</v>
      </c>
      <c r="J35" s="144" t="s">
        <v>195</v>
      </c>
      <c r="K35" s="131">
        <v>143551</v>
      </c>
      <c r="L35" s="142" t="s">
        <v>195</v>
      </c>
      <c r="M35" s="140" t="s">
        <v>195</v>
      </c>
      <c r="N35" s="131">
        <v>34530</v>
      </c>
    </row>
    <row r="36" spans="1:14" s="153" customFormat="1" ht="15" customHeight="1">
      <c r="A36" s="78" t="s">
        <v>324</v>
      </c>
      <c r="B36" s="140" t="s">
        <v>195</v>
      </c>
      <c r="C36" s="140" t="s">
        <v>195</v>
      </c>
      <c r="D36" s="141">
        <f>1129532+9409999+59118+4000+1870188+2764171+190239</f>
        <v>15427247</v>
      </c>
      <c r="E36" s="142" t="s">
        <v>195</v>
      </c>
      <c r="F36" s="140" t="s">
        <v>195</v>
      </c>
      <c r="G36" s="18">
        <f>D36-'[6]Marts'!D36</f>
        <v>5415578</v>
      </c>
      <c r="H36" s="78" t="s">
        <v>324</v>
      </c>
      <c r="I36" s="144" t="s">
        <v>195</v>
      </c>
      <c r="J36" s="144" t="s">
        <v>195</v>
      </c>
      <c r="K36" s="131">
        <v>15427</v>
      </c>
      <c r="L36" s="142" t="s">
        <v>195</v>
      </c>
      <c r="M36" s="140" t="s">
        <v>195</v>
      </c>
      <c r="N36" s="131">
        <v>5415</v>
      </c>
    </row>
    <row r="37" spans="1:14" s="153" customFormat="1" ht="15" customHeight="1">
      <c r="A37" s="78" t="s">
        <v>325</v>
      </c>
      <c r="B37" s="140" t="s">
        <v>195</v>
      </c>
      <c r="C37" s="140" t="s">
        <v>195</v>
      </c>
      <c r="D37" s="141">
        <f>431320</f>
        <v>431320</v>
      </c>
      <c r="E37" s="142" t="s">
        <v>195</v>
      </c>
      <c r="F37" s="140" t="s">
        <v>195</v>
      </c>
      <c r="G37" s="18">
        <f>D37-'[6]Marts'!D37</f>
        <v>431320</v>
      </c>
      <c r="H37" s="78" t="s">
        <v>325</v>
      </c>
      <c r="I37" s="144" t="s">
        <v>195</v>
      </c>
      <c r="J37" s="144" t="s">
        <v>195</v>
      </c>
      <c r="K37" s="131">
        <v>431</v>
      </c>
      <c r="L37" s="142" t="s">
        <v>195</v>
      </c>
      <c r="M37" s="140" t="s">
        <v>195</v>
      </c>
      <c r="N37" s="131">
        <v>431</v>
      </c>
    </row>
    <row r="38" spans="1:14" s="153" customFormat="1" ht="15" customHeight="1">
      <c r="A38" s="78" t="s">
        <v>326</v>
      </c>
      <c r="B38" s="140" t="s">
        <v>195</v>
      </c>
      <c r="C38" s="140" t="s">
        <v>195</v>
      </c>
      <c r="D38" s="141">
        <v>2378271</v>
      </c>
      <c r="E38" s="142" t="s">
        <v>195</v>
      </c>
      <c r="F38" s="140" t="s">
        <v>195</v>
      </c>
      <c r="G38" s="18">
        <f>D38-'[6]Marts'!D38</f>
        <v>-4640916</v>
      </c>
      <c r="H38" s="78" t="s">
        <v>326</v>
      </c>
      <c r="I38" s="144" t="s">
        <v>195</v>
      </c>
      <c r="J38" s="144" t="s">
        <v>195</v>
      </c>
      <c r="K38" s="145">
        <v>2378</v>
      </c>
      <c r="L38" s="142" t="s">
        <v>195</v>
      </c>
      <c r="M38" s="140" t="s">
        <v>195</v>
      </c>
      <c r="N38" s="131">
        <v>-4641</v>
      </c>
    </row>
    <row r="39" spans="1:14" ht="12.75">
      <c r="A39" s="77" t="s">
        <v>327</v>
      </c>
      <c r="B39" s="107">
        <v>84198</v>
      </c>
      <c r="C39" s="107">
        <v>56132</v>
      </c>
      <c r="D39" s="112">
        <v>40971</v>
      </c>
      <c r="E39" s="17">
        <f>IF(ISERROR(D39/B39)," ",(D39/B39))</f>
        <v>0.4866030071973206</v>
      </c>
      <c r="F39" s="17">
        <f>IF(ISERROR(D39/C39)," ",(D39/C39))</f>
        <v>0.729904510795981</v>
      </c>
      <c r="G39" s="18">
        <f>D39-'[6]Marts'!D39</f>
        <v>27375</v>
      </c>
      <c r="H39" s="77" t="s">
        <v>327</v>
      </c>
      <c r="I39" s="131">
        <v>84</v>
      </c>
      <c r="J39" s="131">
        <v>56</v>
      </c>
      <c r="K39" s="131">
        <v>41</v>
      </c>
      <c r="L39" s="17">
        <v>0.4880952380952381</v>
      </c>
      <c r="M39" s="17">
        <v>0.7321428571428571</v>
      </c>
      <c r="N39" s="131">
        <v>27</v>
      </c>
    </row>
    <row r="40" spans="1:14" ht="32.25" customHeight="1">
      <c r="A40" s="83" t="s">
        <v>225</v>
      </c>
      <c r="B40" s="102">
        <f>SUM(B41:B42)</f>
        <v>65952876</v>
      </c>
      <c r="C40" s="102">
        <f>SUM(C41:C42)</f>
        <v>11670823</v>
      </c>
      <c r="D40" s="102">
        <f>SUM(D41:D42)</f>
        <v>6550265</v>
      </c>
      <c r="E40" s="14">
        <f>IF(ISERROR(D40/B40)," ",(D40/B40))</f>
        <v>0.09931735198325543</v>
      </c>
      <c r="F40" s="14">
        <f>IF(ISERROR(D40/C40)," ",(D40/C40))</f>
        <v>0.5612513359169272</v>
      </c>
      <c r="G40" s="102">
        <f>SUM(G41:G42)</f>
        <v>2293186</v>
      </c>
      <c r="H40" s="83" t="s">
        <v>225</v>
      </c>
      <c r="I40" s="197">
        <v>65953</v>
      </c>
      <c r="J40" s="197">
        <v>11671</v>
      </c>
      <c r="K40" s="197">
        <v>6550</v>
      </c>
      <c r="L40" s="11">
        <v>0.09931314724121723</v>
      </c>
      <c r="M40" s="11">
        <v>0.5612201182417959</v>
      </c>
      <c r="N40" s="197">
        <v>2293</v>
      </c>
    </row>
    <row r="41" spans="1:14" ht="18" customHeight="1">
      <c r="A41" s="77" t="s">
        <v>226</v>
      </c>
      <c r="B41" s="107">
        <v>28417355</v>
      </c>
      <c r="C41" s="107">
        <f>5102373+5000</f>
        <v>5107373</v>
      </c>
      <c r="D41" s="112">
        <v>2474621</v>
      </c>
      <c r="E41" s="17">
        <f>IF(ISERROR(D41/B41)," ",(D41/B41))</f>
        <v>0.08708132759012935</v>
      </c>
      <c r="F41" s="17">
        <f>IF(ISERROR(D41/C41)," ",(D41/C41))</f>
        <v>0.48451934096060734</v>
      </c>
      <c r="G41" s="18">
        <f>D41-'[6]Marts'!D41</f>
        <v>929862</v>
      </c>
      <c r="H41" s="77" t="s">
        <v>226</v>
      </c>
      <c r="I41" s="150">
        <v>28417</v>
      </c>
      <c r="J41" s="150">
        <v>5108</v>
      </c>
      <c r="K41" s="131">
        <v>2474</v>
      </c>
      <c r="L41" s="17">
        <v>0.0870605623394447</v>
      </c>
      <c r="M41" s="17">
        <v>0.48433829287392327</v>
      </c>
      <c r="N41" s="131">
        <v>929</v>
      </c>
    </row>
    <row r="42" spans="1:14" ht="15.75" customHeight="1">
      <c r="A42" s="77" t="s">
        <v>227</v>
      </c>
      <c r="B42" s="193">
        <v>37535521</v>
      </c>
      <c r="C42" s="107">
        <f>5561247+1002203</f>
        <v>6563450</v>
      </c>
      <c r="D42" s="141">
        <v>4075644</v>
      </c>
      <c r="E42" s="17">
        <f>IF(ISERROR(D42/B42)," ",(D42/B42))</f>
        <v>0.10858098919154473</v>
      </c>
      <c r="F42" s="17">
        <f>IF(ISERROR(D42/C42)," ",(D42/C42))</f>
        <v>0.6209606228431693</v>
      </c>
      <c r="G42" s="18">
        <f>D42-'[6]Marts'!D42</f>
        <v>1363324</v>
      </c>
      <c r="H42" s="77" t="s">
        <v>227</v>
      </c>
      <c r="I42" s="150">
        <v>37536</v>
      </c>
      <c r="J42" s="150">
        <v>6563</v>
      </c>
      <c r="K42" s="131">
        <v>4076</v>
      </c>
      <c r="L42" s="17">
        <v>0.10858908780903666</v>
      </c>
      <c r="M42" s="17">
        <v>0.6210574432424196</v>
      </c>
      <c r="N42" s="131">
        <v>1364</v>
      </c>
    </row>
    <row r="43" spans="1:14" ht="67.5" customHeight="1" hidden="1">
      <c r="A43" s="7" t="s">
        <v>5</v>
      </c>
      <c r="B43" s="7" t="s">
        <v>6</v>
      </c>
      <c r="C43" s="7" t="s">
        <v>183</v>
      </c>
      <c r="D43" s="7" t="s">
        <v>7</v>
      </c>
      <c r="E43" s="7" t="s">
        <v>184</v>
      </c>
      <c r="F43" s="7" t="s">
        <v>309</v>
      </c>
      <c r="G43" s="7" t="s">
        <v>328</v>
      </c>
      <c r="H43" s="7" t="s">
        <v>5</v>
      </c>
      <c r="I43" s="8" t="s">
        <v>6</v>
      </c>
      <c r="J43" s="7" t="s">
        <v>183</v>
      </c>
      <c r="K43" s="7" t="s">
        <v>7</v>
      </c>
      <c r="L43" s="7" t="s">
        <v>184</v>
      </c>
      <c r="M43" s="7" t="s">
        <v>309</v>
      </c>
      <c r="N43" s="7" t="s">
        <v>328</v>
      </c>
    </row>
    <row r="44" spans="1:14" ht="12.75" hidden="1">
      <c r="A44" s="7">
        <v>1</v>
      </c>
      <c r="B44" s="7">
        <v>2</v>
      </c>
      <c r="C44" s="7">
        <v>3</v>
      </c>
      <c r="D44" s="7">
        <v>4</v>
      </c>
      <c r="E44" s="7">
        <v>5</v>
      </c>
      <c r="F44" s="7">
        <v>6</v>
      </c>
      <c r="G44" s="7">
        <v>8</v>
      </c>
      <c r="H44" s="7">
        <v>1</v>
      </c>
      <c r="I44" s="8">
        <v>2</v>
      </c>
      <c r="J44" s="7">
        <v>3</v>
      </c>
      <c r="K44" s="7">
        <v>4</v>
      </c>
      <c r="L44" s="7">
        <v>5</v>
      </c>
      <c r="M44" s="7">
        <v>6</v>
      </c>
      <c r="N44" s="7">
        <v>8</v>
      </c>
    </row>
    <row r="45" spans="1:14" ht="30.75" customHeight="1">
      <c r="A45" s="28" t="s">
        <v>329</v>
      </c>
      <c r="B45" s="136" t="s">
        <v>195</v>
      </c>
      <c r="C45" s="136" t="s">
        <v>195</v>
      </c>
      <c r="D45" s="109">
        <f>SUM(D46-D47)</f>
        <v>0</v>
      </c>
      <c r="E45" s="137" t="s">
        <v>195</v>
      </c>
      <c r="F45" s="136" t="s">
        <v>195</v>
      </c>
      <c r="G45" s="109">
        <f>SUM(G46-G47)</f>
        <v>0</v>
      </c>
      <c r="H45" s="28" t="s">
        <v>329</v>
      </c>
      <c r="I45" s="139" t="s">
        <v>195</v>
      </c>
      <c r="J45" s="139" t="s">
        <v>195</v>
      </c>
      <c r="K45" s="38">
        <v>0</v>
      </c>
      <c r="L45" s="137" t="s">
        <v>195</v>
      </c>
      <c r="M45" s="136" t="s">
        <v>195</v>
      </c>
      <c r="N45" s="38">
        <v>0</v>
      </c>
    </row>
    <row r="46" spans="1:14" ht="19.5" customHeight="1">
      <c r="A46" s="130" t="s">
        <v>229</v>
      </c>
      <c r="B46" s="107">
        <v>12756000</v>
      </c>
      <c r="C46" s="136">
        <v>1067103</v>
      </c>
      <c r="D46" s="112"/>
      <c r="E46" s="17">
        <f aca="true" t="shared" si="2" ref="E46:E51">IF(ISERROR(D46/B46)," ",(D46/B46))</f>
        <v>0</v>
      </c>
      <c r="F46" s="17">
        <f>IF(ISERROR(D46/C46)," ",(D46/C46))</f>
        <v>0</v>
      </c>
      <c r="G46" s="18">
        <f>D46-'[6]Marts'!D46</f>
        <v>0</v>
      </c>
      <c r="H46" s="130" t="s">
        <v>229</v>
      </c>
      <c r="I46" s="131">
        <v>12756</v>
      </c>
      <c r="J46" s="131">
        <v>1067</v>
      </c>
      <c r="K46" s="131">
        <v>0</v>
      </c>
      <c r="L46" s="17">
        <v>0</v>
      </c>
      <c r="M46" s="17">
        <v>0</v>
      </c>
      <c r="N46" s="131">
        <v>0</v>
      </c>
    </row>
    <row r="47" spans="1:14" ht="27.75" customHeight="1">
      <c r="A47" s="114" t="s">
        <v>230</v>
      </c>
      <c r="B47" s="107">
        <v>5250</v>
      </c>
      <c r="C47" s="136"/>
      <c r="D47" s="112"/>
      <c r="E47" s="17">
        <f t="shared" si="2"/>
        <v>0</v>
      </c>
      <c r="F47" s="17" t="str">
        <f>IF(ISERROR(D47/C47)," ",(D47/C47))</f>
        <v> </v>
      </c>
      <c r="G47" s="18">
        <f>D47-'[6]Marts'!D47</f>
        <v>0</v>
      </c>
      <c r="H47" s="114" t="s">
        <v>230</v>
      </c>
      <c r="I47" s="131">
        <v>5</v>
      </c>
      <c r="J47" s="131">
        <v>0</v>
      </c>
      <c r="K47" s="131">
        <v>0</v>
      </c>
      <c r="L47" s="17">
        <v>0</v>
      </c>
      <c r="M47" s="17" t="s">
        <v>92</v>
      </c>
      <c r="N47" s="131">
        <v>0</v>
      </c>
    </row>
    <row r="48" spans="1:163" s="15" customFormat="1" ht="21.75" customHeight="1">
      <c r="A48" s="28" t="s">
        <v>231</v>
      </c>
      <c r="B48" s="102">
        <v>-73276370</v>
      </c>
      <c r="C48" s="136" t="s">
        <v>195</v>
      </c>
      <c r="D48" s="102">
        <f>SUM(D10-D13-D45)</f>
        <v>-20229514</v>
      </c>
      <c r="E48" s="14">
        <f t="shared" si="2"/>
        <v>0.27607145386705156</v>
      </c>
      <c r="F48" s="136" t="s">
        <v>195</v>
      </c>
      <c r="G48" s="102">
        <f>SUM(G10-G13-G45)</f>
        <v>1992251</v>
      </c>
      <c r="H48" s="28" t="s">
        <v>231</v>
      </c>
      <c r="I48" s="128">
        <v>-73276</v>
      </c>
      <c r="J48" s="198" t="s">
        <v>195</v>
      </c>
      <c r="K48" s="197">
        <v>-20230</v>
      </c>
      <c r="L48" s="11">
        <v>0.27607948032097823</v>
      </c>
      <c r="M48" s="199" t="s">
        <v>195</v>
      </c>
      <c r="N48" s="197">
        <v>2591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</row>
    <row r="49" spans="1:163" s="15" customFormat="1" ht="18" customHeight="1">
      <c r="A49" s="28" t="s">
        <v>330</v>
      </c>
      <c r="B49" s="109">
        <f>SUM(B50:B51)</f>
        <v>73276370</v>
      </c>
      <c r="C49" s="136" t="s">
        <v>195</v>
      </c>
      <c r="D49" s="109">
        <f>SUM(D50:D51)</f>
        <v>20230000</v>
      </c>
      <c r="E49" s="17">
        <f t="shared" si="2"/>
        <v>0.27607808629166536</v>
      </c>
      <c r="F49" s="136" t="s">
        <v>195</v>
      </c>
      <c r="G49" s="109">
        <f>SUM(G50:G51)</f>
        <v>-2590718</v>
      </c>
      <c r="H49" s="28" t="s">
        <v>330</v>
      </c>
      <c r="I49" s="128">
        <v>73276</v>
      </c>
      <c r="J49" s="198" t="s">
        <v>195</v>
      </c>
      <c r="K49" s="128">
        <v>20230</v>
      </c>
      <c r="L49" s="11">
        <v>0.27607948032097823</v>
      </c>
      <c r="M49" s="199" t="s">
        <v>195</v>
      </c>
      <c r="N49" s="110">
        <v>-2591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1:163" s="15" customFormat="1" ht="17.25" customHeight="1">
      <c r="A50" s="77" t="s">
        <v>247</v>
      </c>
      <c r="B50" s="107">
        <v>58334396</v>
      </c>
      <c r="C50" s="136" t="s">
        <v>195</v>
      </c>
      <c r="D50" s="112">
        <v>13286000</v>
      </c>
      <c r="E50" s="17">
        <f t="shared" si="2"/>
        <v>0.2277558509391269</v>
      </c>
      <c r="F50" s="136" t="s">
        <v>195</v>
      </c>
      <c r="G50" s="18">
        <f>D50-'[6]Marts'!D50</f>
        <v>-452278</v>
      </c>
      <c r="H50" s="77" t="s">
        <v>247</v>
      </c>
      <c r="I50" s="131">
        <v>58334</v>
      </c>
      <c r="J50" s="139" t="s">
        <v>195</v>
      </c>
      <c r="K50" s="131">
        <v>13286</v>
      </c>
      <c r="L50" s="17">
        <v>0.22775739705831932</v>
      </c>
      <c r="M50" s="136" t="s">
        <v>195</v>
      </c>
      <c r="N50" s="131">
        <v>-452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</row>
    <row r="51" spans="1:163" s="15" customFormat="1" ht="39.75" customHeight="1">
      <c r="A51" s="77" t="s">
        <v>331</v>
      </c>
      <c r="B51" s="107">
        <v>14941974</v>
      </c>
      <c r="C51" s="136" t="s">
        <v>195</v>
      </c>
      <c r="D51" s="112">
        <v>6944000</v>
      </c>
      <c r="E51" s="17">
        <f t="shared" si="2"/>
        <v>0.46473109911715815</v>
      </c>
      <c r="F51" s="136" t="s">
        <v>195</v>
      </c>
      <c r="G51" s="18">
        <f>D51-'[6]Marts'!D51</f>
        <v>-2138440</v>
      </c>
      <c r="H51" s="77" t="s">
        <v>331</v>
      </c>
      <c r="I51" s="131">
        <v>14942</v>
      </c>
      <c r="J51" s="139" t="s">
        <v>195</v>
      </c>
      <c r="K51" s="131">
        <v>6944</v>
      </c>
      <c r="L51" s="17">
        <v>0.46473029045643155</v>
      </c>
      <c r="M51" s="136" t="s">
        <v>195</v>
      </c>
      <c r="N51" s="131">
        <v>-2139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1:13" s="32" customFormat="1" ht="12.75">
      <c r="A52" s="116"/>
      <c r="B52" s="200"/>
      <c r="C52" s="200"/>
      <c r="D52" s="201"/>
      <c r="E52" s="202"/>
      <c r="F52" s="203"/>
      <c r="H52" s="116"/>
      <c r="I52" s="200"/>
      <c r="J52" s="200"/>
      <c r="K52" s="201"/>
      <c r="L52" s="202"/>
      <c r="M52" s="203"/>
    </row>
    <row r="53" spans="1:13" s="32" customFormat="1" ht="12.75">
      <c r="A53" s="116"/>
      <c r="B53" s="200"/>
      <c r="C53" s="200"/>
      <c r="D53" s="201"/>
      <c r="E53" s="202"/>
      <c r="F53" s="203"/>
      <c r="H53" s="116"/>
      <c r="I53" s="200"/>
      <c r="J53" s="200"/>
      <c r="K53" s="201"/>
      <c r="L53" s="202"/>
      <c r="M53" s="203"/>
    </row>
    <row r="54" spans="1:13" s="32" customFormat="1" ht="12.75">
      <c r="A54" s="116"/>
      <c r="B54" s="200"/>
      <c r="C54" s="200"/>
      <c r="D54" s="201"/>
      <c r="E54" s="202"/>
      <c r="F54" s="203"/>
      <c r="H54" s="116"/>
      <c r="I54" s="200"/>
      <c r="J54" s="200"/>
      <c r="K54" s="201"/>
      <c r="L54" s="202"/>
      <c r="M54" s="203"/>
    </row>
    <row r="55" spans="1:13" s="32" customFormat="1" ht="12.75">
      <c r="A55" s="116"/>
      <c r="B55" s="200"/>
      <c r="C55" s="200"/>
      <c r="D55" s="201"/>
      <c r="E55" s="202"/>
      <c r="F55" s="203"/>
      <c r="I55" s="200"/>
      <c r="J55" s="200"/>
      <c r="K55" s="201"/>
      <c r="L55" s="202"/>
      <c r="M55" s="203"/>
    </row>
    <row r="56" spans="1:13" s="32" customFormat="1" ht="12.75">
      <c r="A56" s="116"/>
      <c r="B56" s="200"/>
      <c r="C56" s="200"/>
      <c r="D56" s="201"/>
      <c r="E56" s="202"/>
      <c r="F56" s="203"/>
      <c r="I56" s="200"/>
      <c r="J56" s="200"/>
      <c r="K56" s="201"/>
      <c r="L56" s="202"/>
      <c r="M56" s="203"/>
    </row>
    <row r="57" spans="1:13" s="32" customFormat="1" ht="12.75">
      <c r="A57" s="116"/>
      <c r="B57" s="200"/>
      <c r="C57" s="200"/>
      <c r="D57" s="201"/>
      <c r="E57" s="202"/>
      <c r="F57" s="203"/>
      <c r="I57" s="200"/>
      <c r="J57" s="200"/>
      <c r="K57" s="201"/>
      <c r="L57" s="202"/>
      <c r="M57" s="203"/>
    </row>
    <row r="58" spans="1:13" ht="12.75">
      <c r="A58" s="204"/>
      <c r="B58" s="205"/>
      <c r="C58" s="205"/>
      <c r="D58" s="100"/>
      <c r="E58" s="202"/>
      <c r="F58" s="206"/>
      <c r="I58" s="205"/>
      <c r="J58" s="205"/>
      <c r="K58" s="100"/>
      <c r="L58" s="202"/>
      <c r="M58" s="206"/>
    </row>
    <row r="59" spans="1:13" ht="14.25">
      <c r="A59" s="50"/>
      <c r="B59" s="205"/>
      <c r="C59" s="205"/>
      <c r="D59" s="100"/>
      <c r="E59" s="160"/>
      <c r="F59" s="206"/>
      <c r="I59" s="205"/>
      <c r="J59" s="205"/>
      <c r="K59" s="100"/>
      <c r="L59" s="160"/>
      <c r="M59" s="206"/>
    </row>
    <row r="60" spans="1:13" ht="12.75">
      <c r="A60" s="35" t="s">
        <v>233</v>
      </c>
      <c r="B60" s="91"/>
      <c r="C60" s="91"/>
      <c r="D60" s="91"/>
      <c r="E60" s="120"/>
      <c r="F60" s="161"/>
      <c r="I60" s="91"/>
      <c r="J60" s="91"/>
      <c r="K60" s="91"/>
      <c r="L60" s="120"/>
      <c r="M60" s="161"/>
    </row>
    <row r="61" spans="1:13" ht="12.75">
      <c r="A61" s="37"/>
      <c r="B61" s="207"/>
      <c r="C61" s="208"/>
      <c r="D61" s="96"/>
      <c r="E61" s="209"/>
      <c r="F61" s="210"/>
      <c r="I61" s="207"/>
      <c r="J61" s="208"/>
      <c r="K61" s="96"/>
      <c r="L61" s="209"/>
      <c r="M61" s="210"/>
    </row>
    <row r="62" spans="1:13" ht="12.75">
      <c r="A62" s="37"/>
      <c r="B62" s="207"/>
      <c r="C62" s="208"/>
      <c r="D62" s="96"/>
      <c r="E62" s="209"/>
      <c r="F62" s="211"/>
      <c r="I62" s="207"/>
      <c r="J62" s="208"/>
      <c r="K62" s="96"/>
      <c r="L62" s="209"/>
      <c r="M62" s="211"/>
    </row>
    <row r="63" spans="1:13" ht="12.75">
      <c r="A63" s="37"/>
      <c r="B63" s="207"/>
      <c r="C63" s="208"/>
      <c r="D63" s="96"/>
      <c r="E63" s="209"/>
      <c r="F63" s="211"/>
      <c r="I63" s="207"/>
      <c r="J63" s="208"/>
      <c r="K63" s="96"/>
      <c r="L63" s="209"/>
      <c r="M63" s="211"/>
    </row>
    <row r="64" spans="1:13" ht="12.75">
      <c r="A64" s="37"/>
      <c r="B64" s="207"/>
      <c r="C64" s="208"/>
      <c r="D64" s="96"/>
      <c r="E64" s="209"/>
      <c r="F64" s="211"/>
      <c r="H64" s="37"/>
      <c r="I64" s="207"/>
      <c r="J64" s="208"/>
      <c r="K64" s="96"/>
      <c r="L64" s="209"/>
      <c r="M64" s="211"/>
    </row>
    <row r="65" spans="1:13" ht="12.75">
      <c r="A65" s="37"/>
      <c r="B65" s="207"/>
      <c r="C65" s="208"/>
      <c r="D65" s="96"/>
      <c r="E65" s="209"/>
      <c r="F65" s="211"/>
      <c r="H65" s="37"/>
      <c r="I65" s="207"/>
      <c r="J65" s="208"/>
      <c r="K65" s="96"/>
      <c r="L65" s="209"/>
      <c r="M65" s="211"/>
    </row>
    <row r="66" spans="1:13" ht="12.75">
      <c r="A66" s="37"/>
      <c r="B66" s="207"/>
      <c r="C66" s="208"/>
      <c r="D66" s="96"/>
      <c r="E66" s="209"/>
      <c r="F66" s="211"/>
      <c r="H66" s="37"/>
      <c r="I66" s="207"/>
      <c r="J66" s="208"/>
      <c r="K66" s="96"/>
      <c r="L66" s="209"/>
      <c r="M66" s="211"/>
    </row>
    <row r="67" spans="2:13" ht="12.75">
      <c r="B67" s="101"/>
      <c r="C67" s="101"/>
      <c r="E67" s="101"/>
      <c r="F67" s="101"/>
      <c r="I67" s="101"/>
      <c r="J67" s="101"/>
      <c r="L67" s="101"/>
      <c r="M67" s="101"/>
    </row>
    <row r="68" spans="2:13" ht="12.75">
      <c r="B68" s="101"/>
      <c r="C68" s="101"/>
      <c r="E68" s="101"/>
      <c r="F68" s="101"/>
      <c r="I68" s="101"/>
      <c r="J68" s="101"/>
      <c r="L68" s="101"/>
      <c r="M68" s="101"/>
    </row>
    <row r="69" spans="1:13" ht="12.75">
      <c r="A69" s="37" t="s">
        <v>89</v>
      </c>
      <c r="B69" s="101"/>
      <c r="C69" s="101"/>
      <c r="D69" s="6"/>
      <c r="E69" s="101"/>
      <c r="F69" s="101"/>
      <c r="H69" s="35" t="s">
        <v>233</v>
      </c>
      <c r="I69" s="101"/>
      <c r="J69" s="101"/>
      <c r="K69" s="6"/>
      <c r="L69" s="101"/>
      <c r="M69" s="101"/>
    </row>
    <row r="70" spans="1:13" ht="12.75">
      <c r="A70" s="37" t="s">
        <v>90</v>
      </c>
      <c r="B70" s="6"/>
      <c r="C70" s="6"/>
      <c r="D70" s="6"/>
      <c r="E70" s="101"/>
      <c r="F70" s="101"/>
      <c r="H70" s="116"/>
      <c r="I70" s="6"/>
      <c r="J70" s="6"/>
      <c r="K70" s="6"/>
      <c r="L70" s="101"/>
      <c r="M70" s="101"/>
    </row>
    <row r="71" spans="1:13" ht="12.75">
      <c r="A71" s="6"/>
      <c r="B71" s="6"/>
      <c r="C71" s="6"/>
      <c r="D71" s="6"/>
      <c r="E71" s="101"/>
      <c r="F71" s="101"/>
      <c r="H71" s="116"/>
      <c r="I71" s="6"/>
      <c r="J71" s="6"/>
      <c r="K71" s="6"/>
      <c r="L71" s="101"/>
      <c r="M71" s="101"/>
    </row>
    <row r="72" spans="1:13" ht="12.75">
      <c r="A72" s="6"/>
      <c r="B72" s="6"/>
      <c r="C72" s="6"/>
      <c r="D72" s="6"/>
      <c r="E72" s="101"/>
      <c r="F72" s="101"/>
      <c r="H72" s="204"/>
      <c r="I72" s="6"/>
      <c r="J72" s="6"/>
      <c r="K72" s="6"/>
      <c r="L72" s="101"/>
      <c r="M72" s="101"/>
    </row>
    <row r="73" spans="1:8" ht="14.25">
      <c r="A73" s="6"/>
      <c r="B73" s="6"/>
      <c r="C73" s="6"/>
      <c r="D73" s="6"/>
      <c r="E73" s="101"/>
      <c r="F73" s="101"/>
      <c r="H73" s="50"/>
    </row>
    <row r="74" spans="1:6" ht="12.75">
      <c r="A74" s="6"/>
      <c r="B74" s="6"/>
      <c r="C74" s="6"/>
      <c r="D74" s="6"/>
      <c r="E74" s="101"/>
      <c r="F74" s="101"/>
    </row>
    <row r="75" spans="1:8" ht="12.75">
      <c r="A75" s="6"/>
      <c r="B75" s="6"/>
      <c r="C75" s="6"/>
      <c r="D75" s="6"/>
      <c r="E75" s="101"/>
      <c r="F75" s="101"/>
      <c r="H75" s="37"/>
    </row>
    <row r="76" spans="1:8" ht="12.75">
      <c r="A76" s="6"/>
      <c r="B76" s="6"/>
      <c r="C76" s="6"/>
      <c r="D76" s="6"/>
      <c r="E76" s="101"/>
      <c r="F76" s="101"/>
      <c r="H76" s="37" t="s">
        <v>89</v>
      </c>
    </row>
    <row r="77" spans="1:8" ht="12.75">
      <c r="A77" s="6"/>
      <c r="B77" s="6"/>
      <c r="C77" s="6"/>
      <c r="D77" s="6"/>
      <c r="E77" s="101"/>
      <c r="F77" s="101"/>
      <c r="H77" s="37" t="s">
        <v>332</v>
      </c>
    </row>
    <row r="78" spans="1:6" ht="12.75">
      <c r="A78" s="6"/>
      <c r="B78" s="6"/>
      <c r="C78" s="6"/>
      <c r="D78" s="6"/>
      <c r="E78" s="101"/>
      <c r="F78" s="101"/>
    </row>
    <row r="79" spans="1:6" ht="12.75">
      <c r="A79" s="6"/>
      <c r="B79" s="6"/>
      <c r="C79" s="6"/>
      <c r="D79" s="6"/>
      <c r="E79" s="101"/>
      <c r="F79" s="101"/>
    </row>
    <row r="80" spans="1:6" ht="12.75">
      <c r="A80" s="6"/>
      <c r="B80" s="6"/>
      <c r="C80" s="6"/>
      <c r="D80" s="6"/>
      <c r="E80" s="101"/>
      <c r="F80" s="101"/>
    </row>
    <row r="81" spans="1:6" ht="12.75">
      <c r="A81" s="6"/>
      <c r="B81" s="6"/>
      <c r="C81" s="6"/>
      <c r="D81" s="6"/>
      <c r="E81" s="101"/>
      <c r="F81" s="101"/>
    </row>
    <row r="82" spans="1:6" ht="12.75">
      <c r="A82" s="6"/>
      <c r="B82" s="6"/>
      <c r="C82" s="6"/>
      <c r="D82" s="6"/>
      <c r="E82" s="101"/>
      <c r="F82" s="101"/>
    </row>
    <row r="83" spans="1:6" ht="12.75">
      <c r="A83" s="6"/>
      <c r="B83" s="6"/>
      <c r="C83" s="6"/>
      <c r="D83" s="6"/>
      <c r="E83" s="101"/>
      <c r="F83" s="101"/>
    </row>
    <row r="84" spans="1:6" ht="12.75">
      <c r="A84" s="6"/>
      <c r="B84" s="6"/>
      <c r="C84" s="6"/>
      <c r="D84" s="6"/>
      <c r="E84" s="101"/>
      <c r="F84" s="101"/>
    </row>
    <row r="85" spans="5:6" ht="12.75">
      <c r="E85" s="42"/>
      <c r="F85" s="42"/>
    </row>
    <row r="86" spans="5:6" ht="12.75">
      <c r="E86" s="42"/>
      <c r="F86" s="42"/>
    </row>
    <row r="87" spans="5:6" ht="12.75">
      <c r="E87" s="42"/>
      <c r="F87" s="42"/>
    </row>
    <row r="88" spans="5:6" ht="12.75">
      <c r="E88" s="42"/>
      <c r="F88" s="42"/>
    </row>
    <row r="89" spans="5:6" ht="12.75">
      <c r="E89" s="42"/>
      <c r="F89" s="42"/>
    </row>
    <row r="90" spans="5:6" ht="12.75">
      <c r="E90" s="42"/>
      <c r="F90" s="42"/>
    </row>
    <row r="91" spans="5:6" ht="12.75">
      <c r="E91" s="42"/>
      <c r="F91" s="42"/>
    </row>
    <row r="92" spans="5:6" ht="12.75">
      <c r="E92" s="42"/>
      <c r="F92" s="42"/>
    </row>
    <row r="93" spans="5:6" ht="12.75">
      <c r="E93" s="42"/>
      <c r="F93" s="42"/>
    </row>
    <row r="94" spans="5:6" ht="12.75">
      <c r="E94" s="42"/>
      <c r="F94" s="42"/>
    </row>
    <row r="95" spans="5:6" ht="12.75">
      <c r="E95" s="42"/>
      <c r="F95" s="42"/>
    </row>
    <row r="96" spans="5:6" ht="12.75">
      <c r="E96" s="42"/>
      <c r="F96" s="42"/>
    </row>
    <row r="97" spans="5:6" ht="12.75">
      <c r="E97" s="42"/>
      <c r="F97" s="42"/>
    </row>
    <row r="98" spans="5:6" ht="12.75">
      <c r="E98" s="42"/>
      <c r="F98" s="42"/>
    </row>
    <row r="99" spans="5:6" ht="12.75">
      <c r="E99" s="42"/>
      <c r="F99" s="42"/>
    </row>
    <row r="100" spans="5:6" ht="12.75">
      <c r="E100" s="42"/>
      <c r="F100" s="42"/>
    </row>
    <row r="101" spans="5:6" ht="12.75">
      <c r="E101" s="42"/>
      <c r="F101" s="42"/>
    </row>
    <row r="102" spans="5:6" ht="12.75">
      <c r="E102" s="42"/>
      <c r="F102" s="42"/>
    </row>
    <row r="103" spans="5:6" ht="12.75">
      <c r="E103" s="42"/>
      <c r="F103" s="42"/>
    </row>
    <row r="104" spans="5:6" ht="12.75">
      <c r="E104" s="42"/>
      <c r="F104" s="42"/>
    </row>
    <row r="105" spans="5:6" ht="12.75">
      <c r="E105" s="42"/>
      <c r="F105" s="42"/>
    </row>
    <row r="106" spans="5:6" ht="12.75">
      <c r="E106" s="42"/>
      <c r="F106" s="42"/>
    </row>
    <row r="107" spans="5:6" ht="12.75">
      <c r="E107" s="42"/>
      <c r="F107" s="42"/>
    </row>
    <row r="108" spans="5:6" ht="12.75">
      <c r="E108" s="42"/>
      <c r="F108" s="42"/>
    </row>
    <row r="109" spans="5:6" ht="12.75">
      <c r="E109" s="42"/>
      <c r="F109" s="42"/>
    </row>
    <row r="110" spans="5:6" ht="12.75">
      <c r="E110" s="42"/>
      <c r="F110" s="42"/>
    </row>
    <row r="111" spans="5:6" ht="12.75">
      <c r="E111" s="42"/>
      <c r="F111" s="42"/>
    </row>
    <row r="112" spans="5:6" ht="12.75">
      <c r="E112" s="42"/>
      <c r="F112" s="42"/>
    </row>
    <row r="113" spans="5:6" ht="12.75">
      <c r="E113" s="42"/>
      <c r="F113" s="42"/>
    </row>
    <row r="114" spans="5:6" ht="12.75">
      <c r="E114" s="42"/>
      <c r="F114" s="42"/>
    </row>
    <row r="115" spans="5:6" ht="12.75">
      <c r="E115" s="42"/>
      <c r="F115" s="42"/>
    </row>
    <row r="116" spans="5:6" ht="12.75">
      <c r="E116" s="42"/>
      <c r="F116" s="42"/>
    </row>
    <row r="117" spans="5:6" ht="12.75">
      <c r="E117" s="42"/>
      <c r="F117" s="42"/>
    </row>
    <row r="118" spans="5:6" ht="12.75">
      <c r="E118" s="42"/>
      <c r="F118" s="42"/>
    </row>
    <row r="119" spans="5:6" ht="12.75">
      <c r="E119" s="42"/>
      <c r="F119" s="42"/>
    </row>
    <row r="120" spans="5:6" ht="12.75">
      <c r="E120" s="42"/>
      <c r="F120" s="42"/>
    </row>
    <row r="121" spans="5:6" ht="12.75">
      <c r="E121" s="42"/>
      <c r="F121" s="42"/>
    </row>
    <row r="122" spans="5:6" ht="12.75">
      <c r="E122" s="42"/>
      <c r="F122" s="42"/>
    </row>
    <row r="123" spans="5:6" ht="12.75">
      <c r="E123" s="42"/>
      <c r="F123" s="42"/>
    </row>
    <row r="124" spans="5:6" ht="12.75">
      <c r="E124" s="42"/>
      <c r="F124" s="42"/>
    </row>
    <row r="125" spans="5:6" ht="12.75">
      <c r="E125" s="42"/>
      <c r="F125" s="42"/>
    </row>
    <row r="126" spans="5:6" ht="12.75">
      <c r="E126" s="42"/>
      <c r="F126" s="42"/>
    </row>
    <row r="127" spans="5:6" ht="12.75">
      <c r="E127" s="42"/>
      <c r="F127" s="42"/>
    </row>
    <row r="128" spans="5:6" ht="12.75">
      <c r="E128" s="42"/>
      <c r="F128" s="42"/>
    </row>
    <row r="129" spans="5:6" ht="12.75">
      <c r="E129" s="42"/>
      <c r="F129" s="42"/>
    </row>
    <row r="130" spans="5:6" ht="12.75">
      <c r="E130" s="42"/>
      <c r="F130" s="42"/>
    </row>
    <row r="131" spans="5:6" ht="12.75">
      <c r="E131" s="42"/>
      <c r="F131" s="42"/>
    </row>
    <row r="132" spans="5:6" ht="12.75">
      <c r="E132" s="42"/>
      <c r="F132" s="42"/>
    </row>
    <row r="133" spans="5:6" ht="12.75">
      <c r="E133" s="42"/>
      <c r="F133" s="42"/>
    </row>
    <row r="134" spans="5:6" ht="12.75">
      <c r="E134" s="42"/>
      <c r="F134" s="42"/>
    </row>
    <row r="135" spans="5:6" ht="12.75">
      <c r="E135" s="42"/>
      <c r="F135" s="42"/>
    </row>
    <row r="136" spans="5:6" ht="12.75">
      <c r="E136" s="42"/>
      <c r="F136" s="42"/>
    </row>
    <row r="137" spans="5:6" ht="12.75">
      <c r="E137" s="42"/>
      <c r="F137" s="42"/>
    </row>
    <row r="138" spans="5:6" ht="12.75">
      <c r="E138" s="42"/>
      <c r="F138" s="42"/>
    </row>
    <row r="139" spans="5:6" ht="12.75">
      <c r="E139" s="42"/>
      <c r="F139" s="42"/>
    </row>
    <row r="140" spans="5:6" ht="12.75">
      <c r="E140" s="42"/>
      <c r="F140" s="42"/>
    </row>
    <row r="141" spans="5:6" ht="12.75">
      <c r="E141" s="42"/>
      <c r="F141" s="42"/>
    </row>
    <row r="142" spans="5:6" ht="12.75">
      <c r="E142" s="42"/>
      <c r="F142" s="42"/>
    </row>
    <row r="143" spans="5:6" ht="12.75">
      <c r="E143" s="42"/>
      <c r="F143" s="42"/>
    </row>
    <row r="144" spans="5:6" ht="12.75">
      <c r="E144" s="42"/>
      <c r="F144" s="42"/>
    </row>
    <row r="145" spans="5:6" ht="12.75">
      <c r="E145" s="42"/>
      <c r="F145" s="42"/>
    </row>
    <row r="146" spans="5:6" ht="12.75">
      <c r="E146" s="42"/>
      <c r="F146" s="42"/>
    </row>
    <row r="147" spans="5:6" ht="12.75">
      <c r="E147" s="42"/>
      <c r="F147" s="42"/>
    </row>
    <row r="148" spans="5:6" ht="12.75">
      <c r="E148" s="42"/>
      <c r="F148" s="42"/>
    </row>
    <row r="149" spans="5:6" ht="12.75">
      <c r="E149" s="42"/>
      <c r="F149" s="42"/>
    </row>
    <row r="150" spans="5:6" ht="12.75">
      <c r="E150" s="42"/>
      <c r="F150" s="42"/>
    </row>
    <row r="151" spans="5:6" ht="12.75">
      <c r="E151" s="42"/>
      <c r="F151" s="42"/>
    </row>
    <row r="152" spans="5:6" ht="12.75">
      <c r="E152" s="42"/>
      <c r="F152" s="42"/>
    </row>
    <row r="153" spans="5:6" ht="12.75">
      <c r="E153" s="42"/>
      <c r="F153" s="42"/>
    </row>
    <row r="154" spans="5:6" ht="12.75">
      <c r="E154" s="42"/>
      <c r="F154" s="42"/>
    </row>
    <row r="155" spans="5:6" ht="12.75">
      <c r="E155" s="42"/>
      <c r="F155" s="42"/>
    </row>
    <row r="156" spans="5:6" ht="12.75">
      <c r="E156" s="42"/>
      <c r="F156" s="42"/>
    </row>
    <row r="157" spans="5:6" ht="12.75">
      <c r="E157" s="42"/>
      <c r="F157" s="42"/>
    </row>
    <row r="158" spans="5:6" ht="12.75">
      <c r="E158" s="42"/>
      <c r="F158" s="42"/>
    </row>
    <row r="159" spans="5:6" ht="12.75">
      <c r="E159" s="42"/>
      <c r="F159" s="42"/>
    </row>
    <row r="160" spans="5:6" ht="12.75">
      <c r="E160" s="42"/>
      <c r="F160" s="42"/>
    </row>
    <row r="161" spans="5:6" ht="12.75">
      <c r="E161" s="42"/>
      <c r="F161" s="42"/>
    </row>
    <row r="162" spans="5:6" ht="12.75">
      <c r="E162" s="42"/>
      <c r="F162" s="42"/>
    </row>
    <row r="163" spans="5:6" ht="12.75">
      <c r="E163" s="42"/>
      <c r="F163" s="42"/>
    </row>
    <row r="164" spans="5:6" ht="12.75">
      <c r="E164" s="42"/>
      <c r="F164" s="42"/>
    </row>
    <row r="165" spans="5:6" ht="12.75">
      <c r="E165" s="42"/>
      <c r="F165" s="42"/>
    </row>
    <row r="166" spans="5:6" ht="12.75">
      <c r="E166" s="42"/>
      <c r="F166" s="42"/>
    </row>
    <row r="167" spans="5:6" ht="12.75">
      <c r="E167" s="42"/>
      <c r="F167" s="42"/>
    </row>
    <row r="168" spans="5:6" ht="12.75">
      <c r="E168" s="42"/>
      <c r="F168" s="42"/>
    </row>
    <row r="169" spans="5:6" ht="12.75">
      <c r="E169" s="42"/>
      <c r="F169" s="42"/>
    </row>
    <row r="170" spans="5:6" ht="12.75">
      <c r="E170" s="42"/>
      <c r="F170" s="42"/>
    </row>
    <row r="171" spans="5:6" ht="12.75">
      <c r="E171" s="42"/>
      <c r="F171" s="42"/>
    </row>
    <row r="172" spans="5:6" ht="12.75">
      <c r="E172" s="42"/>
      <c r="F172" s="42"/>
    </row>
    <row r="173" spans="5:6" ht="12.75">
      <c r="E173" s="42"/>
      <c r="F173" s="42"/>
    </row>
    <row r="174" spans="5:6" ht="12.75">
      <c r="E174" s="42"/>
      <c r="F174" s="42"/>
    </row>
    <row r="175" spans="5:6" ht="12.75">
      <c r="E175" s="42"/>
      <c r="F175" s="42"/>
    </row>
    <row r="176" spans="5:6" ht="12.75">
      <c r="E176" s="42"/>
      <c r="F176" s="42"/>
    </row>
    <row r="177" spans="5:6" ht="12.75">
      <c r="E177" s="42"/>
      <c r="F177" s="42"/>
    </row>
    <row r="178" spans="5:6" ht="12.75">
      <c r="E178" s="42"/>
      <c r="F178" s="42"/>
    </row>
    <row r="179" spans="5:6" ht="12.75">
      <c r="E179" s="42"/>
      <c r="F179" s="42"/>
    </row>
    <row r="180" spans="5:6" ht="12.75">
      <c r="E180" s="42"/>
      <c r="F180" s="42"/>
    </row>
    <row r="181" spans="5:6" ht="12.75">
      <c r="E181" s="42"/>
      <c r="F181" s="42"/>
    </row>
    <row r="182" spans="5:6" ht="12.75">
      <c r="E182" s="42"/>
      <c r="F182" s="42"/>
    </row>
    <row r="183" spans="5:6" ht="12.75">
      <c r="E183" s="42"/>
      <c r="F183" s="42"/>
    </row>
    <row r="184" spans="5:6" ht="12.75">
      <c r="E184" s="42"/>
      <c r="F184" s="42"/>
    </row>
    <row r="185" spans="5:6" ht="12.75">
      <c r="E185" s="42"/>
      <c r="F185" s="42"/>
    </row>
    <row r="186" spans="5:6" ht="12.75">
      <c r="E186" s="42"/>
      <c r="F186" s="42"/>
    </row>
    <row r="187" spans="5:6" ht="12.75">
      <c r="E187" s="42"/>
      <c r="F187" s="42"/>
    </row>
    <row r="188" spans="5:6" ht="12.75">
      <c r="E188" s="42"/>
      <c r="F188" s="42"/>
    </row>
    <row r="189" spans="5:6" ht="12.75">
      <c r="E189" s="42"/>
      <c r="F189" s="42"/>
    </row>
    <row r="190" spans="5:6" ht="12.75">
      <c r="E190" s="42"/>
      <c r="F190" s="42"/>
    </row>
    <row r="191" spans="5:6" ht="12.75">
      <c r="E191" s="42"/>
      <c r="F191" s="42"/>
    </row>
    <row r="192" spans="5:6" ht="12.75">
      <c r="E192" s="42"/>
      <c r="F192" s="42"/>
    </row>
    <row r="193" spans="5:6" ht="12.75">
      <c r="E193" s="42"/>
      <c r="F193" s="42"/>
    </row>
    <row r="194" spans="5:6" ht="12.75">
      <c r="E194" s="42"/>
      <c r="F194" s="42"/>
    </row>
    <row r="195" spans="5:6" ht="12.75">
      <c r="E195" s="42"/>
      <c r="F195" s="42"/>
    </row>
    <row r="196" spans="5:6" ht="12.75">
      <c r="E196" s="42"/>
      <c r="F196" s="42"/>
    </row>
    <row r="197" spans="5:6" ht="12.75">
      <c r="E197" s="42"/>
      <c r="F197" s="42"/>
    </row>
    <row r="198" spans="5:6" ht="12.75">
      <c r="E198" s="42"/>
      <c r="F198" s="42"/>
    </row>
    <row r="199" spans="5:6" ht="12.75">
      <c r="E199" s="42"/>
      <c r="F199" s="42"/>
    </row>
    <row r="200" spans="5:6" ht="12.75">
      <c r="E200" s="42"/>
      <c r="F200" s="42"/>
    </row>
    <row r="201" spans="5:6" ht="12.75">
      <c r="E201" s="42"/>
      <c r="F201" s="42"/>
    </row>
    <row r="202" spans="5:6" ht="12.75">
      <c r="E202" s="42"/>
      <c r="F202" s="42"/>
    </row>
    <row r="203" spans="5:6" ht="12.75">
      <c r="E203" s="42"/>
      <c r="F203" s="42"/>
    </row>
    <row r="204" spans="5:6" ht="12.75">
      <c r="E204" s="42"/>
      <c r="F204" s="42"/>
    </row>
    <row r="205" spans="5:6" ht="12.75">
      <c r="E205" s="42"/>
      <c r="F205" s="42"/>
    </row>
    <row r="206" spans="5:6" ht="12.75">
      <c r="E206" s="42"/>
      <c r="F206" s="42"/>
    </row>
    <row r="207" spans="5:6" ht="12.75">
      <c r="E207" s="42"/>
      <c r="F207" s="42"/>
    </row>
    <row r="208" spans="5:6" ht="12.75">
      <c r="E208" s="42"/>
      <c r="F208" s="42"/>
    </row>
    <row r="209" spans="5:6" ht="12.75">
      <c r="E209" s="42"/>
      <c r="F209" s="42"/>
    </row>
    <row r="210" spans="5:6" ht="12.75">
      <c r="E210" s="42"/>
      <c r="F210" s="42"/>
    </row>
    <row r="211" spans="5:6" ht="12.75">
      <c r="E211" s="42"/>
      <c r="F211" s="42"/>
    </row>
    <row r="212" spans="5:6" ht="12.75">
      <c r="E212" s="42"/>
      <c r="F212" s="42"/>
    </row>
    <row r="213" spans="5:6" ht="12.75">
      <c r="E213" s="42"/>
      <c r="F213" s="42"/>
    </row>
    <row r="214" spans="5:6" ht="12.75">
      <c r="E214" s="42"/>
      <c r="F214" s="42"/>
    </row>
    <row r="215" spans="5:6" ht="12.75">
      <c r="E215" s="42"/>
      <c r="F215" s="42"/>
    </row>
    <row r="216" spans="5:6" ht="12.75">
      <c r="E216" s="42"/>
      <c r="F216" s="42"/>
    </row>
    <row r="217" spans="5:6" ht="12.75">
      <c r="E217" s="42"/>
      <c r="F217" s="42"/>
    </row>
    <row r="218" spans="5:6" ht="12.75">
      <c r="E218" s="42"/>
      <c r="F218" s="42"/>
    </row>
    <row r="219" spans="5:6" ht="12.75">
      <c r="E219" s="42"/>
      <c r="F219" s="42"/>
    </row>
    <row r="220" spans="5:6" ht="12.75">
      <c r="E220" s="42"/>
      <c r="F220" s="42"/>
    </row>
    <row r="221" spans="5:6" ht="12.75">
      <c r="E221" s="42"/>
      <c r="F221" s="42"/>
    </row>
    <row r="222" spans="5:6" ht="12.75">
      <c r="E222" s="42"/>
      <c r="F222" s="42"/>
    </row>
    <row r="223" spans="5:6" ht="12.75">
      <c r="E223" s="42"/>
      <c r="F223" s="42"/>
    </row>
    <row r="224" spans="5:6" ht="12.75">
      <c r="E224" s="42"/>
      <c r="F224" s="42"/>
    </row>
    <row r="225" spans="5:6" ht="12.75">
      <c r="E225" s="42"/>
      <c r="F225" s="42"/>
    </row>
    <row r="226" spans="5:6" ht="12.75">
      <c r="E226" s="42"/>
      <c r="F226" s="42"/>
    </row>
    <row r="227" spans="5:6" ht="12.75">
      <c r="E227" s="42"/>
      <c r="F227" s="42"/>
    </row>
    <row r="228" spans="5:6" ht="12.75">
      <c r="E228" s="42"/>
      <c r="F228" s="42"/>
    </row>
    <row r="229" spans="5:6" ht="12.75">
      <c r="E229" s="42"/>
      <c r="F229" s="42"/>
    </row>
    <row r="230" spans="5:6" ht="12.75">
      <c r="E230" s="42"/>
      <c r="F230" s="42"/>
    </row>
    <row r="231" spans="5:6" ht="12.75">
      <c r="E231" s="42"/>
      <c r="F231" s="42"/>
    </row>
    <row r="232" spans="5:6" ht="12.75">
      <c r="E232" s="42"/>
      <c r="F232" s="42"/>
    </row>
    <row r="233" spans="5:6" ht="12.75">
      <c r="E233" s="42"/>
      <c r="F233" s="42"/>
    </row>
    <row r="234" spans="5:6" ht="12.75">
      <c r="E234" s="42"/>
      <c r="F234" s="42"/>
    </row>
    <row r="235" spans="5:6" ht="12.75">
      <c r="E235" s="42"/>
      <c r="F235" s="42"/>
    </row>
    <row r="236" spans="5:6" ht="12.75">
      <c r="E236" s="42"/>
      <c r="F236" s="42"/>
    </row>
    <row r="237" spans="5:6" ht="12.75">
      <c r="E237" s="42"/>
      <c r="F237" s="42"/>
    </row>
    <row r="238" spans="5:6" ht="12.75">
      <c r="E238" s="42"/>
      <c r="F238" s="42"/>
    </row>
    <row r="239" spans="5:6" ht="12.75">
      <c r="E239" s="42"/>
      <c r="F239" s="42"/>
    </row>
    <row r="240" spans="5:6" ht="12.75">
      <c r="E240" s="42"/>
      <c r="F240" s="42"/>
    </row>
    <row r="241" spans="5:6" ht="12.75">
      <c r="E241" s="42"/>
      <c r="F241" s="42"/>
    </row>
    <row r="242" spans="5:6" ht="12.75">
      <c r="E242" s="42"/>
      <c r="F242" s="42"/>
    </row>
    <row r="243" spans="5:6" ht="12.75">
      <c r="E243" s="42"/>
      <c r="F243" s="42"/>
    </row>
    <row r="244" spans="5:6" ht="12.75">
      <c r="E244" s="42"/>
      <c r="F244" s="42"/>
    </row>
    <row r="245" spans="5:6" ht="12.75">
      <c r="E245" s="42"/>
      <c r="F245" s="42"/>
    </row>
    <row r="246" spans="5:6" ht="12.75">
      <c r="E246" s="42"/>
      <c r="F246" s="42"/>
    </row>
    <row r="247" spans="5:6" ht="12.75">
      <c r="E247" s="42"/>
      <c r="F247" s="42"/>
    </row>
    <row r="248" spans="5:6" ht="12.75">
      <c r="E248" s="42"/>
      <c r="F248" s="42"/>
    </row>
    <row r="249" spans="5:6" ht="12.75">
      <c r="E249" s="42"/>
      <c r="F249" s="42"/>
    </row>
    <row r="250" spans="5:6" ht="12.75">
      <c r="E250" s="42"/>
      <c r="F250" s="42"/>
    </row>
    <row r="251" spans="5:6" ht="12.75">
      <c r="E251" s="42"/>
      <c r="F251" s="42"/>
    </row>
    <row r="252" spans="5:6" ht="12.75">
      <c r="E252" s="42"/>
      <c r="F252" s="42"/>
    </row>
    <row r="253" spans="5:6" ht="12.75">
      <c r="E253" s="42"/>
      <c r="F253" s="42"/>
    </row>
    <row r="254" spans="5:6" ht="12.75">
      <c r="E254" s="42"/>
      <c r="F254" s="42"/>
    </row>
    <row r="255" spans="5:6" ht="12.75">
      <c r="E255" s="42"/>
      <c r="F255" s="42"/>
    </row>
    <row r="256" spans="5:6" ht="12.75">
      <c r="E256" s="42"/>
      <c r="F256" s="42"/>
    </row>
    <row r="257" spans="5:6" ht="12.75">
      <c r="E257" s="42"/>
      <c r="F257" s="42"/>
    </row>
    <row r="258" spans="5:6" ht="12.75">
      <c r="E258" s="42"/>
      <c r="F258" s="42"/>
    </row>
    <row r="259" spans="5:6" ht="12.75">
      <c r="E259" s="42"/>
      <c r="F259" s="42"/>
    </row>
    <row r="260" spans="5:6" ht="12.75">
      <c r="E260" s="42"/>
      <c r="F260" s="42"/>
    </row>
    <row r="261" spans="5:6" ht="12.75">
      <c r="E261" s="42"/>
      <c r="F261" s="42"/>
    </row>
    <row r="262" spans="5:6" ht="12.75">
      <c r="E262" s="42"/>
      <c r="F262" s="42"/>
    </row>
    <row r="263" spans="5:6" ht="12.75">
      <c r="E263" s="42"/>
      <c r="F263" s="42"/>
    </row>
    <row r="264" spans="5:6" ht="12.75">
      <c r="E264" s="42"/>
      <c r="F264" s="42"/>
    </row>
    <row r="265" spans="5:6" ht="12.75">
      <c r="E265" s="42"/>
      <c r="F265" s="42"/>
    </row>
    <row r="266" spans="5:6" ht="12.75">
      <c r="E266" s="42"/>
      <c r="F266" s="42"/>
    </row>
    <row r="267" spans="5:6" ht="12.75">
      <c r="E267" s="42"/>
      <c r="F267" s="42"/>
    </row>
    <row r="268" spans="5:6" ht="12.75">
      <c r="E268" s="42"/>
      <c r="F268" s="42"/>
    </row>
    <row r="269" spans="5:6" ht="12.75">
      <c r="E269" s="42"/>
      <c r="F269" s="42"/>
    </row>
    <row r="270" spans="5:6" ht="12.75">
      <c r="E270" s="42"/>
      <c r="F270" s="42"/>
    </row>
    <row r="271" spans="5:6" ht="12.75">
      <c r="E271" s="42"/>
      <c r="F271" s="42"/>
    </row>
    <row r="272" spans="5:6" ht="12.75">
      <c r="E272" s="42"/>
      <c r="F272" s="42"/>
    </row>
    <row r="273" spans="5:6" ht="12.75">
      <c r="E273" s="42"/>
      <c r="F273" s="42"/>
    </row>
    <row r="274" spans="5:6" ht="12.75">
      <c r="E274" s="42"/>
      <c r="F274" s="42"/>
    </row>
    <row r="275" spans="5:6" ht="12.75">
      <c r="E275" s="42"/>
      <c r="F275" s="42"/>
    </row>
    <row r="276" spans="5:6" ht="12.75">
      <c r="E276" s="42"/>
      <c r="F276" s="42"/>
    </row>
    <row r="277" spans="5:6" ht="12.75">
      <c r="E277" s="42"/>
      <c r="F277" s="42"/>
    </row>
    <row r="278" spans="5:6" ht="12.75">
      <c r="E278" s="42"/>
      <c r="F278" s="42"/>
    </row>
    <row r="279" spans="5:6" ht="12.75">
      <c r="E279" s="42"/>
      <c r="F279" s="42"/>
    </row>
    <row r="280" spans="5:6" ht="12.75">
      <c r="E280" s="42"/>
      <c r="F280" s="42"/>
    </row>
    <row r="281" spans="5:6" ht="12.75">
      <c r="E281" s="42"/>
      <c r="F281" s="42"/>
    </row>
    <row r="282" spans="5:6" ht="12.75">
      <c r="E282" s="42"/>
      <c r="F282" s="42"/>
    </row>
    <row r="283" spans="5:6" ht="12.75">
      <c r="E283" s="42"/>
      <c r="F283" s="42"/>
    </row>
    <row r="284" spans="5:6" ht="12.75">
      <c r="E284" s="42"/>
      <c r="F284" s="42"/>
    </row>
    <row r="285" spans="5:6" ht="12.75">
      <c r="E285" s="42"/>
      <c r="F285" s="42"/>
    </row>
    <row r="286" spans="5:6" ht="12.75">
      <c r="E286" s="42"/>
      <c r="F286" s="42"/>
    </row>
    <row r="287" spans="5:6" ht="12.75">
      <c r="E287" s="42"/>
      <c r="F287" s="42"/>
    </row>
    <row r="288" spans="5:6" ht="12.75">
      <c r="E288" s="42"/>
      <c r="F288" s="42"/>
    </row>
    <row r="289" spans="5:6" ht="12.75">
      <c r="E289" s="42"/>
      <c r="F289" s="42"/>
    </row>
    <row r="290" spans="5:6" ht="12.75">
      <c r="E290" s="42"/>
      <c r="F290" s="42"/>
    </row>
    <row r="291" spans="5:6" ht="12.75">
      <c r="E291" s="42"/>
      <c r="F291" s="42"/>
    </row>
    <row r="292" spans="5:6" ht="12.75">
      <c r="E292" s="42"/>
      <c r="F292" s="42"/>
    </row>
    <row r="293" spans="5:6" ht="12.75">
      <c r="E293" s="42"/>
      <c r="F293" s="42"/>
    </row>
    <row r="294" spans="5:6" ht="12.75">
      <c r="E294" s="42"/>
      <c r="F294" s="42"/>
    </row>
    <row r="295" spans="5:6" ht="12.75">
      <c r="E295" s="42"/>
      <c r="F295" s="42"/>
    </row>
    <row r="296" spans="5:6" ht="12.75">
      <c r="E296" s="42"/>
      <c r="F296" s="42"/>
    </row>
    <row r="297" spans="5:6" ht="12.75">
      <c r="E297" s="42"/>
      <c r="F297" s="42"/>
    </row>
    <row r="298" spans="5:6" ht="12.75">
      <c r="E298" s="42"/>
      <c r="F298" s="42"/>
    </row>
    <row r="299" spans="5:6" ht="12.75">
      <c r="E299" s="42"/>
      <c r="F299" s="42"/>
    </row>
    <row r="300" spans="5:6" ht="12.75">
      <c r="E300" s="42"/>
      <c r="F300" s="42"/>
    </row>
    <row r="301" spans="5:6" ht="12.75">
      <c r="E301" s="42"/>
      <c r="F301" s="42"/>
    </row>
    <row r="302" spans="5:6" ht="12.75">
      <c r="E302" s="42"/>
      <c r="F302" s="42"/>
    </row>
    <row r="303" spans="5:6" ht="12.75">
      <c r="E303" s="42"/>
      <c r="F303" s="42"/>
    </row>
    <row r="304" spans="5:6" ht="12.75">
      <c r="E304" s="42"/>
      <c r="F304" s="42"/>
    </row>
    <row r="305" spans="5:6" ht="12.75">
      <c r="E305" s="42"/>
      <c r="F305" s="42"/>
    </row>
    <row r="306" spans="5:6" ht="12.75">
      <c r="E306" s="42"/>
      <c r="F306" s="42"/>
    </row>
    <row r="307" spans="5:6" ht="12.75">
      <c r="E307" s="42"/>
      <c r="F307" s="42"/>
    </row>
    <row r="308" spans="5:6" ht="12.75">
      <c r="E308" s="42"/>
      <c r="F308" s="42"/>
    </row>
    <row r="309" spans="5:6" ht="12.75">
      <c r="E309" s="42"/>
      <c r="F309" s="42"/>
    </row>
    <row r="310" spans="5:6" ht="12.75">
      <c r="E310" s="42"/>
      <c r="F310" s="42"/>
    </row>
    <row r="311" spans="5:6" ht="12.75">
      <c r="E311" s="42"/>
      <c r="F311" s="42"/>
    </row>
    <row r="312" spans="5:6" ht="12.75">
      <c r="E312" s="42"/>
      <c r="F312" s="42"/>
    </row>
    <row r="313" spans="5:6" ht="12.75">
      <c r="E313" s="42"/>
      <c r="F313" s="42"/>
    </row>
    <row r="314" spans="5:6" ht="12.75">
      <c r="E314" s="42"/>
      <c r="F314" s="42"/>
    </row>
    <row r="315" spans="5:6" ht="12.75">
      <c r="E315" s="42"/>
      <c r="F315" s="42"/>
    </row>
    <row r="316" spans="5:6" ht="12.75">
      <c r="E316" s="42"/>
      <c r="F316" s="42"/>
    </row>
    <row r="317" spans="5:6" ht="12.75">
      <c r="E317" s="42"/>
      <c r="F317" s="42"/>
    </row>
    <row r="318" spans="5:6" ht="12.75">
      <c r="E318" s="42"/>
      <c r="F318" s="42"/>
    </row>
    <row r="319" spans="5:6" ht="12.75">
      <c r="E319" s="42"/>
      <c r="F319" s="42"/>
    </row>
    <row r="320" spans="5:6" ht="12.75">
      <c r="E320" s="42"/>
      <c r="F320" s="42"/>
    </row>
    <row r="321" spans="5:6" ht="12.75">
      <c r="E321" s="42"/>
      <c r="F321" s="42"/>
    </row>
    <row r="322" spans="5:6" ht="12.75">
      <c r="E322" s="42"/>
      <c r="F322" s="42"/>
    </row>
    <row r="323" spans="5:6" ht="12.75">
      <c r="E323" s="42"/>
      <c r="F323" s="42"/>
    </row>
  </sheetData>
  <mergeCells count="3">
    <mergeCell ref="H4:N4"/>
    <mergeCell ref="H5:N5"/>
    <mergeCell ref="H6:N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J61"/>
  <sheetViews>
    <sheetView workbookViewId="0" topLeftCell="F6">
      <selection activeCell="H13" sqref="H13"/>
    </sheetView>
  </sheetViews>
  <sheetFormatPr defaultColWidth="9.140625" defaultRowHeight="12.75"/>
  <cols>
    <col min="1" max="1" width="41.00390625" style="163" hidden="1" customWidth="1"/>
    <col min="2" max="2" width="12.28125" style="163" hidden="1" customWidth="1"/>
    <col min="3" max="3" width="13.00390625" style="163" hidden="1" customWidth="1"/>
    <col min="4" max="4" width="12.7109375" style="163" hidden="1" customWidth="1"/>
    <col min="5" max="5" width="12.140625" style="163" hidden="1" customWidth="1"/>
    <col min="6" max="6" width="41.421875" style="163" customWidth="1"/>
    <col min="7" max="7" width="13.421875" style="163" customWidth="1"/>
    <col min="8" max="8" width="15.00390625" style="163" customWidth="1"/>
    <col min="9" max="9" width="12.7109375" style="163" customWidth="1"/>
    <col min="10" max="10" width="13.00390625" style="163" customWidth="1"/>
    <col min="11" max="16384" width="9.140625" style="163" customWidth="1"/>
  </cols>
  <sheetData>
    <row r="1" spans="1:10" ht="17.25" customHeight="1">
      <c r="A1" s="3" t="s">
        <v>94</v>
      </c>
      <c r="B1" s="36"/>
      <c r="C1" s="36"/>
      <c r="D1" s="3"/>
      <c r="E1" s="163" t="s">
        <v>333</v>
      </c>
      <c r="F1" s="3" t="s">
        <v>94</v>
      </c>
      <c r="G1" s="36"/>
      <c r="H1" s="36"/>
      <c r="I1" s="3"/>
      <c r="J1" s="185" t="s">
        <v>333</v>
      </c>
    </row>
    <row r="2" spans="1:10" ht="1.5" customHeight="1" hidden="1">
      <c r="A2" s="162"/>
      <c r="B2" s="162"/>
      <c r="C2" s="162"/>
      <c r="E2" s="162"/>
      <c r="F2" s="162"/>
      <c r="G2" s="162"/>
      <c r="H2" s="162"/>
      <c r="J2" s="162"/>
    </row>
    <row r="3" spans="1:10" ht="15.75" customHeight="1">
      <c r="A3" s="162"/>
      <c r="B3" s="162"/>
      <c r="C3" s="162"/>
      <c r="E3" s="162"/>
      <c r="F3" s="162"/>
      <c r="G3" s="162"/>
      <c r="H3" s="162"/>
      <c r="J3" s="162"/>
    </row>
    <row r="4" spans="1:10" ht="20.25">
      <c r="A4" s="48" t="s">
        <v>334</v>
      </c>
      <c r="B4" s="186"/>
      <c r="C4" s="186"/>
      <c r="D4" s="186"/>
      <c r="E4" s="186"/>
      <c r="F4" s="48" t="s">
        <v>335</v>
      </c>
      <c r="G4" s="186"/>
      <c r="H4" s="186"/>
      <c r="I4" s="186"/>
      <c r="J4" s="186"/>
    </row>
    <row r="5" spans="1:10" ht="20.25">
      <c r="A5" s="212" t="s">
        <v>336</v>
      </c>
      <c r="B5" s="213"/>
      <c r="C5" s="213"/>
      <c r="D5" s="213"/>
      <c r="E5" s="213"/>
      <c r="F5" s="212" t="s">
        <v>336</v>
      </c>
      <c r="G5" s="213"/>
      <c r="H5" s="213"/>
      <c r="I5" s="213"/>
      <c r="J5" s="213"/>
    </row>
    <row r="6" spans="1:10" ht="12.75">
      <c r="A6" s="162"/>
      <c r="B6" s="162"/>
      <c r="C6" s="162"/>
      <c r="E6" s="162" t="s">
        <v>97</v>
      </c>
      <c r="F6" s="162"/>
      <c r="G6" s="162"/>
      <c r="H6" s="162"/>
      <c r="J6" s="187" t="s">
        <v>97</v>
      </c>
    </row>
    <row r="7" spans="1:10" ht="52.5" customHeight="1">
      <c r="A7" s="57" t="s">
        <v>5</v>
      </c>
      <c r="B7" s="57" t="s">
        <v>183</v>
      </c>
      <c r="C7" s="57" t="s">
        <v>7</v>
      </c>
      <c r="D7" s="57" t="s">
        <v>337</v>
      </c>
      <c r="E7" s="7" t="s">
        <v>338</v>
      </c>
      <c r="F7" s="57" t="s">
        <v>5</v>
      </c>
      <c r="G7" s="57" t="s">
        <v>339</v>
      </c>
      <c r="H7" s="57" t="s">
        <v>7</v>
      </c>
      <c r="I7" s="57" t="s">
        <v>337</v>
      </c>
      <c r="J7" s="7" t="s">
        <v>338</v>
      </c>
    </row>
    <row r="8" spans="1:10" ht="12.7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1</v>
      </c>
      <c r="G8" s="57">
        <v>2</v>
      </c>
      <c r="H8" s="57">
        <v>3</v>
      </c>
      <c r="I8" s="57">
        <v>4</v>
      </c>
      <c r="J8" s="57">
        <v>5</v>
      </c>
    </row>
    <row r="9" spans="1:10" ht="12.75">
      <c r="A9" s="155" t="s">
        <v>340</v>
      </c>
      <c r="B9" s="188">
        <f>SUM(B10:B11)</f>
        <v>0</v>
      </c>
      <c r="C9" s="188">
        <f>SUM(C10:C11)</f>
        <v>1445431</v>
      </c>
      <c r="D9" s="39" t="str">
        <f>IF(ISERROR(C9/B9)," ",(C9/B9))</f>
        <v> </v>
      </c>
      <c r="E9" s="188">
        <f>SUM(E10:E11)</f>
        <v>-372982</v>
      </c>
      <c r="F9" s="155" t="s">
        <v>340</v>
      </c>
      <c r="G9" s="214">
        <v>0</v>
      </c>
      <c r="H9" s="215">
        <v>1445</v>
      </c>
      <c r="I9" s="216" t="s">
        <v>92</v>
      </c>
      <c r="J9" s="214">
        <v>-374</v>
      </c>
    </row>
    <row r="10" spans="1:10" ht="17.25" customHeight="1">
      <c r="A10" s="77" t="s">
        <v>341</v>
      </c>
      <c r="B10" s="191"/>
      <c r="C10" s="191">
        <f>1134573</f>
        <v>1134573</v>
      </c>
      <c r="D10" s="217" t="str">
        <f aca="true" t="shared" si="0" ref="D10:D15">IF(ISERROR(C10/B10)," ",(C10/B10))</f>
        <v> </v>
      </c>
      <c r="E10" s="191">
        <f>C10-'[7]Marts'!C10</f>
        <v>155970</v>
      </c>
      <c r="F10" s="77" t="s">
        <v>341</v>
      </c>
      <c r="G10" s="57" t="s">
        <v>195</v>
      </c>
      <c r="H10" s="191">
        <v>1135</v>
      </c>
      <c r="I10" s="218" t="s">
        <v>92</v>
      </c>
      <c r="J10" s="191">
        <v>156</v>
      </c>
    </row>
    <row r="11" spans="1:10" ht="17.25" customHeight="1">
      <c r="A11" s="77" t="s">
        <v>342</v>
      </c>
      <c r="B11" s="191"/>
      <c r="C11" s="191">
        <f>19413+291445</f>
        <v>310858</v>
      </c>
      <c r="D11" s="217" t="str">
        <f t="shared" si="0"/>
        <v> </v>
      </c>
      <c r="E11" s="191">
        <f>C11-'[7]Marts'!C11</f>
        <v>-528952</v>
      </c>
      <c r="F11" s="77" t="s">
        <v>342</v>
      </c>
      <c r="G11" s="57" t="s">
        <v>195</v>
      </c>
      <c r="H11" s="191">
        <v>310</v>
      </c>
      <c r="I11" s="218" t="s">
        <v>92</v>
      </c>
      <c r="J11" s="191">
        <v>-530</v>
      </c>
    </row>
    <row r="12" spans="1:10" ht="12.75">
      <c r="A12" s="155" t="s">
        <v>343</v>
      </c>
      <c r="B12" s="59">
        <f>SUM(B13,B30)</f>
        <v>0</v>
      </c>
      <c r="C12" s="59">
        <f>SUM(C13,C30)</f>
        <v>2523816</v>
      </c>
      <c r="D12" s="39" t="str">
        <f t="shared" si="0"/>
        <v> </v>
      </c>
      <c r="E12" s="59">
        <f>SUM(E13,E30)</f>
        <v>869156</v>
      </c>
      <c r="F12" s="155" t="s">
        <v>343</v>
      </c>
      <c r="G12" s="64">
        <v>0</v>
      </c>
      <c r="H12" s="64">
        <v>2524</v>
      </c>
      <c r="I12" s="216" t="s">
        <v>92</v>
      </c>
      <c r="J12" s="64">
        <v>869</v>
      </c>
    </row>
    <row r="13" spans="1:10" ht="16.5" customHeight="1">
      <c r="A13" s="63" t="s">
        <v>314</v>
      </c>
      <c r="B13" s="59">
        <f>SUM(B14,B21,B24)</f>
        <v>0</v>
      </c>
      <c r="C13" s="59">
        <f>SUM(C14,C21,C24)</f>
        <v>2370260</v>
      </c>
      <c r="D13" s="39" t="str">
        <f t="shared" si="0"/>
        <v> </v>
      </c>
      <c r="E13" s="59">
        <f>SUM(E14,E21,E24)</f>
        <v>829272</v>
      </c>
      <c r="F13" s="63" t="s">
        <v>314</v>
      </c>
      <c r="G13" s="64">
        <v>0</v>
      </c>
      <c r="H13" s="64">
        <v>2370</v>
      </c>
      <c r="I13" s="216" t="s">
        <v>92</v>
      </c>
      <c r="J13" s="64">
        <v>829</v>
      </c>
    </row>
    <row r="14" spans="1:10" ht="12.75">
      <c r="A14" s="67" t="s">
        <v>192</v>
      </c>
      <c r="B14" s="68"/>
      <c r="C14" s="219">
        <f>SUM(C15,C16,C17,C20)</f>
        <v>2240235</v>
      </c>
      <c r="D14" s="39" t="str">
        <f t="shared" si="0"/>
        <v> </v>
      </c>
      <c r="E14" s="219">
        <f>SUM(E15,E16,E17,E20)</f>
        <v>802228</v>
      </c>
      <c r="F14" s="67" t="s">
        <v>192</v>
      </c>
      <c r="G14" s="220">
        <v>0</v>
      </c>
      <c r="H14" s="221">
        <v>2241</v>
      </c>
      <c r="I14" s="218" t="s">
        <v>92</v>
      </c>
      <c r="J14" s="221">
        <v>803</v>
      </c>
    </row>
    <row r="15" spans="1:10" ht="12.75">
      <c r="A15" s="130" t="s">
        <v>193</v>
      </c>
      <c r="B15" s="71"/>
      <c r="C15" s="71">
        <v>114446</v>
      </c>
      <c r="D15" s="40" t="str">
        <f t="shared" si="0"/>
        <v> </v>
      </c>
      <c r="E15" s="191">
        <f>C15-'[7]Marts'!C15</f>
        <v>39195</v>
      </c>
      <c r="F15" s="130" t="s">
        <v>193</v>
      </c>
      <c r="G15" s="191">
        <v>0</v>
      </c>
      <c r="H15" s="191">
        <v>114</v>
      </c>
      <c r="I15" s="218" t="s">
        <v>92</v>
      </c>
      <c r="J15" s="191">
        <v>39</v>
      </c>
    </row>
    <row r="16" spans="1:10" ht="12.75">
      <c r="A16" s="77" t="s">
        <v>344</v>
      </c>
      <c r="B16" s="136" t="s">
        <v>195</v>
      </c>
      <c r="C16" s="71">
        <v>34748</v>
      </c>
      <c r="D16" s="136" t="s">
        <v>195</v>
      </c>
      <c r="E16" s="191">
        <f>C16-'[7]Marts'!C16</f>
        <v>14146</v>
      </c>
      <c r="F16" s="77" t="s">
        <v>344</v>
      </c>
      <c r="G16" s="136" t="s">
        <v>195</v>
      </c>
      <c r="H16" s="191">
        <v>35</v>
      </c>
      <c r="I16" s="136" t="s">
        <v>195</v>
      </c>
      <c r="J16" s="191">
        <v>14</v>
      </c>
    </row>
    <row r="17" spans="1:10" ht="12.75">
      <c r="A17" s="77" t="s">
        <v>196</v>
      </c>
      <c r="B17" s="136" t="s">
        <v>195</v>
      </c>
      <c r="C17" s="71">
        <f>SUM(C18:C19)</f>
        <v>2091041</v>
      </c>
      <c r="D17" s="136" t="s">
        <v>195</v>
      </c>
      <c r="E17" s="107">
        <f>SUM(E18:E19)</f>
        <v>748887</v>
      </c>
      <c r="F17" s="77" t="s">
        <v>196</v>
      </c>
      <c r="G17" s="136" t="s">
        <v>195</v>
      </c>
      <c r="H17" s="107">
        <v>2092</v>
      </c>
      <c r="I17" s="136" t="s">
        <v>195</v>
      </c>
      <c r="J17" s="107">
        <v>750</v>
      </c>
    </row>
    <row r="18" spans="1:10" s="223" customFormat="1" ht="12.75">
      <c r="A18" s="78" t="s">
        <v>315</v>
      </c>
      <c r="B18" s="140" t="s">
        <v>195</v>
      </c>
      <c r="C18" s="79">
        <f>54884+1373290+350506+109826</f>
        <v>1888506</v>
      </c>
      <c r="D18" s="140" t="s">
        <v>195</v>
      </c>
      <c r="E18" s="222">
        <f>C18-'[7]Marts'!C18</f>
        <v>699228</v>
      </c>
      <c r="F18" s="78" t="s">
        <v>315</v>
      </c>
      <c r="G18" s="140" t="s">
        <v>195</v>
      </c>
      <c r="H18" s="222">
        <v>1889</v>
      </c>
      <c r="I18" s="140" t="s">
        <v>195</v>
      </c>
      <c r="J18" s="222">
        <v>700</v>
      </c>
    </row>
    <row r="19" spans="1:10" s="223" customFormat="1" ht="12.75">
      <c r="A19" s="78" t="s">
        <v>345</v>
      </c>
      <c r="B19" s="140" t="s">
        <v>195</v>
      </c>
      <c r="C19" s="79">
        <f>48376+20254+132044+1861</f>
        <v>202535</v>
      </c>
      <c r="D19" s="140" t="s">
        <v>195</v>
      </c>
      <c r="E19" s="222">
        <f>C19-'[7]Marts'!C19</f>
        <v>49659</v>
      </c>
      <c r="F19" s="78" t="s">
        <v>345</v>
      </c>
      <c r="G19" s="140" t="s">
        <v>195</v>
      </c>
      <c r="H19" s="222">
        <v>203</v>
      </c>
      <c r="I19" s="140" t="s">
        <v>195</v>
      </c>
      <c r="J19" s="222">
        <v>50</v>
      </c>
    </row>
    <row r="20" spans="1:10" ht="12.75">
      <c r="A20" s="77" t="s">
        <v>318</v>
      </c>
      <c r="B20" s="136" t="s">
        <v>195</v>
      </c>
      <c r="C20" s="71"/>
      <c r="D20" s="136" t="s">
        <v>195</v>
      </c>
      <c r="E20" s="191">
        <f>C20-'[7]Marts'!C20</f>
        <v>0</v>
      </c>
      <c r="F20" s="77" t="s">
        <v>318</v>
      </c>
      <c r="G20" s="136" t="s">
        <v>195</v>
      </c>
      <c r="H20" s="191">
        <v>0</v>
      </c>
      <c r="I20" s="136" t="s">
        <v>195</v>
      </c>
      <c r="J20" s="191">
        <v>0</v>
      </c>
    </row>
    <row r="21" spans="1:10" ht="12.75">
      <c r="A21" s="76" t="s">
        <v>202</v>
      </c>
      <c r="B21" s="136"/>
      <c r="C21" s="219">
        <f>SUM(C22:C23)</f>
        <v>99452</v>
      </c>
      <c r="D21" s="39" t="str">
        <f>IF(ISERROR(C21/B21)," ",(C21/B21))</f>
        <v> </v>
      </c>
      <c r="E21" s="219">
        <f>SUM(E22:E23)</f>
        <v>13835</v>
      </c>
      <c r="F21" s="76" t="s">
        <v>202</v>
      </c>
      <c r="G21" s="136"/>
      <c r="H21" s="221">
        <v>99</v>
      </c>
      <c r="I21" s="218" t="s">
        <v>92</v>
      </c>
      <c r="J21" s="221">
        <v>13</v>
      </c>
    </row>
    <row r="22" spans="1:10" ht="12.75">
      <c r="A22" s="77" t="s">
        <v>346</v>
      </c>
      <c r="B22" s="136" t="s">
        <v>195</v>
      </c>
      <c r="C22" s="71">
        <v>99452</v>
      </c>
      <c r="D22" s="136" t="s">
        <v>195</v>
      </c>
      <c r="E22" s="191">
        <f>C22-'[7]Marts'!C22</f>
        <v>13835</v>
      </c>
      <c r="F22" s="77" t="s">
        <v>346</v>
      </c>
      <c r="G22" s="136" t="s">
        <v>195</v>
      </c>
      <c r="H22" s="191">
        <v>99</v>
      </c>
      <c r="I22" s="136" t="s">
        <v>195</v>
      </c>
      <c r="J22" s="191">
        <v>13</v>
      </c>
    </row>
    <row r="23" spans="1:10" ht="12.75">
      <c r="A23" s="77" t="s">
        <v>347</v>
      </c>
      <c r="B23" s="136" t="s">
        <v>195</v>
      </c>
      <c r="C23" s="71"/>
      <c r="D23" s="136" t="s">
        <v>195</v>
      </c>
      <c r="E23" s="191">
        <f>C23-'[7]Marts'!C23</f>
        <v>0</v>
      </c>
      <c r="F23" s="77" t="s">
        <v>347</v>
      </c>
      <c r="G23" s="136" t="s">
        <v>195</v>
      </c>
      <c r="H23" s="191">
        <v>0</v>
      </c>
      <c r="I23" s="136" t="s">
        <v>195</v>
      </c>
      <c r="J23" s="191">
        <v>0</v>
      </c>
    </row>
    <row r="24" spans="1:10" ht="17.25" customHeight="1">
      <c r="A24" s="195" t="s">
        <v>206</v>
      </c>
      <c r="B24" s="71"/>
      <c r="C24" s="219">
        <f>SUM(C25:C29)</f>
        <v>30573</v>
      </c>
      <c r="D24" s="39" t="str">
        <f>IF(ISERROR(C24/B24)," ",(C24/B24))</f>
        <v> </v>
      </c>
      <c r="E24" s="219">
        <f>SUM(E25:E29)</f>
        <v>13209</v>
      </c>
      <c r="F24" s="195" t="s">
        <v>206</v>
      </c>
      <c r="G24" s="136"/>
      <c r="H24" s="221">
        <v>30</v>
      </c>
      <c r="I24" s="218" t="s">
        <v>92</v>
      </c>
      <c r="J24" s="221">
        <v>13</v>
      </c>
    </row>
    <row r="25" spans="1:10" ht="15.75" customHeight="1">
      <c r="A25" s="130" t="s">
        <v>207</v>
      </c>
      <c r="B25" s="136" t="s">
        <v>195</v>
      </c>
      <c r="C25" s="71">
        <f>3298+323</f>
        <v>3621</v>
      </c>
      <c r="D25" s="136" t="s">
        <v>195</v>
      </c>
      <c r="E25" s="191">
        <f>C25-'[7]Marts'!C25</f>
        <v>182</v>
      </c>
      <c r="F25" s="130" t="s">
        <v>207</v>
      </c>
      <c r="G25" s="136" t="s">
        <v>195</v>
      </c>
      <c r="H25" s="191">
        <v>4</v>
      </c>
      <c r="I25" s="136" t="s">
        <v>195</v>
      </c>
      <c r="J25" s="191">
        <v>1</v>
      </c>
    </row>
    <row r="26" spans="1:10" ht="15.75" customHeight="1">
      <c r="A26" s="130" t="s">
        <v>208</v>
      </c>
      <c r="B26" s="136" t="s">
        <v>195</v>
      </c>
      <c r="C26" s="71"/>
      <c r="D26" s="136" t="s">
        <v>195</v>
      </c>
      <c r="E26" s="191">
        <f>C26-'[7]Marts'!C26</f>
        <v>0</v>
      </c>
      <c r="F26" s="130" t="s">
        <v>208</v>
      </c>
      <c r="G26" s="136" t="s">
        <v>195</v>
      </c>
      <c r="H26" s="191">
        <v>0</v>
      </c>
      <c r="I26" s="136" t="s">
        <v>195</v>
      </c>
      <c r="J26" s="191">
        <v>0</v>
      </c>
    </row>
    <row r="27" spans="1:10" ht="16.5" customHeight="1">
      <c r="A27" s="77" t="s">
        <v>209</v>
      </c>
      <c r="B27" s="136" t="s">
        <v>195</v>
      </c>
      <c r="C27" s="71"/>
      <c r="D27" s="136" t="s">
        <v>195</v>
      </c>
      <c r="E27" s="191">
        <f>C27-'[7]Marts'!C27</f>
        <v>0</v>
      </c>
      <c r="F27" s="77" t="s">
        <v>209</v>
      </c>
      <c r="G27" s="136" t="s">
        <v>195</v>
      </c>
      <c r="H27" s="191">
        <v>0</v>
      </c>
      <c r="I27" s="136" t="s">
        <v>195</v>
      </c>
      <c r="J27" s="191">
        <v>0</v>
      </c>
    </row>
    <row r="28" spans="1:10" ht="12.75">
      <c r="A28" s="77" t="s">
        <v>348</v>
      </c>
      <c r="B28" s="136" t="s">
        <v>195</v>
      </c>
      <c r="C28" s="71">
        <v>3475</v>
      </c>
      <c r="D28" s="136" t="s">
        <v>195</v>
      </c>
      <c r="E28" s="191">
        <f>C28-'[7]Marts'!C28</f>
        <v>3370</v>
      </c>
      <c r="F28" s="77" t="s">
        <v>348</v>
      </c>
      <c r="G28" s="136" t="s">
        <v>195</v>
      </c>
      <c r="H28" s="191">
        <v>3</v>
      </c>
      <c r="I28" s="136" t="s">
        <v>195</v>
      </c>
      <c r="J28" s="191">
        <v>3</v>
      </c>
    </row>
    <row r="29" spans="1:10" ht="15" customHeight="1">
      <c r="A29" s="77" t="s">
        <v>215</v>
      </c>
      <c r="B29" s="136" t="s">
        <v>195</v>
      </c>
      <c r="C29" s="71">
        <v>23477</v>
      </c>
      <c r="D29" s="136" t="s">
        <v>195</v>
      </c>
      <c r="E29" s="191">
        <f>C29-'[7]Marts'!C29</f>
        <v>9657</v>
      </c>
      <c r="F29" s="77" t="s">
        <v>215</v>
      </c>
      <c r="G29" s="136" t="s">
        <v>195</v>
      </c>
      <c r="H29" s="191">
        <v>23</v>
      </c>
      <c r="I29" s="136" t="s">
        <v>195</v>
      </c>
      <c r="J29" s="191">
        <v>9</v>
      </c>
    </row>
    <row r="30" spans="1:10" ht="19.5" customHeight="1">
      <c r="A30" s="83" t="s">
        <v>349</v>
      </c>
      <c r="B30" s="102">
        <f>SUM(B31:B32)</f>
        <v>0</v>
      </c>
      <c r="C30" s="102">
        <f>SUM(C31:C32)</f>
        <v>153556</v>
      </c>
      <c r="D30" s="39" t="str">
        <f>IF(ISERROR(C30/B30)," ",(C30/B30))</f>
        <v> </v>
      </c>
      <c r="E30" s="102">
        <f>SUM(E31:E32)</f>
        <v>39884</v>
      </c>
      <c r="F30" s="83" t="s">
        <v>349</v>
      </c>
      <c r="G30" s="219">
        <v>0</v>
      </c>
      <c r="H30" s="219">
        <v>154</v>
      </c>
      <c r="I30" s="216" t="s">
        <v>92</v>
      </c>
      <c r="J30" s="219">
        <v>40</v>
      </c>
    </row>
    <row r="31" spans="1:10" ht="18.75" customHeight="1">
      <c r="A31" s="77" t="s">
        <v>226</v>
      </c>
      <c r="B31" s="71"/>
      <c r="C31" s="71">
        <f>6593+144153+2810</f>
        <v>153556</v>
      </c>
      <c r="D31" s="40" t="str">
        <f>IF(ISERROR(C31/B31)," ",(C31/B31))</f>
        <v> </v>
      </c>
      <c r="E31" s="191">
        <f>C31-'[7]Marts'!C31</f>
        <v>39884</v>
      </c>
      <c r="F31" s="77" t="s">
        <v>226</v>
      </c>
      <c r="G31" s="191">
        <v>0</v>
      </c>
      <c r="H31" s="191">
        <v>154</v>
      </c>
      <c r="I31" s="218" t="s">
        <v>92</v>
      </c>
      <c r="J31" s="191">
        <v>40</v>
      </c>
    </row>
    <row r="32" spans="1:10" ht="18" customHeight="1">
      <c r="A32" s="77" t="s">
        <v>227</v>
      </c>
      <c r="B32" s="71"/>
      <c r="C32" s="79"/>
      <c r="D32" s="40" t="str">
        <f>IF(ISERROR(C32/B32)," ",(C32/B32))</f>
        <v> </v>
      </c>
      <c r="E32" s="191">
        <f>C32-'[7]Marts'!C32</f>
        <v>0</v>
      </c>
      <c r="F32" s="77" t="s">
        <v>227</v>
      </c>
      <c r="G32" s="191">
        <v>0</v>
      </c>
      <c r="H32" s="191">
        <v>0</v>
      </c>
      <c r="I32" s="218" t="s">
        <v>92</v>
      </c>
      <c r="J32" s="191">
        <v>0</v>
      </c>
    </row>
    <row r="33" spans="1:10" s="170" customFormat="1" ht="15.75" customHeight="1">
      <c r="A33" s="83" t="s">
        <v>350</v>
      </c>
      <c r="B33" s="71"/>
      <c r="C33" s="59">
        <f>SUM(C9-C12)</f>
        <v>-1078385</v>
      </c>
      <c r="D33" s="136" t="s">
        <v>195</v>
      </c>
      <c r="E33" s="136" t="s">
        <v>195</v>
      </c>
      <c r="F33" s="83" t="s">
        <v>350</v>
      </c>
      <c r="G33" s="199"/>
      <c r="H33" s="219">
        <v>-1079</v>
      </c>
      <c r="I33" s="136" t="s">
        <v>195</v>
      </c>
      <c r="J33" s="136" t="s">
        <v>195</v>
      </c>
    </row>
    <row r="34" spans="1:10" s="170" customFormat="1" ht="16.5" customHeight="1">
      <c r="A34" s="83" t="s">
        <v>330</v>
      </c>
      <c r="B34" s="71"/>
      <c r="C34" s="71">
        <v>1078385</v>
      </c>
      <c r="D34" s="136" t="s">
        <v>195</v>
      </c>
      <c r="E34" s="136" t="s">
        <v>195</v>
      </c>
      <c r="F34" s="83" t="s">
        <v>330</v>
      </c>
      <c r="G34" s="224"/>
      <c r="H34" s="219">
        <v>1079</v>
      </c>
      <c r="I34" s="136" t="s">
        <v>195</v>
      </c>
      <c r="J34" s="136" t="s">
        <v>195</v>
      </c>
    </row>
    <row r="35" spans="1:10" s="170" customFormat="1" ht="26.25" customHeight="1">
      <c r="A35" s="114" t="s">
        <v>351</v>
      </c>
      <c r="B35" s="71"/>
      <c r="C35" s="71">
        <v>1078385</v>
      </c>
      <c r="D35" s="136" t="s">
        <v>195</v>
      </c>
      <c r="E35" s="136" t="s">
        <v>195</v>
      </c>
      <c r="F35" s="114" t="s">
        <v>351</v>
      </c>
      <c r="G35" s="71"/>
      <c r="H35" s="191">
        <v>1079</v>
      </c>
      <c r="I35" s="136" t="s">
        <v>195</v>
      </c>
      <c r="J35" s="136" t="s">
        <v>195</v>
      </c>
    </row>
    <row r="36" spans="1:10" s="33" customFormat="1" ht="16.5" customHeight="1">
      <c r="A36" s="84"/>
      <c r="B36" s="85"/>
      <c r="C36" s="225"/>
      <c r="D36" s="225"/>
      <c r="E36" s="225"/>
      <c r="F36" s="84"/>
      <c r="G36" s="85"/>
      <c r="H36" s="225"/>
      <c r="I36" s="225"/>
      <c r="J36" s="225"/>
    </row>
    <row r="37" spans="1:10" s="33" customFormat="1" ht="16.5" customHeight="1">
      <c r="A37" s="84"/>
      <c r="B37" s="85"/>
      <c r="C37" s="225"/>
      <c r="D37" s="225"/>
      <c r="E37" s="225"/>
      <c r="F37" s="84" t="s">
        <v>352</v>
      </c>
      <c r="G37" s="85"/>
      <c r="H37" s="225"/>
      <c r="I37" s="225"/>
      <c r="J37" s="225"/>
    </row>
    <row r="38" spans="1:10" s="33" customFormat="1" ht="16.5" customHeight="1">
      <c r="A38" s="84"/>
      <c r="B38" s="85"/>
      <c r="C38" s="225"/>
      <c r="D38" s="225"/>
      <c r="E38" s="225"/>
      <c r="F38" s="84"/>
      <c r="G38" s="85"/>
      <c r="H38" s="225"/>
      <c r="I38" s="225"/>
      <c r="J38" s="225"/>
    </row>
    <row r="39" spans="1:10" s="33" customFormat="1" ht="16.5" customHeight="1">
      <c r="A39" s="84"/>
      <c r="B39" s="85"/>
      <c r="C39" s="225"/>
      <c r="D39" s="225"/>
      <c r="E39" s="225"/>
      <c r="F39" s="84"/>
      <c r="G39" s="85"/>
      <c r="H39" s="225"/>
      <c r="I39" s="225"/>
      <c r="J39" s="225"/>
    </row>
    <row r="40" spans="1:10" s="33" customFormat="1" ht="16.5" customHeight="1">
      <c r="A40" s="84"/>
      <c r="B40" s="85"/>
      <c r="C40" s="225"/>
      <c r="D40" s="225"/>
      <c r="E40" s="225"/>
      <c r="F40" s="84"/>
      <c r="G40" s="85"/>
      <c r="H40" s="225"/>
      <c r="I40" s="225"/>
      <c r="J40" s="225"/>
    </row>
    <row r="41" spans="1:10" s="33" customFormat="1" ht="16.5" customHeight="1">
      <c r="A41" s="84"/>
      <c r="B41" s="85"/>
      <c r="C41" s="225"/>
      <c r="D41" s="225"/>
      <c r="E41" s="225"/>
      <c r="F41" s="84"/>
      <c r="G41" s="85"/>
      <c r="H41" s="225"/>
      <c r="I41" s="225"/>
      <c r="J41" s="225"/>
    </row>
    <row r="42" spans="1:10" ht="16.5" customHeight="1">
      <c r="A42" s="226"/>
      <c r="B42" s="85"/>
      <c r="C42" s="85"/>
      <c r="D42" s="227"/>
      <c r="E42" s="182"/>
      <c r="F42" s="226"/>
      <c r="G42" s="85"/>
      <c r="H42" s="85"/>
      <c r="I42" s="227"/>
      <c r="J42" s="182"/>
    </row>
    <row r="43" spans="1:10" ht="14.25">
      <c r="A43" s="228"/>
      <c r="B43" s="99"/>
      <c r="C43" s="99"/>
      <c r="D43" s="229"/>
      <c r="E43" s="183"/>
      <c r="F43" s="228"/>
      <c r="G43" s="99"/>
      <c r="H43" s="99"/>
      <c r="I43" s="229"/>
      <c r="J43" s="183"/>
    </row>
    <row r="44" spans="1:10" ht="12.75">
      <c r="A44" s="35" t="s">
        <v>233</v>
      </c>
      <c r="B44" s="91"/>
      <c r="C44" s="91"/>
      <c r="D44" s="161"/>
      <c r="E44" s="36"/>
      <c r="F44" s="35" t="s">
        <v>233</v>
      </c>
      <c r="G44" s="91"/>
      <c r="H44" s="91"/>
      <c r="I44" s="161"/>
      <c r="J44" s="36"/>
    </row>
    <row r="45" spans="1:10" ht="12.75">
      <c r="A45" s="183"/>
      <c r="B45" s="230"/>
      <c r="C45" s="97"/>
      <c r="D45" s="231"/>
      <c r="E45" s="162"/>
      <c r="F45" s="183"/>
      <c r="G45" s="230"/>
      <c r="H45" s="97"/>
      <c r="I45" s="231"/>
      <c r="J45" s="162"/>
    </row>
    <row r="46" spans="1:10" ht="12.75">
      <c r="A46" s="183"/>
      <c r="B46" s="230"/>
      <c r="C46" s="97"/>
      <c r="D46" s="231"/>
      <c r="E46" s="162"/>
      <c r="F46" s="183"/>
      <c r="G46" s="230"/>
      <c r="H46" s="97"/>
      <c r="I46" s="231"/>
      <c r="J46" s="162"/>
    </row>
    <row r="47" spans="1:10" ht="12.75">
      <c r="A47" s="183" t="s">
        <v>89</v>
      </c>
      <c r="B47" s="230"/>
      <c r="C47" s="97"/>
      <c r="D47" s="231"/>
      <c r="E47" s="162"/>
      <c r="F47" s="183" t="s">
        <v>89</v>
      </c>
      <c r="G47" s="230"/>
      <c r="H47" s="97"/>
      <c r="I47" s="231"/>
      <c r="J47" s="162"/>
    </row>
    <row r="48" spans="1:10" ht="12.75">
      <c r="A48" s="183" t="s">
        <v>90</v>
      </c>
      <c r="B48" s="230"/>
      <c r="C48" s="97"/>
      <c r="D48" s="231"/>
      <c r="E48" s="162"/>
      <c r="F48" s="183" t="s">
        <v>91</v>
      </c>
      <c r="G48" s="230"/>
      <c r="H48" s="97"/>
      <c r="I48" s="231"/>
      <c r="J48" s="162"/>
    </row>
    <row r="49" spans="1:10" ht="12.75">
      <c r="A49" s="183"/>
      <c r="B49" s="230"/>
      <c r="C49" s="97"/>
      <c r="D49" s="231"/>
      <c r="E49" s="162"/>
      <c r="F49" s="183"/>
      <c r="G49" s="230"/>
      <c r="H49" s="97"/>
      <c r="I49" s="231"/>
      <c r="J49" s="162"/>
    </row>
    <row r="50" spans="2:5" ht="12" customHeight="1">
      <c r="B50" s="162"/>
      <c r="D50" s="162"/>
      <c r="E50" s="162"/>
    </row>
    <row r="51" spans="1:5" ht="12.75">
      <c r="A51" s="162"/>
      <c r="B51" s="162"/>
      <c r="C51" s="162"/>
      <c r="D51" s="162"/>
      <c r="E51" s="162"/>
    </row>
    <row r="52" spans="1:5" ht="12.75">
      <c r="A52" s="162"/>
      <c r="B52" s="162"/>
      <c r="C52" s="162"/>
      <c r="D52" s="162"/>
      <c r="E52" s="162"/>
    </row>
    <row r="53" spans="1:5" ht="12.75">
      <c r="A53" s="162"/>
      <c r="B53" s="162"/>
      <c r="C53" s="162"/>
      <c r="D53" s="162"/>
      <c r="E53" s="162"/>
    </row>
    <row r="54" spans="1:5" ht="12.75">
      <c r="A54" s="162"/>
      <c r="B54" s="162"/>
      <c r="C54" s="162"/>
      <c r="D54" s="162"/>
      <c r="E54" s="162"/>
    </row>
    <row r="55" spans="1:5" ht="12.75">
      <c r="A55" s="162"/>
      <c r="B55" s="162"/>
      <c r="C55" s="162"/>
      <c r="D55" s="162"/>
      <c r="E55" s="162"/>
    </row>
    <row r="56" spans="1:5" ht="12.75">
      <c r="A56" s="162"/>
      <c r="B56" s="162"/>
      <c r="C56" s="162"/>
      <c r="D56" s="162"/>
      <c r="E56" s="162"/>
    </row>
    <row r="57" spans="1:5" ht="12.75">
      <c r="A57" s="162"/>
      <c r="B57" s="162"/>
      <c r="C57" s="162"/>
      <c r="D57" s="162"/>
      <c r="E57" s="162"/>
    </row>
    <row r="58" spans="1:5" ht="12.75">
      <c r="A58" s="162"/>
      <c r="B58" s="162"/>
      <c r="C58" s="162"/>
      <c r="D58" s="162"/>
      <c r="E58" s="162"/>
    </row>
    <row r="59" spans="1:5" ht="12.75">
      <c r="A59" s="162"/>
      <c r="B59" s="162"/>
      <c r="C59" s="162"/>
      <c r="D59" s="162"/>
      <c r="E59" s="162"/>
    </row>
    <row r="60" spans="1:5" ht="12.75">
      <c r="A60" s="162"/>
      <c r="B60" s="162"/>
      <c r="C60" s="162"/>
      <c r="D60" s="162"/>
      <c r="E60" s="162"/>
    </row>
    <row r="61" spans="1:5" ht="12.75">
      <c r="A61" s="162"/>
      <c r="B61" s="162"/>
      <c r="C61" s="162"/>
      <c r="D61" s="162"/>
      <c r="E61" s="16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J115"/>
  <sheetViews>
    <sheetView workbookViewId="0" topLeftCell="F1">
      <selection activeCell="H1" sqref="H1"/>
    </sheetView>
  </sheetViews>
  <sheetFormatPr defaultColWidth="9.140625" defaultRowHeight="12.75"/>
  <cols>
    <col min="1" max="1" width="50.421875" style="37" hidden="1" customWidth="1"/>
    <col min="2" max="2" width="9.7109375" style="37" hidden="1" customWidth="1"/>
    <col min="3" max="3" width="13.8515625" style="37" hidden="1" customWidth="1"/>
    <col min="4" max="4" width="13.7109375" style="37" hidden="1" customWidth="1"/>
    <col min="5" max="5" width="13.140625" style="37" hidden="1" customWidth="1"/>
    <col min="6" max="6" width="49.421875" style="37" customWidth="1"/>
    <col min="7" max="7" width="9.140625" style="37" customWidth="1"/>
    <col min="8" max="8" width="11.140625" style="37" customWidth="1"/>
    <col min="9" max="9" width="9.8515625" style="37" customWidth="1"/>
    <col min="10" max="10" width="9.57421875" style="37" customWidth="1"/>
    <col min="11" max="16384" width="9.140625" style="37" customWidth="1"/>
  </cols>
  <sheetData>
    <row r="1" spans="3:9" ht="12.75">
      <c r="C1" s="1"/>
      <c r="D1" s="1"/>
      <c r="H1" s="1"/>
      <c r="I1" s="1"/>
    </row>
    <row r="2" spans="1:10" ht="12.75">
      <c r="A2" s="1" t="s">
        <v>353</v>
      </c>
      <c r="C2" s="1"/>
      <c r="D2" s="1"/>
      <c r="E2" s="232" t="s">
        <v>354</v>
      </c>
      <c r="F2" s="1" t="s">
        <v>355</v>
      </c>
      <c r="H2" s="1"/>
      <c r="I2" s="1"/>
      <c r="J2" s="185" t="s">
        <v>354</v>
      </c>
    </row>
    <row r="3" spans="1:10" ht="15.75">
      <c r="A3" s="46" t="s">
        <v>356</v>
      </c>
      <c r="F3" s="281" t="s">
        <v>357</v>
      </c>
      <c r="G3" s="281"/>
      <c r="H3" s="281"/>
      <c r="I3" s="281"/>
      <c r="J3" s="281"/>
    </row>
    <row r="4" spans="1:10" ht="15.75">
      <c r="A4" s="46" t="s">
        <v>358</v>
      </c>
      <c r="F4" s="281"/>
      <c r="G4" s="281"/>
      <c r="H4" s="281"/>
      <c r="I4" s="281"/>
      <c r="J4" s="281"/>
    </row>
    <row r="8" spans="4:10" ht="12.75">
      <c r="D8" s="1"/>
      <c r="E8" s="35" t="s">
        <v>97</v>
      </c>
      <c r="I8" s="1"/>
      <c r="J8" s="233" t="s">
        <v>97</v>
      </c>
    </row>
    <row r="9" spans="1:10" ht="48">
      <c r="A9" s="235" t="s">
        <v>5</v>
      </c>
      <c r="B9" s="236" t="s">
        <v>359</v>
      </c>
      <c r="C9" s="236" t="s">
        <v>6</v>
      </c>
      <c r="D9" s="236" t="s">
        <v>7</v>
      </c>
      <c r="E9" s="236" t="s">
        <v>360</v>
      </c>
      <c r="F9" s="235" t="s">
        <v>5</v>
      </c>
      <c r="G9" s="236" t="s">
        <v>359</v>
      </c>
      <c r="H9" s="236" t="s">
        <v>6</v>
      </c>
      <c r="I9" s="236" t="s">
        <v>7</v>
      </c>
      <c r="J9" s="236" t="s">
        <v>360</v>
      </c>
    </row>
    <row r="10" spans="1:10" ht="12">
      <c r="A10" s="54">
        <v>1</v>
      </c>
      <c r="B10" s="54">
        <v>2</v>
      </c>
      <c r="C10" s="7">
        <v>3</v>
      </c>
      <c r="D10" s="7">
        <v>4</v>
      </c>
      <c r="E10" s="7">
        <v>5</v>
      </c>
      <c r="F10" s="54">
        <v>1</v>
      </c>
      <c r="G10" s="54">
        <v>2</v>
      </c>
      <c r="H10" s="7">
        <v>3</v>
      </c>
      <c r="I10" s="7">
        <v>4</v>
      </c>
      <c r="J10" s="7">
        <v>5</v>
      </c>
    </row>
    <row r="11" spans="1:10" ht="17.25" customHeight="1">
      <c r="A11" s="237" t="s">
        <v>241</v>
      </c>
      <c r="B11" s="132"/>
      <c r="C11" s="109">
        <f>SUM(C12:C25)</f>
        <v>817210996</v>
      </c>
      <c r="D11" s="109">
        <f>SUM(D12:D25)</f>
        <v>227524403</v>
      </c>
      <c r="E11" s="238">
        <f>IF(ISERROR(D11/C11)," ",(D11/C11))</f>
        <v>0.278415738546915</v>
      </c>
      <c r="F11" s="237" t="s">
        <v>241</v>
      </c>
      <c r="G11" s="132"/>
      <c r="H11" s="64">
        <v>817211</v>
      </c>
      <c r="I11" s="64">
        <v>227524</v>
      </c>
      <c r="J11" s="239">
        <v>0.27841524404346</v>
      </c>
    </row>
    <row r="12" spans="1:10" ht="16.5" customHeight="1">
      <c r="A12" s="167" t="s">
        <v>361</v>
      </c>
      <c r="B12" s="240">
        <v>1</v>
      </c>
      <c r="C12" s="241">
        <v>80766282</v>
      </c>
      <c r="D12" s="241">
        <f>25223824+807000+7141</f>
        <v>26037965</v>
      </c>
      <c r="E12" s="242">
        <f aca="true" t="shared" si="0" ref="E12:E25">IF(ISERROR(D12/C12)," ",(D12/C12))</f>
        <v>0.32238657463519244</v>
      </c>
      <c r="F12" s="130" t="s">
        <v>361</v>
      </c>
      <c r="G12" s="243">
        <v>1</v>
      </c>
      <c r="H12" s="71">
        <v>80766</v>
      </c>
      <c r="I12" s="71">
        <v>26038</v>
      </c>
      <c r="J12" s="242">
        <v>0.32238813362058294</v>
      </c>
    </row>
    <row r="13" spans="1:10" ht="18.75" customHeight="1">
      <c r="A13" s="19" t="s">
        <v>362</v>
      </c>
      <c r="B13" s="240">
        <v>2</v>
      </c>
      <c r="C13" s="241">
        <v>35036177</v>
      </c>
      <c r="D13" s="241">
        <v>10271471</v>
      </c>
      <c r="E13" s="242">
        <f t="shared" si="0"/>
        <v>0.2931675736196903</v>
      </c>
      <c r="F13" s="18" t="s">
        <v>362</v>
      </c>
      <c r="G13" s="243">
        <v>2</v>
      </c>
      <c r="H13" s="71">
        <v>35036</v>
      </c>
      <c r="I13" s="71">
        <v>10271</v>
      </c>
      <c r="J13" s="242">
        <v>0.2931556113711611</v>
      </c>
    </row>
    <row r="14" spans="1:10" ht="17.25" customHeight="1">
      <c r="A14" s="19" t="s">
        <v>363</v>
      </c>
      <c r="B14" s="240">
        <v>3</v>
      </c>
      <c r="C14" s="241">
        <v>111621455</v>
      </c>
      <c r="D14" s="241">
        <f>29061973+13054</f>
        <v>29075027</v>
      </c>
      <c r="E14" s="242">
        <f t="shared" si="0"/>
        <v>0.2604788389472257</v>
      </c>
      <c r="F14" s="18" t="s">
        <v>363</v>
      </c>
      <c r="G14" s="243">
        <v>3</v>
      </c>
      <c r="H14" s="71">
        <v>111621</v>
      </c>
      <c r="I14" s="71">
        <v>29075</v>
      </c>
      <c r="J14" s="242">
        <v>0.26047965884555774</v>
      </c>
    </row>
    <row r="15" spans="1:10" ht="18" customHeight="1">
      <c r="A15" s="19" t="s">
        <v>364</v>
      </c>
      <c r="B15" s="240">
        <v>4</v>
      </c>
      <c r="C15" s="241">
        <v>81735220</v>
      </c>
      <c r="D15" s="241">
        <f>25709414+13913-704268</f>
        <v>25019059</v>
      </c>
      <c r="E15" s="242">
        <f t="shared" si="0"/>
        <v>0.3060988763473078</v>
      </c>
      <c r="F15" s="18" t="s">
        <v>364</v>
      </c>
      <c r="G15" s="243">
        <v>4</v>
      </c>
      <c r="H15" s="71">
        <v>81735</v>
      </c>
      <c r="I15" s="71">
        <v>25019</v>
      </c>
      <c r="J15" s="242">
        <v>0.3060989784058237</v>
      </c>
    </row>
    <row r="16" spans="1:10" ht="18" customHeight="1">
      <c r="A16" s="19" t="s">
        <v>365</v>
      </c>
      <c r="B16" s="240">
        <v>5</v>
      </c>
      <c r="C16" s="241">
        <v>73609184</v>
      </c>
      <c r="D16" s="241">
        <v>29577759</v>
      </c>
      <c r="E16" s="242">
        <f t="shared" si="0"/>
        <v>0.40182158519784705</v>
      </c>
      <c r="F16" s="18" t="s">
        <v>365</v>
      </c>
      <c r="G16" s="243">
        <v>5</v>
      </c>
      <c r="H16" s="71">
        <v>73609</v>
      </c>
      <c r="I16" s="71">
        <v>29578</v>
      </c>
      <c r="J16" s="242">
        <v>0.4018258636851472</v>
      </c>
    </row>
    <row r="17" spans="1:10" ht="20.25" customHeight="1">
      <c r="A17" s="19" t="s">
        <v>366</v>
      </c>
      <c r="B17" s="240">
        <v>6</v>
      </c>
      <c r="C17" s="241">
        <v>81019596</v>
      </c>
      <c r="D17" s="241">
        <v>25112666</v>
      </c>
      <c r="E17" s="242">
        <f t="shared" si="0"/>
        <v>0.30995792672182665</v>
      </c>
      <c r="F17" s="18" t="s">
        <v>366</v>
      </c>
      <c r="G17" s="243">
        <v>6</v>
      </c>
      <c r="H17" s="71">
        <v>81020</v>
      </c>
      <c r="I17" s="71">
        <v>25113</v>
      </c>
      <c r="J17" s="242">
        <v>0.3099605035793631</v>
      </c>
    </row>
    <row r="18" spans="1:10" ht="19.5" customHeight="1">
      <c r="A18" s="20" t="s">
        <v>367</v>
      </c>
      <c r="B18" s="240">
        <v>7</v>
      </c>
      <c r="C18" s="241">
        <v>4350503</v>
      </c>
      <c r="D18" s="241">
        <v>1026584</v>
      </c>
      <c r="E18" s="242">
        <f t="shared" si="0"/>
        <v>0.2359690362240872</v>
      </c>
      <c r="F18" s="77" t="s">
        <v>367</v>
      </c>
      <c r="G18" s="243">
        <v>7</v>
      </c>
      <c r="H18" s="71">
        <v>4351</v>
      </c>
      <c r="I18" s="71">
        <v>1027</v>
      </c>
      <c r="J18" s="242">
        <v>0.23603769248448633</v>
      </c>
    </row>
    <row r="19" spans="1:10" ht="18.75" customHeight="1">
      <c r="A19" s="19" t="s">
        <v>368</v>
      </c>
      <c r="B19" s="240">
        <v>8</v>
      </c>
      <c r="C19" s="241">
        <v>21858785</v>
      </c>
      <c r="D19" s="241">
        <v>6072897</v>
      </c>
      <c r="E19" s="242">
        <f t="shared" si="0"/>
        <v>0.27782408766086497</v>
      </c>
      <c r="F19" s="18" t="s">
        <v>368</v>
      </c>
      <c r="G19" s="243">
        <v>8</v>
      </c>
      <c r="H19" s="71">
        <v>21859</v>
      </c>
      <c r="I19" s="71">
        <v>6073</v>
      </c>
      <c r="J19" s="242">
        <v>0.277826067066197</v>
      </c>
    </row>
    <row r="20" spans="1:10" ht="19.5" customHeight="1">
      <c r="A20" s="19" t="s">
        <v>369</v>
      </c>
      <c r="B20" s="240">
        <v>9</v>
      </c>
      <c r="C20" s="241">
        <v>171622</v>
      </c>
      <c r="D20" s="241">
        <v>51476</v>
      </c>
      <c r="E20" s="242">
        <f t="shared" si="0"/>
        <v>0.29993823635664424</v>
      </c>
      <c r="F20" s="18" t="s">
        <v>369</v>
      </c>
      <c r="G20" s="243">
        <v>9</v>
      </c>
      <c r="H20" s="71">
        <v>172</v>
      </c>
      <c r="I20" s="71">
        <v>51</v>
      </c>
      <c r="J20" s="242">
        <v>0.29651162790697677</v>
      </c>
    </row>
    <row r="21" spans="1:10" ht="19.5" customHeight="1">
      <c r="A21" s="20" t="s">
        <v>370</v>
      </c>
      <c r="B21" s="240">
        <v>10</v>
      </c>
      <c r="C21" s="241">
        <v>56821964</v>
      </c>
      <c r="D21" s="241">
        <v>13739101</v>
      </c>
      <c r="E21" s="242">
        <f t="shared" si="0"/>
        <v>0.24179208237152802</v>
      </c>
      <c r="F21" s="77" t="s">
        <v>370</v>
      </c>
      <c r="G21" s="243">
        <v>10</v>
      </c>
      <c r="H21" s="71">
        <v>56822</v>
      </c>
      <c r="I21" s="71">
        <v>13739</v>
      </c>
      <c r="J21" s="242">
        <v>0.24179015170180565</v>
      </c>
    </row>
    <row r="22" spans="1:10" ht="20.25" customHeight="1">
      <c r="A22" s="20" t="s">
        <v>371</v>
      </c>
      <c r="B22" s="240">
        <v>11</v>
      </c>
      <c r="C22" s="241">
        <v>865923</v>
      </c>
      <c r="D22" s="241">
        <v>192316</v>
      </c>
      <c r="E22" s="242">
        <f t="shared" si="0"/>
        <v>0.22209365035921208</v>
      </c>
      <c r="F22" s="77" t="s">
        <v>371</v>
      </c>
      <c r="G22" s="243">
        <v>11</v>
      </c>
      <c r="H22" s="71">
        <v>866</v>
      </c>
      <c r="I22" s="71">
        <v>192</v>
      </c>
      <c r="J22" s="242">
        <v>0.22170900692840648</v>
      </c>
    </row>
    <row r="23" spans="1:10" ht="19.5" customHeight="1">
      <c r="A23" s="19" t="s">
        <v>372</v>
      </c>
      <c r="B23" s="240">
        <v>12</v>
      </c>
      <c r="C23" s="241">
        <v>8339812</v>
      </c>
      <c r="D23" s="241">
        <v>1920464</v>
      </c>
      <c r="E23" s="242">
        <f t="shared" si="0"/>
        <v>0.23027665371833322</v>
      </c>
      <c r="F23" s="18" t="s">
        <v>372</v>
      </c>
      <c r="G23" s="243">
        <v>12</v>
      </c>
      <c r="H23" s="71">
        <v>8340</v>
      </c>
      <c r="I23" s="71">
        <v>1920</v>
      </c>
      <c r="J23" s="242">
        <v>0.2302158273381295</v>
      </c>
    </row>
    <row r="24" spans="1:10" ht="19.5" customHeight="1">
      <c r="A24" s="19" t="s">
        <v>373</v>
      </c>
      <c r="B24" s="240">
        <v>13</v>
      </c>
      <c r="C24" s="241">
        <v>19543748</v>
      </c>
      <c r="D24" s="241">
        <v>4237107</v>
      </c>
      <c r="E24" s="242">
        <f t="shared" si="0"/>
        <v>0.21680114786580343</v>
      </c>
      <c r="F24" s="18" t="s">
        <v>373</v>
      </c>
      <c r="G24" s="243">
        <v>13</v>
      </c>
      <c r="H24" s="71">
        <v>19544</v>
      </c>
      <c r="I24" s="71">
        <v>4237</v>
      </c>
      <c r="J24" s="242">
        <v>0.21679287760949653</v>
      </c>
    </row>
    <row r="25" spans="1:10" ht="19.5" customHeight="1">
      <c r="A25" s="20" t="s">
        <v>374</v>
      </c>
      <c r="B25" s="240">
        <v>14</v>
      </c>
      <c r="C25" s="241">
        <f>145178502+96292223</f>
        <v>241470725</v>
      </c>
      <c r="D25" s="241">
        <f>40456410-751363+15485464</f>
        <v>55190511</v>
      </c>
      <c r="E25" s="242">
        <f t="shared" si="0"/>
        <v>0.22855984302030816</v>
      </c>
      <c r="F25" s="77" t="s">
        <v>375</v>
      </c>
      <c r="G25" s="243">
        <v>14</v>
      </c>
      <c r="H25" s="71">
        <v>241470</v>
      </c>
      <c r="I25" s="71">
        <v>55191</v>
      </c>
      <c r="J25" s="242">
        <v>0.2285625543545782</v>
      </c>
    </row>
    <row r="26" spans="2:10" ht="12.75">
      <c r="B26" s="209"/>
      <c r="C26" s="100"/>
      <c r="D26" s="100"/>
      <c r="E26" s="98"/>
      <c r="G26" s="209"/>
      <c r="H26" s="100"/>
      <c r="I26" s="100"/>
      <c r="J26" s="98"/>
    </row>
    <row r="27" spans="2:10" ht="12.75">
      <c r="B27" s="209"/>
      <c r="C27" s="100"/>
      <c r="D27" s="100"/>
      <c r="E27" s="98"/>
      <c r="G27" s="209"/>
      <c r="H27" s="100"/>
      <c r="I27" s="100"/>
      <c r="J27" s="98"/>
    </row>
    <row r="28" spans="1:10" ht="14.25">
      <c r="A28" s="50"/>
      <c r="B28" s="244"/>
      <c r="C28" s="100"/>
      <c r="D28" s="100"/>
      <c r="E28" s="98"/>
      <c r="F28" s="50"/>
      <c r="G28" s="244"/>
      <c r="H28" s="100"/>
      <c r="I28" s="100"/>
      <c r="J28" s="98"/>
    </row>
    <row r="29" spans="1:10" ht="14.25">
      <c r="A29" s="50"/>
      <c r="B29" s="244"/>
      <c r="C29" s="100"/>
      <c r="D29" s="100"/>
      <c r="E29" s="98"/>
      <c r="F29" s="37" t="s">
        <v>376</v>
      </c>
      <c r="G29" s="244"/>
      <c r="H29" s="100"/>
      <c r="I29" s="100"/>
      <c r="J29" s="98"/>
    </row>
    <row r="30" spans="1:10" ht="14.25">
      <c r="A30" s="50"/>
      <c r="B30" s="244"/>
      <c r="C30" s="100"/>
      <c r="D30" s="100"/>
      <c r="E30" s="98"/>
      <c r="F30" s="50"/>
      <c r="G30" s="244"/>
      <c r="H30" s="100"/>
      <c r="I30" s="100"/>
      <c r="J30" s="98"/>
    </row>
    <row r="31" spans="1:10" ht="14.25">
      <c r="A31" s="50"/>
      <c r="B31" s="244"/>
      <c r="C31" s="100"/>
      <c r="D31" s="100"/>
      <c r="E31" s="98"/>
      <c r="F31" s="50"/>
      <c r="G31" s="244"/>
      <c r="H31" s="100"/>
      <c r="I31" s="100"/>
      <c r="J31" s="98"/>
    </row>
    <row r="32" spans="1:10" ht="14.25">
      <c r="A32" s="50"/>
      <c r="B32" s="244"/>
      <c r="C32" s="100"/>
      <c r="D32" s="100"/>
      <c r="E32" s="98"/>
      <c r="F32" s="50"/>
      <c r="G32" s="244"/>
      <c r="H32" s="100"/>
      <c r="I32" s="100"/>
      <c r="J32" s="98"/>
    </row>
    <row r="33" spans="1:10" ht="14.25">
      <c r="A33" s="50"/>
      <c r="B33" s="244"/>
      <c r="C33" s="100"/>
      <c r="D33" s="100"/>
      <c r="E33" s="98"/>
      <c r="F33" s="50"/>
      <c r="G33" s="244"/>
      <c r="H33" s="100"/>
      <c r="I33" s="100"/>
      <c r="J33" s="98"/>
    </row>
    <row r="34" spans="1:10" ht="14.25">
      <c r="A34" s="50"/>
      <c r="B34" s="244"/>
      <c r="C34" s="100"/>
      <c r="D34" s="100"/>
      <c r="E34" s="98"/>
      <c r="F34" s="50"/>
      <c r="G34" s="244"/>
      <c r="H34" s="100"/>
      <c r="I34" s="100"/>
      <c r="J34" s="98"/>
    </row>
    <row r="35" spans="1:10" ht="14.25">
      <c r="A35" s="50"/>
      <c r="B35" s="244"/>
      <c r="C35" s="100"/>
      <c r="D35" s="100"/>
      <c r="E35" s="98"/>
      <c r="F35" s="50"/>
      <c r="G35" s="244"/>
      <c r="H35" s="100"/>
      <c r="I35" s="100"/>
      <c r="J35" s="98"/>
    </row>
    <row r="36" spans="1:10" ht="12">
      <c r="A36" s="37" t="s">
        <v>377</v>
      </c>
      <c r="B36" s="209"/>
      <c r="C36" s="96" t="s">
        <v>378</v>
      </c>
      <c r="D36" s="96"/>
      <c r="E36" s="98"/>
      <c r="F36" s="37" t="s">
        <v>379</v>
      </c>
      <c r="G36" s="209"/>
      <c r="H36" s="96" t="s">
        <v>380</v>
      </c>
      <c r="I36" s="96"/>
      <c r="J36" s="98"/>
    </row>
    <row r="37" spans="2:10" ht="12">
      <c r="B37" s="209"/>
      <c r="C37" s="96"/>
      <c r="D37" s="96"/>
      <c r="E37" s="98"/>
      <c r="G37" s="209"/>
      <c r="H37" s="96"/>
      <c r="I37" s="96"/>
      <c r="J37" s="98"/>
    </row>
    <row r="38" spans="3:10" ht="12">
      <c r="C38" s="96"/>
      <c r="D38" s="96"/>
      <c r="E38" s="95"/>
      <c r="H38" s="96"/>
      <c r="I38" s="96"/>
      <c r="J38" s="95"/>
    </row>
    <row r="39" spans="3:10" ht="12">
      <c r="C39" s="96"/>
      <c r="D39" s="96"/>
      <c r="E39" s="95"/>
      <c r="H39" s="96"/>
      <c r="I39" s="96"/>
      <c r="J39" s="95"/>
    </row>
    <row r="40" spans="1:10" ht="12.75">
      <c r="A40" s="37" t="s">
        <v>381</v>
      </c>
      <c r="C40" s="100"/>
      <c r="D40" s="100"/>
      <c r="E40" s="98"/>
      <c r="F40" s="37" t="s">
        <v>381</v>
      </c>
      <c r="H40" s="100"/>
      <c r="I40" s="100"/>
      <c r="J40" s="98"/>
    </row>
    <row r="41" spans="1:10" ht="14.25">
      <c r="A41" s="37" t="s">
        <v>90</v>
      </c>
      <c r="B41" s="50"/>
      <c r="C41" s="100"/>
      <c r="D41" s="100"/>
      <c r="E41" s="98"/>
      <c r="F41" s="37" t="s">
        <v>91</v>
      </c>
      <c r="G41" s="50"/>
      <c r="H41" s="100"/>
      <c r="I41" s="100"/>
      <c r="J41" s="98"/>
    </row>
    <row r="42" spans="1:10" ht="14.25">
      <c r="A42" s="50"/>
      <c r="B42" s="50"/>
      <c r="C42" s="100"/>
      <c r="D42" s="100"/>
      <c r="E42" s="98"/>
      <c r="F42" s="50"/>
      <c r="G42" s="50"/>
      <c r="H42" s="100"/>
      <c r="I42" s="100"/>
      <c r="J42" s="98"/>
    </row>
    <row r="43" spans="1:10" ht="14.25">
      <c r="A43" s="50"/>
      <c r="B43" s="50"/>
      <c r="C43" s="100"/>
      <c r="D43" s="100"/>
      <c r="E43" s="98"/>
      <c r="F43" s="50"/>
      <c r="G43" s="50"/>
      <c r="H43" s="100"/>
      <c r="I43" s="100"/>
      <c r="J43" s="98"/>
    </row>
    <row r="44" spans="1:10" ht="14.25">
      <c r="A44" s="50"/>
      <c r="B44" s="50"/>
      <c r="C44" s="100"/>
      <c r="D44" s="100"/>
      <c r="E44" s="98"/>
      <c r="F44" s="50"/>
      <c r="G44" s="50"/>
      <c r="H44" s="100"/>
      <c r="I44" s="100"/>
      <c r="J44" s="98"/>
    </row>
    <row r="45" spans="1:10" ht="14.25">
      <c r="A45" s="50"/>
      <c r="B45" s="50"/>
      <c r="C45" s="100"/>
      <c r="D45" s="100"/>
      <c r="E45" s="98"/>
      <c r="F45" s="50"/>
      <c r="G45" s="50"/>
      <c r="H45" s="100"/>
      <c r="I45" s="100"/>
      <c r="J45" s="98"/>
    </row>
    <row r="46" spans="1:10" ht="14.25">
      <c r="A46" s="50"/>
      <c r="B46" s="50"/>
      <c r="C46" s="100"/>
      <c r="D46" s="100"/>
      <c r="E46" s="98"/>
      <c r="F46" s="50"/>
      <c r="G46" s="50"/>
      <c r="H46" s="100"/>
      <c r="I46" s="100"/>
      <c r="J46" s="98"/>
    </row>
    <row r="47" spans="1:10" ht="14.25">
      <c r="A47" s="50"/>
      <c r="B47" s="50"/>
      <c r="C47" s="100"/>
      <c r="D47" s="100"/>
      <c r="E47" s="98"/>
      <c r="F47" s="50"/>
      <c r="G47" s="50"/>
      <c r="H47" s="100"/>
      <c r="I47" s="100"/>
      <c r="J47" s="98"/>
    </row>
    <row r="48" spans="1:10" ht="12.75">
      <c r="A48" s="37" t="s">
        <v>381</v>
      </c>
      <c r="C48" s="100"/>
      <c r="D48" s="100"/>
      <c r="E48" s="98"/>
      <c r="F48" s="37" t="s">
        <v>381</v>
      </c>
      <c r="H48" s="100"/>
      <c r="I48" s="100"/>
      <c r="J48" s="98"/>
    </row>
    <row r="49" spans="1:10" ht="12.75">
      <c r="A49" s="37" t="s">
        <v>382</v>
      </c>
      <c r="C49" s="100"/>
      <c r="D49" s="100"/>
      <c r="E49" s="98"/>
      <c r="F49" s="37" t="s">
        <v>382</v>
      </c>
      <c r="H49" s="100"/>
      <c r="I49" s="100"/>
      <c r="J49" s="98"/>
    </row>
    <row r="50" spans="3:10" ht="12.75">
      <c r="C50" s="100"/>
      <c r="D50" s="100"/>
      <c r="E50" s="98"/>
      <c r="H50" s="100"/>
      <c r="I50" s="100"/>
      <c r="J50" s="98"/>
    </row>
    <row r="51" spans="3:10" ht="12.75">
      <c r="C51" s="100"/>
      <c r="D51" s="100"/>
      <c r="E51" s="98"/>
      <c r="H51" s="100"/>
      <c r="I51" s="100"/>
      <c r="J51" s="98"/>
    </row>
    <row r="52" spans="3:10" ht="12.75">
      <c r="C52" s="100"/>
      <c r="D52" s="100"/>
      <c r="E52" s="98"/>
      <c r="H52" s="100"/>
      <c r="I52" s="100"/>
      <c r="J52" s="98"/>
    </row>
    <row r="53" spans="3:10" ht="12.75">
      <c r="C53" s="96"/>
      <c r="D53" s="100"/>
      <c r="E53" s="98"/>
      <c r="H53" s="96"/>
      <c r="I53" s="100"/>
      <c r="J53" s="98"/>
    </row>
    <row r="54" spans="2:9" ht="12.75">
      <c r="B54" s="100"/>
      <c r="C54" s="100"/>
      <c r="D54" s="98"/>
      <c r="G54" s="100"/>
      <c r="H54" s="100"/>
      <c r="I54" s="98"/>
    </row>
    <row r="55" spans="2:9" ht="12.75">
      <c r="B55" s="100"/>
      <c r="C55" s="100"/>
      <c r="D55" s="98"/>
      <c r="G55" s="100"/>
      <c r="H55" s="100"/>
      <c r="I55" s="98"/>
    </row>
    <row r="56" spans="2:9" ht="12.75">
      <c r="B56" s="100"/>
      <c r="C56" s="100"/>
      <c r="D56" s="98"/>
      <c r="G56" s="100"/>
      <c r="H56" s="100"/>
      <c r="I56" s="98"/>
    </row>
    <row r="57" spans="2:9" ht="12.75">
      <c r="B57" s="96"/>
      <c r="C57" s="100"/>
      <c r="D57" s="98"/>
      <c r="G57" s="96"/>
      <c r="H57" s="100"/>
      <c r="I57" s="98"/>
    </row>
    <row r="58" spans="2:9" ht="12.75">
      <c r="B58" s="96"/>
      <c r="C58" s="100"/>
      <c r="D58" s="98"/>
      <c r="G58" s="96"/>
      <c r="H58" s="100"/>
      <c r="I58" s="98"/>
    </row>
    <row r="59" spans="2:9" ht="12.75">
      <c r="B59" s="96"/>
      <c r="C59" s="100"/>
      <c r="D59" s="98"/>
      <c r="G59" s="96"/>
      <c r="H59" s="100"/>
      <c r="I59" s="98"/>
    </row>
    <row r="60" spans="2:9" ht="12.75">
      <c r="B60" s="96"/>
      <c r="C60" s="1"/>
      <c r="D60" s="98"/>
      <c r="G60" s="96"/>
      <c r="H60" s="1"/>
      <c r="I60" s="98"/>
    </row>
    <row r="61" spans="2:9" ht="12.75">
      <c r="B61" s="96"/>
      <c r="C61" s="1"/>
      <c r="D61" s="98"/>
      <c r="G61" s="96"/>
      <c r="H61" s="1"/>
      <c r="I61" s="98"/>
    </row>
    <row r="62" spans="2:9" ht="12.75">
      <c r="B62" s="96"/>
      <c r="C62" s="1"/>
      <c r="D62" s="98"/>
      <c r="G62" s="96"/>
      <c r="H62" s="1"/>
      <c r="I62" s="98"/>
    </row>
    <row r="63" spans="2:9" ht="12.75">
      <c r="B63" s="96"/>
      <c r="C63" s="1"/>
      <c r="D63" s="98"/>
      <c r="G63" s="96"/>
      <c r="H63" s="1"/>
      <c r="I63" s="98"/>
    </row>
    <row r="64" spans="2:9" ht="12.75">
      <c r="B64" s="96"/>
      <c r="C64" s="1"/>
      <c r="D64" s="98"/>
      <c r="G64" s="96"/>
      <c r="H64" s="1"/>
      <c r="I64" s="98"/>
    </row>
    <row r="65" spans="2:9" ht="12.75">
      <c r="B65" s="96"/>
      <c r="C65" s="1"/>
      <c r="D65" s="98"/>
      <c r="G65" s="96"/>
      <c r="H65" s="1"/>
      <c r="I65" s="98"/>
    </row>
    <row r="66" spans="2:9" ht="12.75">
      <c r="B66" s="96"/>
      <c r="C66" s="1"/>
      <c r="D66" s="98"/>
      <c r="G66" s="96"/>
      <c r="H66" s="1"/>
      <c r="I66" s="98"/>
    </row>
    <row r="67" spans="2:9" ht="12.75">
      <c r="B67" s="96"/>
      <c r="C67" s="1"/>
      <c r="D67" s="98"/>
      <c r="G67" s="96"/>
      <c r="H67" s="1"/>
      <c r="I67" s="98"/>
    </row>
    <row r="68" spans="2:9" ht="12.75">
      <c r="B68" s="96"/>
      <c r="C68" s="1"/>
      <c r="D68" s="98"/>
      <c r="G68" s="96"/>
      <c r="H68" s="1"/>
      <c r="I68" s="98"/>
    </row>
    <row r="69" spans="2:9" ht="12.75">
      <c r="B69" s="96"/>
      <c r="C69" s="1"/>
      <c r="D69" s="98"/>
      <c r="G69" s="96"/>
      <c r="H69" s="1"/>
      <c r="I69" s="98"/>
    </row>
    <row r="70" spans="2:9" ht="12.75">
      <c r="B70" s="96"/>
      <c r="C70" s="1"/>
      <c r="D70" s="98"/>
      <c r="G70" s="96"/>
      <c r="H70" s="1"/>
      <c r="I70" s="98"/>
    </row>
    <row r="71" spans="2:9" ht="12.75">
      <c r="B71" s="96"/>
      <c r="C71" s="1"/>
      <c r="D71" s="98"/>
      <c r="G71" s="96"/>
      <c r="H71" s="1"/>
      <c r="I71" s="98"/>
    </row>
    <row r="72" spans="2:9" ht="12.75">
      <c r="B72" s="96"/>
      <c r="C72" s="1"/>
      <c r="D72" s="98"/>
      <c r="G72" s="96"/>
      <c r="H72" s="1"/>
      <c r="I72" s="98"/>
    </row>
    <row r="73" spans="2:9" ht="12.75">
      <c r="B73" s="96"/>
      <c r="C73" s="1"/>
      <c r="D73" s="98"/>
      <c r="G73" s="96"/>
      <c r="H73" s="1"/>
      <c r="I73" s="98"/>
    </row>
    <row r="74" spans="2:9" ht="12.75">
      <c r="B74" s="96"/>
      <c r="C74" s="1"/>
      <c r="D74" s="98"/>
      <c r="G74" s="96"/>
      <c r="H74" s="1"/>
      <c r="I74" s="98"/>
    </row>
    <row r="75" spans="2:9" ht="12.75">
      <c r="B75" s="96"/>
      <c r="C75" s="1"/>
      <c r="D75" s="98"/>
      <c r="G75" s="96"/>
      <c r="H75" s="1"/>
      <c r="I75" s="98"/>
    </row>
    <row r="76" spans="2:9" ht="12.75">
      <c r="B76" s="96"/>
      <c r="C76" s="1"/>
      <c r="D76" s="98"/>
      <c r="G76" s="96"/>
      <c r="H76" s="1"/>
      <c r="I76" s="98"/>
    </row>
    <row r="77" spans="2:9" ht="12.75">
      <c r="B77" s="96"/>
      <c r="C77" s="1"/>
      <c r="D77" s="98"/>
      <c r="G77" s="96"/>
      <c r="H77" s="1"/>
      <c r="I77" s="98"/>
    </row>
    <row r="78" spans="2:9" ht="12.75">
      <c r="B78" s="96"/>
      <c r="C78" s="1"/>
      <c r="D78" s="98"/>
      <c r="G78" s="96"/>
      <c r="H78" s="1"/>
      <c r="I78" s="98"/>
    </row>
    <row r="79" spans="2:9" ht="12.75">
      <c r="B79" s="96"/>
      <c r="C79" s="1"/>
      <c r="D79" s="98"/>
      <c r="G79" s="96"/>
      <c r="H79" s="1"/>
      <c r="I79" s="98"/>
    </row>
    <row r="80" spans="2:9" ht="12">
      <c r="B80" s="96"/>
      <c r="D80" s="98"/>
      <c r="G80" s="96"/>
      <c r="I80" s="98"/>
    </row>
    <row r="81" spans="2:9" ht="12">
      <c r="B81" s="96"/>
      <c r="D81" s="98"/>
      <c r="G81" s="96"/>
      <c r="I81" s="98"/>
    </row>
    <row r="82" spans="2:9" ht="12">
      <c r="B82" s="96"/>
      <c r="D82" s="98"/>
      <c r="G82" s="96"/>
      <c r="I82" s="98"/>
    </row>
    <row r="83" spans="2:9" ht="12">
      <c r="B83" s="96"/>
      <c r="D83" s="98"/>
      <c r="G83" s="96"/>
      <c r="I83" s="98"/>
    </row>
    <row r="84" spans="2:9" ht="12">
      <c r="B84" s="96"/>
      <c r="D84" s="98"/>
      <c r="G84" s="96"/>
      <c r="I84" s="98"/>
    </row>
    <row r="85" spans="2:9" ht="12">
      <c r="B85" s="96"/>
      <c r="D85" s="98"/>
      <c r="G85" s="96"/>
      <c r="I85" s="98"/>
    </row>
    <row r="86" spans="2:9" ht="12">
      <c r="B86" s="96"/>
      <c r="D86" s="98"/>
      <c r="G86" s="96"/>
      <c r="I86" s="98"/>
    </row>
    <row r="87" spans="2:9" ht="12">
      <c r="B87" s="96"/>
      <c r="D87" s="98"/>
      <c r="G87" s="96"/>
      <c r="I87" s="98"/>
    </row>
    <row r="88" spans="2:9" ht="12">
      <c r="B88" s="96"/>
      <c r="D88" s="98"/>
      <c r="G88" s="96"/>
      <c r="I88" s="98"/>
    </row>
    <row r="89" spans="2:9" ht="12">
      <c r="B89" s="96"/>
      <c r="D89" s="98"/>
      <c r="G89" s="96"/>
      <c r="I89" s="98"/>
    </row>
    <row r="90" spans="2:9" ht="12">
      <c r="B90" s="96"/>
      <c r="D90" s="98"/>
      <c r="G90" s="96"/>
      <c r="I90" s="98"/>
    </row>
    <row r="91" spans="2:9" ht="12">
      <c r="B91" s="96"/>
      <c r="D91" s="98"/>
      <c r="G91" s="96"/>
      <c r="I91" s="98"/>
    </row>
    <row r="92" spans="2:9" ht="12">
      <c r="B92" s="96"/>
      <c r="D92" s="98"/>
      <c r="G92" s="96"/>
      <c r="I92" s="98"/>
    </row>
    <row r="93" spans="2:9" ht="12">
      <c r="B93" s="96"/>
      <c r="D93" s="98"/>
      <c r="G93" s="96"/>
      <c r="I93" s="98"/>
    </row>
    <row r="94" spans="2:9" ht="12">
      <c r="B94" s="96"/>
      <c r="D94" s="98"/>
      <c r="G94" s="96"/>
      <c r="I94" s="98"/>
    </row>
    <row r="95" spans="2:9" ht="12">
      <c r="B95" s="96"/>
      <c r="D95" s="98"/>
      <c r="G95" s="96"/>
      <c r="I95" s="98"/>
    </row>
    <row r="96" spans="2:9" ht="12">
      <c r="B96" s="96"/>
      <c r="D96" s="98"/>
      <c r="G96" s="96"/>
      <c r="I96" s="98"/>
    </row>
    <row r="97" spans="2:9" ht="12">
      <c r="B97" s="96"/>
      <c r="D97" s="98"/>
      <c r="G97" s="96"/>
      <c r="I97" s="98"/>
    </row>
    <row r="98" spans="2:9" ht="12">
      <c r="B98" s="96"/>
      <c r="D98" s="98"/>
      <c r="G98" s="96"/>
      <c r="I98" s="98"/>
    </row>
    <row r="99" spans="2:9" ht="12">
      <c r="B99" s="96"/>
      <c r="D99" s="98"/>
      <c r="G99" s="96"/>
      <c r="I99" s="98"/>
    </row>
    <row r="100" spans="2:9" ht="12">
      <c r="B100" s="96"/>
      <c r="D100" s="98"/>
      <c r="G100" s="96"/>
      <c r="I100" s="98"/>
    </row>
    <row r="101" spans="2:9" ht="12">
      <c r="B101" s="96"/>
      <c r="D101" s="98"/>
      <c r="G101" s="96"/>
      <c r="I101" s="98"/>
    </row>
    <row r="102" spans="2:9" ht="12">
      <c r="B102" s="96"/>
      <c r="D102" s="98"/>
      <c r="G102" s="96"/>
      <c r="I102" s="98"/>
    </row>
    <row r="103" spans="2:9" ht="12">
      <c r="B103" s="96"/>
      <c r="D103" s="98"/>
      <c r="G103" s="96"/>
      <c r="I103" s="98"/>
    </row>
    <row r="104" spans="2:9" ht="12">
      <c r="B104" s="96"/>
      <c r="D104" s="98"/>
      <c r="G104" s="96"/>
      <c r="I104" s="98"/>
    </row>
    <row r="105" spans="2:9" ht="12">
      <c r="B105" s="96"/>
      <c r="D105" s="98"/>
      <c r="G105" s="96"/>
      <c r="I105" s="98"/>
    </row>
    <row r="106" spans="2:9" ht="12">
      <c r="B106" s="96"/>
      <c r="D106" s="98"/>
      <c r="G106" s="96"/>
      <c r="I106" s="98"/>
    </row>
    <row r="107" spans="2:7" ht="12">
      <c r="B107" s="96"/>
      <c r="G107" s="96"/>
    </row>
    <row r="108" spans="2:7" ht="12">
      <c r="B108" s="96"/>
      <c r="G108" s="96"/>
    </row>
    <row r="109" spans="2:7" ht="12">
      <c r="B109" s="96"/>
      <c r="G109" s="96"/>
    </row>
    <row r="110" spans="2:7" ht="12">
      <c r="B110" s="96"/>
      <c r="G110" s="96"/>
    </row>
    <row r="111" spans="2:7" ht="12">
      <c r="B111" s="96"/>
      <c r="G111" s="96"/>
    </row>
    <row r="112" spans="2:7" ht="12">
      <c r="B112" s="96"/>
      <c r="G112" s="96"/>
    </row>
    <row r="113" spans="2:7" ht="12">
      <c r="B113" s="96"/>
      <c r="G113" s="96"/>
    </row>
    <row r="114" spans="2:7" ht="12">
      <c r="B114" s="96"/>
      <c r="G114" s="96"/>
    </row>
    <row r="115" spans="2:7" ht="12">
      <c r="B115" s="96"/>
      <c r="G115" s="96"/>
    </row>
  </sheetData>
  <mergeCells count="2">
    <mergeCell ref="F3:J3"/>
    <mergeCell ref="F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 Pērskatu departaments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Džoja Salnāja</dc:creator>
  <cp:keywords/>
  <dc:description/>
  <cp:lastModifiedBy>IlzeM</cp:lastModifiedBy>
  <dcterms:created xsi:type="dcterms:W3CDTF">1999-05-18T07:52:00Z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