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03" activeTab="0"/>
  </bookViews>
  <sheets>
    <sheet name="kopbudzets" sheetId="1" r:id="rId1"/>
    <sheet name="1.tab" sheetId="2" r:id="rId2"/>
    <sheet name="2.tab" sheetId="3" r:id="rId3"/>
    <sheet name="3.tab" sheetId="4" r:id="rId4"/>
    <sheet name="4.tab" sheetId="5" r:id="rId5"/>
    <sheet name="5.tab" sheetId="6" r:id="rId6"/>
    <sheet name="6.tab" sheetId="7" r:id="rId7"/>
    <sheet name="7.tab" sheetId="8" r:id="rId8"/>
    <sheet name="8.tab" sheetId="9" r:id="rId9"/>
    <sheet name="9.tab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Titles" localSheetId="16">'16'!$7:$11</definedName>
    <definedName name="_xlnm.Print_Titles" localSheetId="17">'17'!$7:$11</definedName>
    <definedName name="_xlnm.Print_Titles" localSheetId="19">'19'!$7:$10</definedName>
  </definedNames>
  <calcPr fullCalcOnLoad="1"/>
</workbook>
</file>

<file path=xl/sharedStrings.xml><?xml version="1.0" encoding="utf-8"?>
<sst xmlns="http://schemas.openxmlformats.org/spreadsheetml/2006/main" count="2575" uniqueCount="747">
  <si>
    <t>1.tabula</t>
  </si>
  <si>
    <t xml:space="preserve"> Valsts kases oficiālais mēneša pārskats</t>
  </si>
  <si>
    <t>Valsts konsolidētā budžeta izpilde (1999.gada janvāris -  augusts)</t>
  </si>
  <si>
    <t>Valsts konsolidētā budžeta izpilde (1999.gada janvāris - augusts)</t>
  </si>
  <si>
    <t>(tūkst. latu)</t>
  </si>
  <si>
    <t>Rādītāji</t>
  </si>
  <si>
    <t>Likumā apstiprinātais gada plāns</t>
  </si>
  <si>
    <t>Izpilde no gada sākuma</t>
  </si>
  <si>
    <t>Izpilde  % pret gada plānu         (3/2)</t>
  </si>
  <si>
    <t xml:space="preserve">Augusta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</si>
  <si>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</si>
  <si>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</si>
  <si>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</si>
  <si>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</si>
  <si>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</si>
  <si>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</si>
  <si>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</si>
  <si>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</si>
  <si>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</si>
  <si>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</si>
  <si>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</si>
  <si>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</si>
  <si>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</si>
  <si>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</si>
  <si>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</si>
  <si>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</si>
  <si>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</si>
  <si>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</si>
  <si>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</si>
  <si>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</si>
  <si>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</si>
  <si>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</si>
  <si>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</si>
  <si>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</si>
  <si>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</si>
  <si>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</si>
  <si>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</si>
  <si>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</si>
  <si>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</si>
  <si>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</si>
  <si>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</si>
  <si>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</si>
  <si>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</si>
  <si>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</si>
  <si>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</si>
  <si>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</si>
  <si>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</si>
  <si>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</si>
  <si>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</si>
  <si>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</si>
  <si>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</si>
  <si>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</si>
  <si>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</si>
  <si>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</si>
  <si>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</si>
  <si>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</si>
  <si>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</si>
  <si>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</si>
  <si>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</si>
  <si>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</si>
  <si>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</si>
  <si>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</si>
  <si>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</si>
  <si>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</si>
  <si>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</si>
  <si>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</si>
  <si>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</si>
  <si>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</si>
  <si>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</si>
  <si>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</si>
  <si>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</si>
  <si>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</si>
  <si>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</si>
  <si>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</si>
  <si>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</si>
  <si>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</si>
  <si>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</si>
  <si>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</si>
  <si>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</si>
  <si>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</si>
  <si>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</si>
  <si>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</si>
  <si>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</si>
  <si>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</si>
  <si>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</si>
  <si>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</si>
  <si>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</si>
  <si>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</si>
  <si>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</si>
  <si>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</si>
  <si>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15.septembris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</si>
  <si>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</si>
  <si>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</si>
  <si>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</si>
  <si>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</si>
  <si>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(1999.gada janvāris -  augusts)</t>
  </si>
  <si>
    <t>(1999.gada janvāris - augusts)</t>
  </si>
  <si>
    <t>(tūkst.latu)</t>
  </si>
  <si>
    <t>Valdības funkcijas kods</t>
  </si>
  <si>
    <t>Izpilde % pret gada plānu          (3/2)</t>
  </si>
  <si>
    <t>Izdevumi no ziedojumiem un dāvinājumiem</t>
  </si>
  <si>
    <t>Izdevumi - kopā</t>
  </si>
  <si>
    <t>Vispārējie valdības dienesti</t>
  </si>
  <si>
    <t>Aizsardzība</t>
  </si>
  <si>
    <t>Sabiedriskā kārtība un drošība, tiesību aizsardzība</t>
  </si>
  <si>
    <t>Izglītība       *</t>
  </si>
  <si>
    <t>Izglītība   *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</si>
  <si>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</si>
  <si>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</si>
  <si>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</si>
  <si>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</si>
  <si>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</si>
  <si>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</si>
  <si>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</si>
  <si>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</si>
  <si>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</si>
  <si>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</si>
  <si>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* -  ieskaitot  tīros  aizdevumus</t>
  </si>
  <si>
    <t>Valsts kases pārvaldnieks_________________________________</t>
  </si>
  <si>
    <t>A.Veiss</t>
  </si>
  <si>
    <t>(A.Veiss)</t>
  </si>
  <si>
    <t>Valsts kase /Pārskatu departaments</t>
  </si>
  <si>
    <t>1999.gada 16.augusts</t>
  </si>
  <si>
    <t>Valsts kases oficiālais mēneša pārskats</t>
  </si>
  <si>
    <t>7.tabula</t>
  </si>
  <si>
    <t>Valsts speciālā budżeta (dāvinājumi un ziedojumi) ieņēmumi un izdevumi</t>
  </si>
  <si>
    <t>Valsts budžeta iestāžu dāvinājumu un ziedojumu ieņēmumi un izdevumi</t>
  </si>
  <si>
    <t xml:space="preserve">                                                       (1999.gada janvāris - augusts)</t>
  </si>
  <si>
    <t>Finansēšanas plāns pārskata periodam</t>
  </si>
  <si>
    <t>Izpilde % pret finansēšanas plānu  (3/2)</t>
  </si>
  <si>
    <t>Augusta  izpilde</t>
  </si>
  <si>
    <t>Finansēšanas plāns pārskata periodam *</t>
  </si>
  <si>
    <t>1.Saņemtie dāvinājumi un ziedojumi - kopā</t>
  </si>
  <si>
    <t xml:space="preserve">   no iekšzemes juridiskajām un fiziskajām personām</t>
  </si>
  <si>
    <t>x</t>
  </si>
  <si>
    <t xml:space="preserve">   no ārvalstu juridiskajām un fiziskajām personām</t>
  </si>
  <si>
    <t>2.Izdevumi - kopā (2.1.+2.2.)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</si>
  <si>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</si>
  <si>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</si>
  <si>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</si>
  <si>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</si>
  <si>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</si>
  <si>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 xml:space="preserve">     t.sk. preču un pakalpojumu izdevumi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</si>
  <si>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</si>
  <si>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</si>
  <si>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</si>
  <si>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</si>
  <si>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</si>
  <si>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</si>
  <si>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</si>
  <si>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</si>
  <si>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</si>
  <si>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 dotācijas iestādēm un organizācijām</t>
  </si>
  <si>
    <t xml:space="preserve">     dotācijas iedzīvotājiem</t>
  </si>
  <si>
    <t>2.2.Izdevumi  kapitālieguldījumiem</t>
  </si>
  <si>
    <t>Kapitālie izdevumi</t>
  </si>
  <si>
    <t>Investīcijas</t>
  </si>
  <si>
    <t>Fiskālā bilance (1.-2.)</t>
  </si>
  <si>
    <t>Finansēšana</t>
  </si>
  <si>
    <t>Naudas līdzekļu atlikumu izmaiņas palielinājums (-) vai samazinājums (+)</t>
  </si>
  <si>
    <t>* - nav informācijas</t>
  </si>
  <si>
    <t>Valsts kases pārvaldnieks _______________________________________ (A.Veiss)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</si>
  <si>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</si>
  <si>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</si>
  <si>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</si>
  <si>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</si>
  <si>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Valsts pamatbudžeta izdevumi pēc valdības funkcijām</t>
  </si>
  <si>
    <t xml:space="preserve">                                                             ( 1999.gada janvāris- augusts)</t>
  </si>
  <si>
    <t xml:space="preserve">                                                   ( 1999.gada janvāris- augusts)</t>
  </si>
  <si>
    <t>Izglītība</t>
  </si>
  <si>
    <t>Pārējie izdevumi, kas nav atspoguļoti pamatgrupās  *</t>
  </si>
  <si>
    <t>* ieskaitot aizdevumus un atmaksas</t>
  </si>
  <si>
    <t>Valsts kases pārvaldnieks__________________________________</t>
  </si>
  <si>
    <t>Valsts kases pārvaldnieks________________________________</t>
  </si>
  <si>
    <t>1999.gada 15.februāris</t>
  </si>
  <si>
    <t>2.tabula</t>
  </si>
  <si>
    <t>Valsts pamatbudžeta ieņēmumi (1999.gada janvāris- augusts)</t>
  </si>
  <si>
    <t>Valsts pamatbudžeta ieņēmumi (1999.gada janvāris-augusts)</t>
  </si>
  <si>
    <t>Gada sagaidāmā izpilde %</t>
  </si>
  <si>
    <t>Izpilde % pret gada plānu            (4/2)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</si>
  <si>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</si>
  <si>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</si>
  <si>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</si>
  <si>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</si>
  <si>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</si>
  <si>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</si>
  <si>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</si>
  <si>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</si>
  <si>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</si>
  <si>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</si>
  <si>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</si>
  <si>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</si>
  <si>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</si>
  <si>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</si>
  <si>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</si>
  <si>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</si>
  <si>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</si>
  <si>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</si>
  <si>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</si>
  <si>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</si>
  <si>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</si>
  <si>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</si>
  <si>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</si>
  <si>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</si>
  <si>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</si>
  <si>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</si>
  <si>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</si>
  <si>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- 1919291   latu</t>
  </si>
  <si>
    <t>* - ieskaitot nesadalītās sociālās apdrošināšanas iemaksas -  1919    tūkst.latu</t>
  </si>
  <si>
    <t>** - ieskaitot procentus par valsts depozītu -    2268642   latu</t>
  </si>
  <si>
    <t>** - ieskaitot procentus par valsts depozītu -    2269  tūkst.latu</t>
  </si>
  <si>
    <t>Valsts kases pārvaldnieks________________________________________(A.Veiss)</t>
  </si>
  <si>
    <t xml:space="preserve">          Valsts kases oficiālais mēneša pārskats</t>
  </si>
  <si>
    <t>6.tabula</t>
  </si>
  <si>
    <t xml:space="preserve">Valsts speciālā budżeta ieņēmumu un izdevumu atšifrējums </t>
  </si>
  <si>
    <t>pēc ekonomiskās klasifikācijas</t>
  </si>
  <si>
    <t>(1999.gada janvāris -  augusts)</t>
  </si>
  <si>
    <t>Izpilde % pret gada plānu      (4/2)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</si>
  <si>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</si>
  <si>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</si>
  <si>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</si>
  <si>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</si>
  <si>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 Izdevumi - kopā (2.1.+2.2.)</t>
  </si>
  <si>
    <t xml:space="preserve">   valsts sociālās apdrošināšanas obligātās iemaksas</t>
  </si>
  <si>
    <t>iemaksas valsts pamatbudžetā</t>
  </si>
  <si>
    <t>izdevumi saskaņā ar likumu "Par valsts un pašvaldību īpašuma privatizācijas fondiem</t>
  </si>
  <si>
    <t xml:space="preserve"> pārējie izdevumi</t>
  </si>
  <si>
    <t xml:space="preserve">    procentu nomaksa par iekšējiem aizņēmumiem</t>
  </si>
  <si>
    <t xml:space="preserve">    procentu nomaksa par ārvalstu aizņēmumiem</t>
  </si>
  <si>
    <t xml:space="preserve">    dotācijas iestādēm un organizācijām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</si>
  <si>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</si>
  <si>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</si>
  <si>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</si>
  <si>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</si>
  <si>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</si>
  <si>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</si>
  <si>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</si>
  <si>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2.2.Izdevumi kapitālieguldījumiem</t>
  </si>
  <si>
    <t>Marta izpilde</t>
  </si>
  <si>
    <t>3.Valsts budžeta tīrie aizdevumi (3.1.-3.2.)</t>
  </si>
  <si>
    <t>3.1.Valsts budžeta aizdevumi</t>
  </si>
  <si>
    <t>3.2.Valsts budžeta aizdevumu atmaksas</t>
  </si>
  <si>
    <t>Fiskālā bilance (1.-2.-3.)</t>
  </si>
  <si>
    <t>Aizņēmums no pamatbudžeta</t>
  </si>
  <si>
    <t>Valsts speciālā budžeta naudas līdzekļu atlikumu izmaiņas palielinājums (-) vai samazinājums (+)</t>
  </si>
  <si>
    <t>5.tabula</t>
  </si>
  <si>
    <t xml:space="preserve">Valsts speciālā budżeta ieņēmumi un izdevumi pa ministrijām </t>
  </si>
  <si>
    <t>(1999.gada  janvāris - augusts)</t>
  </si>
  <si>
    <t xml:space="preserve"> (tūkst.latu)</t>
  </si>
  <si>
    <t>Izpilde % pret gada plānu 
   (4/2)</t>
  </si>
  <si>
    <t>Finansēšanas plāns</t>
  </si>
  <si>
    <t xml:space="preserve">Ieņēmumi - kopā 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</si>
  <si>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</si>
  <si>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</si>
  <si>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</si>
  <si>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</si>
  <si>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</si>
  <si>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Ekonomikas ministrija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</si>
  <si>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</si>
  <si>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</si>
  <si>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</si>
  <si>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</si>
  <si>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</si>
  <si>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Finansu ministrija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</si>
  <si>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</si>
  <si>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</si>
  <si>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</si>
  <si>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</si>
  <si>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</si>
  <si>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</si>
  <si>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</si>
  <si>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</si>
  <si>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</si>
  <si>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>Izglītības un zinātnes ministrija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</si>
  <si>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</si>
  <si>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</si>
  <si>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</si>
  <si>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</si>
  <si>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>Zemkopības ministrija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</si>
  <si>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</si>
  <si>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</si>
  <si>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</si>
  <si>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</si>
  <si>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 xml:space="preserve">   Pārējie maksājumi</t>
  </si>
  <si>
    <t>Satiksmes ministrija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</si>
  <si>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</si>
  <si>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</si>
  <si>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</si>
  <si>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Pārējie maksājumi</t>
  </si>
  <si>
    <t xml:space="preserve">        Izdevumi kapitālieguldļjumiem</t>
  </si>
  <si>
    <t xml:space="preserve"> Dzelzceļa infrastruktūras fonds</t>
  </si>
  <si>
    <t xml:space="preserve">   Maksas pakalpojumi un citi pašu ieņēmumi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</si>
  <si>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</si>
  <si>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</si>
  <si>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</si>
  <si>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</si>
  <si>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Labklājības ministrija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</si>
  <si>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</si>
  <si>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</si>
  <si>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</si>
  <si>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</si>
  <si>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</si>
  <si>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</si>
  <si>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</si>
  <si>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</si>
  <si>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</si>
  <si>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</si>
  <si>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</si>
  <si>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</si>
  <si>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</si>
  <si>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</si>
  <si>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un reģionālās attīstības ministrija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</si>
  <si>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</si>
  <si>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</si>
  <si>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</si>
  <si>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</si>
  <si>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Kultūras ministrija</t>
  </si>
  <si>
    <t>Kultūrkapitāla fonds</t>
  </si>
  <si>
    <t xml:space="preserve">   Ienākumi no izložu un azartspēļu nodevas un nodokļa maksājumiem</t>
  </si>
  <si>
    <t>Radio un televīzija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</si>
  <si>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</si>
  <si>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</si>
  <si>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</si>
  <si>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</si>
  <si>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</si>
  <si>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 xml:space="preserve">Valsts kases oficiālais mēneša pārskats </t>
  </si>
  <si>
    <t>3.tabula</t>
  </si>
  <si>
    <t>Valsts pamatbudżeta izdevumi pa ministrijām un pasākumiem</t>
  </si>
  <si>
    <t xml:space="preserve">Finansēšanas plāns pārskata periodam </t>
  </si>
  <si>
    <t>Izpilde % pret gada plānu (4/2)</t>
  </si>
  <si>
    <t>Izpilde % pret finansēša-nas plānu pārskata periodam 
  (4/3)</t>
  </si>
  <si>
    <t>Augusta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</si>
  <si>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</si>
  <si>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</si>
  <si>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</si>
  <si>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</si>
  <si>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</si>
  <si>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</si>
  <si>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</si>
  <si>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</si>
  <si>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</si>
  <si>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Tieslietu ministrija</t>
  </si>
  <si>
    <t>Augusta   izpilde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</si>
  <si>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</si>
  <si>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</si>
  <si>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</si>
  <si>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</si>
  <si>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</si>
  <si>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</si>
  <si>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</si>
  <si>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</si>
  <si>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</si>
  <si>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</si>
  <si>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</si>
  <si>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</si>
  <si>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</si>
  <si>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</si>
  <si>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</si>
  <si>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4.tabula</t>
  </si>
  <si>
    <t xml:space="preserve">           Valsts kases oficiālais mēneša pārskats</t>
  </si>
  <si>
    <t xml:space="preserve">Valsts pamatbudžeta ieņēmumu un izdevumu atšifrējums </t>
  </si>
  <si>
    <t>(1999.gada janvāris- augusts)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</si>
  <si>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</si>
  <si>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</si>
  <si>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</si>
  <si>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</si>
  <si>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>2.1. Uzturēšanas izdevumi</t>
  </si>
  <si>
    <t xml:space="preserve">     t.sk.          preču un pakalpojumu izdevumi</t>
  </si>
  <si>
    <t xml:space="preserve">     t.sk.         preču un pakalpojumu izdevumi</t>
  </si>
  <si>
    <t xml:space="preserve">                        pārējie izdevumi</t>
  </si>
  <si>
    <t xml:space="preserve">    aizņēmumu atmaksa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</si>
  <si>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</si>
  <si>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</si>
  <si>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</si>
  <si>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</si>
  <si>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</si>
  <si>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</si>
  <si>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</si>
  <si>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</si>
  <si>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</si>
  <si>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</si>
  <si>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</si>
  <si>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</si>
  <si>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</si>
  <si>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</si>
  <si>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</si>
  <si>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</si>
  <si>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3. Valsts budžeta tīrie aizdevumi (3.1.-3.2.)</t>
  </si>
  <si>
    <t>Valsts kases pārvaldnieks _______________________________________ (AVeiss)</t>
  </si>
  <si>
    <t>Valsts kases oficiālais mēneša pārskats par valsts kopbudžeta izpildi                             ( 1999.gada janvāris - aprīlis )</t>
  </si>
  <si>
    <t>Valsts kases oficiālais mēneša pārskats par valsts kopbudžeta izpildi                             ( 1999.gada janvāris - maijs )</t>
  </si>
  <si>
    <t>Valsts kases oficiālais mēneša pārskats par valsts kopbudžeta izpildi                             ( 1999.gada janvāris - jūnijs )</t>
  </si>
  <si>
    <t>Valsts kases oficiālais mēneša pārskats par valsts kopbudžeta izpildi                             ( 1999.gada janvāris - jūlijs )</t>
  </si>
  <si>
    <t>Valsts kases oficiālais mēneša pārskats par valsts kopbudžeta izpildi                             ( 1999.gada janvāris - augusts)</t>
  </si>
  <si>
    <t xml:space="preserve">                (tūkst.latu)</t>
  </si>
  <si>
    <t>Konsolidētais
valsts budžets*</t>
  </si>
  <si>
    <t>Konsolidētais
pašvaldību budžets</t>
  </si>
  <si>
    <t>Konsolidētais kopbudžets</t>
  </si>
  <si>
    <t>Aprīļa  izpilde</t>
  </si>
  <si>
    <t>Maija  izpilde</t>
  </si>
  <si>
    <t>Jūnija  izpilde</t>
  </si>
  <si>
    <t>Jūlija  izpilde</t>
  </si>
  <si>
    <t>1. Ieņēmumi (bruto)</t>
  </si>
  <si>
    <t>mīnus transferts no valsts pamatbudžeta pašvaldību budžetos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</si>
  <si>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</si>
  <si>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</si>
  <si>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</si>
  <si>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</si>
  <si>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</si>
  <si>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</si>
  <si>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</si>
  <si>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</si>
  <si>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</si>
  <si>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</si>
  <si>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</si>
  <si>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</si>
  <si>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</si>
  <si>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</si>
  <si>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</si>
  <si>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</si>
  <si>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</si>
  <si>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</si>
  <si>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</si>
  <si>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</si>
  <si>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</si>
  <si>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</si>
  <si>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</si>
  <si>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</si>
  <si>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</si>
  <si>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</si>
  <si>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</si>
  <si>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</si>
  <si>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</si>
  <si>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</si>
  <si>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</si>
  <si>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</si>
  <si>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</si>
  <si>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kases pārvaldnieks __________________________________ A.Veiss</t>
  </si>
  <si>
    <t>Valsts kases pārvaldnieka p.i __________________________________ V.Lindemanis</t>
  </si>
  <si>
    <t>Valsts kase/Pārskatu departaments</t>
  </si>
  <si>
    <t>1999.gada 17.maijs</t>
  </si>
  <si>
    <t>1999.gada 15.jūnijs</t>
  </si>
  <si>
    <t>1999.gada 15.jūlijs</t>
  </si>
  <si>
    <t>1999.gada 15.septembrī.</t>
  </si>
  <si>
    <t>10. tabula</t>
  </si>
  <si>
    <t xml:space="preserve">Pašvaldību konsolidētā budžeta izpilde </t>
  </si>
  <si>
    <t xml:space="preserve">   ( 1999. gada janvāris - augusts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</si>
  <si>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</si>
  <si>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</si>
  <si>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</si>
  <si>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</si>
  <si>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</si>
  <si>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</si>
  <si>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</si>
  <si>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</si>
  <si>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</si>
  <si>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</si>
  <si>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</si>
  <si>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</si>
  <si>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</si>
  <si>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</si>
  <si>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</si>
  <si>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</si>
  <si>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</si>
  <si>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</si>
  <si>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</si>
  <si>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</si>
  <si>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</si>
  <si>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</si>
  <si>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</si>
  <si>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</si>
  <si>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</si>
  <si>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</si>
  <si>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</si>
  <si>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</si>
  <si>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</si>
  <si>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</si>
  <si>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</si>
  <si>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</si>
  <si>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</si>
  <si>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</si>
  <si>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</si>
  <si>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</si>
  <si>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</si>
  <si>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</si>
  <si>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</si>
  <si>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</si>
  <si>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</si>
  <si>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</si>
  <si>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</si>
  <si>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</si>
  <si>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A. Veiss</t>
  </si>
  <si>
    <t xml:space="preserve">Valsts kase / Pārskatu departaments </t>
  </si>
  <si>
    <t>15.09.99.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</si>
  <si>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</si>
  <si>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</si>
  <si>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</si>
  <si>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</si>
  <si>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>( 1999. gada janvāris - augusts )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</si>
  <si>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</si>
  <si>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</si>
  <si>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</si>
  <si>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</si>
  <si>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</si>
  <si>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</si>
  <si>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</si>
  <si>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</si>
  <si>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</si>
  <si>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</si>
  <si>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</si>
  <si>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</si>
  <si>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</si>
  <si>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</si>
  <si>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</si>
  <si>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</si>
  <si>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</si>
  <si>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</si>
  <si>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</si>
  <si>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</si>
  <si>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</si>
  <si>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</si>
  <si>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</si>
  <si>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</si>
  <si>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</si>
  <si>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</si>
  <si>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</si>
  <si>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</si>
  <si>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</si>
  <si>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</si>
  <si>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</si>
  <si>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 685  tūkst.latu</t>
  </si>
  <si>
    <t>* iedzīvotāju ienākuma nodokļa prognozes neizpildes kompensācija   2 300  tūkst.latu</t>
  </si>
  <si>
    <t>Valsts kases pārvaldnieks</t>
  </si>
  <si>
    <t xml:space="preserve">                                           Valsts kases oficiālais mēneša pārskats</t>
  </si>
  <si>
    <t>12. tabula</t>
  </si>
  <si>
    <t xml:space="preserve"> 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</si>
  <si>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</si>
  <si>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</si>
  <si>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</si>
  <si>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</si>
  <si>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</si>
  <si>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</si>
  <si>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</si>
  <si>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</si>
  <si>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</si>
  <si>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</si>
  <si>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</si>
  <si>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</si>
  <si>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</si>
  <si>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</si>
  <si>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</si>
  <si>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</si>
  <si>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</si>
  <si>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</si>
  <si>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</si>
  <si>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</si>
  <si>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</si>
  <si>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</si>
  <si>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</t>
  </si>
  <si>
    <t xml:space="preserve">    A. Veiss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</si>
  <si>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</si>
  <si>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</si>
  <si>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</si>
  <si>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</si>
  <si>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</si>
  <si>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</si>
  <si>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</si>
  <si>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</si>
  <si>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</si>
  <si>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</si>
  <si>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</si>
  <si>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</si>
  <si>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</si>
  <si>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</si>
  <si>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</si>
  <si>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</si>
  <si>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</si>
  <si>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</si>
  <si>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</si>
  <si>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</si>
  <si>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</si>
  <si>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</si>
  <si>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</si>
  <si>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</si>
  <si>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</si>
  <si>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</si>
  <si>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</si>
  <si>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</si>
  <si>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</si>
  <si>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</si>
  <si>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</si>
  <si>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</si>
  <si>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</si>
  <si>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</si>
  <si>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</si>
  <si>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</si>
  <si>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</si>
  <si>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</si>
  <si>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</si>
  <si>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</si>
  <si>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</si>
  <si>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</si>
  <si>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</si>
  <si>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</si>
  <si>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</si>
  <si>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</si>
  <si>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</si>
  <si>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</si>
  <si>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</si>
  <si>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</si>
  <si>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</si>
  <si>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</si>
  <si>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</si>
  <si>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</si>
  <si>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</si>
  <si>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</si>
  <si>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</si>
  <si>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</si>
  <si>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</si>
  <si>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</si>
  <si>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</si>
  <si>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</si>
  <si>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</si>
  <si>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</si>
  <si>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</si>
  <si>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</si>
  <si>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</si>
  <si>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</si>
  <si>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</si>
  <si>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</si>
  <si>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</si>
  <si>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</si>
  <si>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</si>
  <si>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</si>
  <si>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</si>
  <si>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</si>
  <si>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</si>
  <si>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</si>
  <si>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</si>
  <si>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</si>
  <si>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</si>
  <si>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</si>
  <si>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</si>
  <si>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</si>
  <si>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</si>
  <si>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</si>
  <si>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</si>
  <si>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</si>
  <si>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</si>
  <si>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</si>
  <si>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</si>
  <si>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</si>
  <si>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</si>
  <si>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</si>
  <si>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</si>
  <si>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</si>
  <si>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</si>
  <si>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</si>
  <si>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</si>
  <si>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</si>
  <si>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</si>
  <si>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</si>
  <si>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</si>
  <si>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</si>
  <si>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</si>
  <si>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pārvaldnieks </t>
  </si>
  <si>
    <t>_______________________________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</si>
  <si>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</si>
  <si>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</si>
  <si>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</si>
  <si>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</si>
  <si>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</si>
  <si>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</si>
  <si>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</si>
  <si>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</si>
  <si>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</si>
  <si>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</si>
  <si>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</si>
  <si>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</si>
  <si>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</si>
  <si>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</si>
  <si>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</si>
  <si>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</si>
  <si>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augusts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</si>
  <si>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</si>
  <si>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</si>
  <si>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</si>
  <si>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</si>
  <si>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</si>
  <si>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</si>
  <si>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</si>
  <si>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</si>
  <si>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</si>
  <si>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</si>
  <si>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</si>
  <si>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</si>
  <si>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1.septembri (1.-2.)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</si>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</sst>
</file>

<file path=xl/styles.xml><?xml version="1.0" encoding="utf-8"?>
<styleSheet xmlns="http://schemas.openxmlformats.org/spreadsheetml/2006/main">
  <numFmts count="6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#,###%"/>
    <numFmt numFmtId="174" formatCode="0.0%"/>
    <numFmt numFmtId="175" formatCode="#\ ##0"/>
    <numFmt numFmtId="176" formatCode="00.000"/>
    <numFmt numFmtId="177" formatCode="###,###"/>
    <numFmt numFmtId="178" formatCode="00.0%"/>
    <numFmt numFmtId="179" formatCode="#,###.0%"/>
    <numFmt numFmtId="180" formatCode="###.0%"/>
    <numFmt numFmtId="181" formatCode="###0"/>
    <numFmt numFmtId="182" formatCode="#,##0\ &quot;LVR&quot;;\-#,##0\ &quot;LVR&quot;"/>
    <numFmt numFmtId="183" formatCode="#,##0\ &quot;LVR&quot;;[Red]\-#,##0\ &quot;LVR&quot;"/>
    <numFmt numFmtId="184" formatCode="#,##0.00\ &quot;LVR&quot;;\-#,##0.00\ &quot;LVR&quot;"/>
    <numFmt numFmtId="185" formatCode="#,##0.00\ &quot;LVR&quot;;[Red]\-#,##0.00\ &quot;LVR&quot;"/>
    <numFmt numFmtId="186" formatCode="_-* #,##0\ &quot;LVR&quot;_-;\-* #,##0\ &quot;LVR&quot;_-;_-* &quot;-&quot;\ &quot;LVR&quot;_-;_-@_-"/>
    <numFmt numFmtId="187" formatCode="_-* #,##0\ _L_V_R_-;\-* #,##0\ _L_V_R_-;_-* &quot;-&quot;\ _L_V_R_-;_-@_-"/>
    <numFmt numFmtId="188" formatCode="_-* #,##0.00\ &quot;LVR&quot;_-;\-* #,##0.00\ &quot;LVR&quot;_-;_-* &quot;-&quot;??\ &quot;LVR&quot;_-;_-@_-"/>
    <numFmt numFmtId="189" formatCode="_-* #,##0.00\ _L_V_R_-;\-* #,##0.00\ _L_V_R_-;_-* &quot;-&quot;??\ _L_V_R_-;_-@_-"/>
    <numFmt numFmtId="190" formatCode="&quot;Ls&quot;#,##0_);\(&quot;Ls&quot;#,##0\)"/>
    <numFmt numFmtId="191" formatCode="&quot;Ls&quot;#,##0_);[Red]\(&quot;Ls&quot;#,##0\)"/>
    <numFmt numFmtId="192" formatCode="&quot;Ls&quot;#,##0.00_);\(&quot;Ls&quot;#,##0.00\)"/>
    <numFmt numFmtId="193" formatCode="&quot;Ls&quot;#,##0.00_);[Red]\(&quot;Ls&quot;#,##0.00\)"/>
    <numFmt numFmtId="194" formatCode="_(&quot;Ls&quot;* #,##0_);_(&quot;Ls&quot;* \(#,##0\);_(&quot;Ls&quot;* &quot;-&quot;_);_(@_)"/>
    <numFmt numFmtId="195" formatCode="_(&quot;Ls&quot;* #,##0.00_);_(&quot;Ls&quot;* \(#,##0.00\);_(&quot;Ls&quot;* &quot;-&quot;??_);_(@_)"/>
    <numFmt numFmtId="196" formatCode="#,###,##0"/>
    <numFmt numFmtId="197" formatCode="#,000"/>
    <numFmt numFmtId="198" formatCode="#,###,000"/>
    <numFmt numFmtId="199" formatCode="#,"/>
    <numFmt numFmtId="200" formatCode="0,"/>
    <numFmt numFmtId="201" formatCode="##0"/>
    <numFmt numFmtId="202" formatCode="#0,"/>
    <numFmt numFmtId="203" formatCode="#,#00"/>
    <numFmt numFmtId="204" formatCode="#."/>
    <numFmt numFmtId="205" formatCode="##0,"/>
    <numFmt numFmtId="206" formatCode="##0,###"/>
    <numFmt numFmtId="207" formatCode="#,###"/>
    <numFmt numFmtId="208" formatCode="\ #,"/>
    <numFmt numFmtId="209" formatCode="\ #"/>
    <numFmt numFmtId="210" formatCode="#,###,000.0"/>
    <numFmt numFmtId="211" formatCode="_(* #,##0.000_);_(* \(#,##0.000\);_(* &quot;-&quot;??_);_(@_)"/>
    <numFmt numFmtId="212" formatCode="_(* #,##0.0_);_(* \(#,##0.0\);_(* &quot;-&quot;??_);_(@_)"/>
    <numFmt numFmtId="213" formatCode="_(* #,##0_);_(* \(#,##0\);_(* &quot;-&quot;??_);_(@_)"/>
    <numFmt numFmtId="214" formatCode="#\ ###\ ##0"/>
    <numFmt numFmtId="215" formatCode="#\ ###\ \ ##0"/>
    <numFmt numFmtId="216" formatCode="###,##0,"/>
    <numFmt numFmtId="217" formatCode="#,###,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sz val="12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5" fillId="0" borderId="1" xfId="22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4" fontId="6" fillId="0" borderId="1" xfId="22" applyNumberFormat="1" applyFont="1" applyBorder="1" applyAlignment="1">
      <alignment/>
    </xf>
    <xf numFmtId="0" fontId="6" fillId="0" borderId="1" xfId="0" applyFont="1" applyBorder="1" applyAlignment="1">
      <alignment wrapText="1"/>
    </xf>
    <xf numFmtId="172" fontId="5" fillId="0" borderId="1" xfId="0" applyNumberFormat="1" applyFont="1" applyBorder="1" applyAlignment="1">
      <alignment/>
    </xf>
    <xf numFmtId="174" fontId="5" fillId="0" borderId="1" xfId="22" applyNumberFormat="1" applyFont="1" applyBorder="1" applyAlignment="1">
      <alignment/>
    </xf>
    <xf numFmtId="0" fontId="0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3" fontId="1" fillId="0" borderId="1" xfId="22" applyNumberFormat="1" applyFont="1" applyBorder="1" applyAlignment="1">
      <alignment/>
    </xf>
    <xf numFmtId="174" fontId="1" fillId="0" borderId="1" xfId="22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72" fontId="8" fillId="0" borderId="1" xfId="0" applyNumberFormat="1" applyFont="1" applyBorder="1" applyAlignment="1">
      <alignment/>
    </xf>
    <xf numFmtId="174" fontId="8" fillId="0" borderId="1" xfId="22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5" fontId="4" fillId="0" borderId="1" xfId="0" applyNumberFormat="1" applyFont="1" applyBorder="1" applyAlignment="1">
      <alignment/>
    </xf>
    <xf numFmtId="10" fontId="5" fillId="0" borderId="1" xfId="22" applyNumberFormat="1" applyFont="1" applyBorder="1" applyAlignment="1">
      <alignment/>
    </xf>
    <xf numFmtId="17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6" fontId="7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/>
    </xf>
    <xf numFmtId="10" fontId="1" fillId="0" borderId="1" xfId="22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5" fontId="7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77" fontId="6" fillId="0" borderId="1" xfId="0" applyNumberFormat="1" applyFont="1" applyBorder="1" applyAlignment="1">
      <alignment horizontal="right" wrapText="1"/>
    </xf>
    <xf numFmtId="9" fontId="6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173" fontId="1" fillId="0" borderId="1" xfId="22" applyNumberFormat="1" applyFont="1" applyBorder="1" applyAlignment="1">
      <alignment horizontal="right"/>
    </xf>
    <xf numFmtId="9" fontId="5" fillId="0" borderId="1" xfId="22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75" fontId="5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75" fontId="5" fillId="0" borderId="1" xfId="0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right" wrapText="1"/>
    </xf>
    <xf numFmtId="175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75" fontId="8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175" fontId="4" fillId="0" borderId="1" xfId="0" applyNumberFormat="1" applyFont="1" applyBorder="1" applyAlignment="1">
      <alignment horizontal="right"/>
    </xf>
    <xf numFmtId="175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5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75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175" fontId="7" fillId="0" borderId="0" xfId="0" applyNumberFormat="1" applyFont="1" applyAlignment="1">
      <alignment horizontal="centerContinuous"/>
    </xf>
    <xf numFmtId="175" fontId="8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0" fontId="6" fillId="0" borderId="1" xfId="22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8" fontId="4" fillId="0" borderId="1" xfId="22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8" fontId="6" fillId="0" borderId="1" xfId="22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8" fontId="5" fillId="0" borderId="1" xfId="22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8" fontId="1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74" fontId="8" fillId="0" borderId="1" xfId="0" applyNumberFormat="1" applyFont="1" applyBorder="1" applyAlignment="1">
      <alignment/>
    </xf>
    <xf numFmtId="178" fontId="8" fillId="0" borderId="1" xfId="22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0" fontId="1" fillId="0" borderId="0" xfId="22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0" fontId="7" fillId="0" borderId="0" xfId="0" applyNumberFormat="1" applyFont="1" applyAlignment="1">
      <alignment horizontal="centerContinuous"/>
    </xf>
    <xf numFmtId="172" fontId="4" fillId="0" borderId="1" xfId="0" applyNumberFormat="1" applyFont="1" applyBorder="1" applyAlignment="1">
      <alignment horizontal="right" wrapText="1"/>
    </xf>
    <xf numFmtId="174" fontId="4" fillId="0" borderId="1" xfId="22" applyNumberFormat="1" applyFont="1" applyBorder="1" applyAlignment="1">
      <alignment/>
    </xf>
    <xf numFmtId="172" fontId="1" fillId="0" borderId="1" xfId="0" applyNumberFormat="1" applyFont="1" applyBorder="1" applyAlignment="1">
      <alignment horizontal="right" wrapText="1"/>
    </xf>
    <xf numFmtId="172" fontId="4" fillId="0" borderId="1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right" wrapText="1"/>
    </xf>
    <xf numFmtId="172" fontId="5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/>
    </xf>
    <xf numFmtId="175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175" fontId="8" fillId="0" borderId="1" xfId="0" applyNumberFormat="1" applyFont="1" applyBorder="1" applyAlignment="1">
      <alignment horizontal="right"/>
    </xf>
    <xf numFmtId="173" fontId="8" fillId="0" borderId="1" xfId="22" applyNumberFormat="1" applyFont="1" applyBorder="1" applyAlignment="1">
      <alignment horizontal="center"/>
    </xf>
    <xf numFmtId="175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right" wrapText="1"/>
    </xf>
    <xf numFmtId="172" fontId="7" fillId="0" borderId="1" xfId="0" applyNumberFormat="1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center" wrapText="1"/>
    </xf>
    <xf numFmtId="175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5" fontId="0" fillId="0" borderId="0" xfId="0" applyNumberFormat="1" applyFont="1" applyAlignment="1">
      <alignment horizontal="center"/>
    </xf>
    <xf numFmtId="175" fontId="13" fillId="0" borderId="0" xfId="0" applyNumberFormat="1" applyFont="1" applyAlignment="1">
      <alignment horizontal="center"/>
    </xf>
    <xf numFmtId="10" fontId="6" fillId="0" borderId="0" xfId="0" applyNumberFormat="1" applyFont="1" applyBorder="1" applyAlignment="1">
      <alignment horizontal="center" wrapText="1"/>
    </xf>
    <xf numFmtId="10" fontId="7" fillId="0" borderId="0" xfId="0" applyNumberFormat="1" applyFont="1" applyBorder="1" applyAlignment="1">
      <alignment horizontal="centerContinuous"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2" fontId="6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79" fontId="5" fillId="0" borderId="1" xfId="22" applyNumberFormat="1" applyFont="1" applyBorder="1" applyAlignment="1">
      <alignment/>
    </xf>
    <xf numFmtId="179" fontId="1" fillId="0" borderId="1" xfId="22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179" fontId="8" fillId="0" borderId="1" xfId="22" applyNumberFormat="1" applyFont="1" applyBorder="1" applyAlignment="1">
      <alignment/>
    </xf>
    <xf numFmtId="0" fontId="16" fillId="0" borderId="0" xfId="0" applyFont="1" applyAlignment="1">
      <alignment/>
    </xf>
    <xf numFmtId="175" fontId="0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80" fontId="4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80" fontId="1" fillId="0" borderId="1" xfId="22" applyNumberFormat="1" applyFont="1" applyBorder="1" applyAlignment="1">
      <alignment/>
    </xf>
    <xf numFmtId="180" fontId="6" fillId="0" borderId="1" xfId="22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17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0" fontId="7" fillId="0" borderId="0" xfId="0" applyNumberFormat="1" applyFont="1" applyBorder="1" applyAlignment="1">
      <alignment wrapText="1"/>
    </xf>
    <xf numFmtId="175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175" fontId="13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175" fontId="13" fillId="0" borderId="0" xfId="0" applyNumberFormat="1" applyFont="1" applyAlignment="1">
      <alignment/>
    </xf>
    <xf numFmtId="180" fontId="5" fillId="0" borderId="1" xfId="22" applyNumberFormat="1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2" fillId="0" borderId="0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175" fontId="4" fillId="0" borderId="1" xfId="0" applyNumberFormat="1" applyFont="1" applyBorder="1" applyAlignment="1">
      <alignment wrapText="1"/>
    </xf>
    <xf numFmtId="175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175" fontId="5" fillId="0" borderId="1" xfId="0" applyNumberFormat="1" applyFont="1" applyBorder="1" applyAlignment="1">
      <alignment wrapText="1"/>
    </xf>
    <xf numFmtId="175" fontId="7" fillId="0" borderId="1" xfId="0" applyNumberFormat="1" applyFont="1" applyBorder="1" applyAlignment="1">
      <alignment wrapText="1"/>
    </xf>
    <xf numFmtId="175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175" fontId="0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21" applyFont="1" applyAlignment="1">
      <alignment horizontal="centerContinuous"/>
      <protection/>
    </xf>
    <xf numFmtId="0" fontId="0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1" fillId="0" borderId="0" xfId="21" applyFont="1">
      <alignment/>
      <protection/>
    </xf>
    <xf numFmtId="0" fontId="1" fillId="0" borderId="1" xfId="21" applyFont="1" applyBorder="1" applyAlignment="1">
      <alignment horizontal="center" vertical="center" wrapText="1"/>
      <protection/>
    </xf>
    <xf numFmtId="0" fontId="21" fillId="0" borderId="0" xfId="21" applyFont="1" applyAlignment="1">
      <alignment horizontal="center"/>
      <protection/>
    </xf>
    <xf numFmtId="0" fontId="4" fillId="0" borderId="1" xfId="21" applyFont="1" applyBorder="1" applyAlignment="1">
      <alignment wrapText="1"/>
      <protection/>
    </xf>
    <xf numFmtId="175" fontId="7" fillId="0" borderId="1" xfId="21" applyNumberFormat="1" applyFont="1" applyBorder="1">
      <alignment/>
      <protection/>
    </xf>
    <xf numFmtId="2" fontId="7" fillId="0" borderId="1" xfId="21" applyNumberFormat="1" applyFont="1" applyBorder="1">
      <alignment/>
      <protection/>
    </xf>
    <xf numFmtId="0" fontId="7" fillId="0" borderId="1" xfId="21" applyFont="1" applyBorder="1" applyAlignment="1">
      <alignment/>
      <protection/>
    </xf>
    <xf numFmtId="0" fontId="8" fillId="0" borderId="1" xfId="21" applyFont="1" applyBorder="1" applyAlignment="1">
      <alignment horizontal="center" wrapText="1"/>
      <protection/>
    </xf>
    <xf numFmtId="0" fontId="0" fillId="0" borderId="1" xfId="21" applyFont="1" applyBorder="1" applyAlignment="1">
      <alignment wrapText="1"/>
      <protection/>
    </xf>
    <xf numFmtId="0" fontId="6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 wrapText="1"/>
      <protection/>
    </xf>
    <xf numFmtId="0" fontId="21" fillId="0" borderId="1" xfId="21" applyFont="1" applyBorder="1">
      <alignment/>
      <protection/>
    </xf>
    <xf numFmtId="0" fontId="0" fillId="0" borderId="0" xfId="21" applyFont="1" applyAlignment="1">
      <alignment wrapText="1"/>
      <protection/>
    </xf>
    <xf numFmtId="0" fontId="7" fillId="0" borderId="0" xfId="21" applyFont="1" applyAlignment="1">
      <alignment horizontal="left"/>
      <protection/>
    </xf>
    <xf numFmtId="0" fontId="0" fillId="0" borderId="0" xfId="21" applyNumberFormat="1" applyFont="1" applyBorder="1">
      <alignment/>
      <protection/>
    </xf>
    <xf numFmtId="49" fontId="7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wrapText="1"/>
      <protection/>
    </xf>
    <xf numFmtId="0" fontId="21" fillId="0" borderId="0" xfId="21" applyFont="1" applyAlignment="1">
      <alignment wrapText="1"/>
      <protection/>
    </xf>
    <xf numFmtId="49" fontId="0" fillId="0" borderId="0" xfId="21" applyNumberFormat="1" applyFont="1" applyAlignment="1">
      <alignment horizontal="centerContinuous" vertical="top" wrapText="1"/>
      <protection/>
    </xf>
    <xf numFmtId="0" fontId="0" fillId="0" borderId="0" xfId="21" applyFont="1" applyAlignment="1">
      <alignment horizontal="left"/>
      <protection/>
    </xf>
    <xf numFmtId="49" fontId="2" fillId="0" borderId="0" xfId="21" applyNumberFormat="1" applyFont="1" applyAlignment="1">
      <alignment horizontal="centerContinuous" vertical="top" wrapText="1"/>
      <protection/>
    </xf>
    <xf numFmtId="49" fontId="19" fillId="0" borderId="0" xfId="21" applyNumberFormat="1" applyFont="1" applyAlignment="1">
      <alignment horizontal="centerContinuous" vertical="top" wrapText="1"/>
      <protection/>
    </xf>
    <xf numFmtId="0" fontId="19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49" fontId="21" fillId="0" borderId="0" xfId="21" applyNumberFormat="1" applyFont="1" applyAlignment="1">
      <alignment vertical="top" wrapText="1"/>
      <protection/>
    </xf>
    <xf numFmtId="0" fontId="21" fillId="0" borderId="0" xfId="21" applyFont="1" applyAlignment="1">
      <alignment horizontal="centerContinuous"/>
      <protection/>
    </xf>
    <xf numFmtId="49" fontId="1" fillId="0" borderId="0" xfId="21" applyNumberFormat="1" applyFont="1" applyAlignment="1">
      <alignment vertical="top" wrapText="1"/>
      <protection/>
    </xf>
    <xf numFmtId="0" fontId="1" fillId="0" borderId="0" xfId="21" applyFont="1" applyAlignment="1">
      <alignment horizontal="centerContinuous"/>
      <protection/>
    </xf>
    <xf numFmtId="49" fontId="1" fillId="0" borderId="1" xfId="21" applyNumberFormat="1" applyFont="1" applyFill="1" applyBorder="1" applyAlignment="1">
      <alignment horizontal="centerContinuous" vertical="center"/>
      <protection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49" fontId="1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>
      <alignment/>
      <protection/>
    </xf>
    <xf numFmtId="4" fontId="7" fillId="0" borderId="1" xfId="21" applyNumberFormat="1" applyFont="1" applyBorder="1">
      <alignment/>
      <protection/>
    </xf>
    <xf numFmtId="49" fontId="4" fillId="0" borderId="1" xfId="21" applyNumberFormat="1" applyFont="1" applyFill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left"/>
      <protection/>
    </xf>
    <xf numFmtId="3" fontId="5" fillId="0" borderId="1" xfId="21" applyNumberFormat="1" applyFont="1" applyBorder="1" applyAlignment="1">
      <alignment horizontal="left"/>
      <protection/>
    </xf>
    <xf numFmtId="3" fontId="1" fillId="0" borderId="1" xfId="21" applyNumberFormat="1" applyFont="1" applyBorder="1">
      <alignment/>
      <protection/>
    </xf>
    <xf numFmtId="49" fontId="1" fillId="0" borderId="1" xfId="21" applyNumberFormat="1" applyFont="1" applyFill="1" applyBorder="1" applyAlignment="1">
      <alignment vertical="top" wrapText="1"/>
      <protection/>
    </xf>
    <xf numFmtId="49" fontId="4" fillId="0" borderId="1" xfId="21" applyNumberFormat="1" applyFont="1" applyFill="1" applyBorder="1" applyAlignment="1">
      <alignment vertical="top" wrapText="1"/>
      <protection/>
    </xf>
    <xf numFmtId="3" fontId="5" fillId="0" borderId="1" xfId="21" applyNumberFormat="1" applyFont="1" applyBorder="1" applyAlignment="1">
      <alignment horizontal="center"/>
      <protection/>
    </xf>
    <xf numFmtId="49" fontId="5" fillId="0" borderId="1" xfId="21" applyNumberFormat="1" applyFont="1" applyFill="1" applyBorder="1" applyAlignment="1">
      <alignment horizontal="center" vertical="top" wrapText="1"/>
      <protection/>
    </xf>
    <xf numFmtId="0" fontId="21" fillId="0" borderId="0" xfId="21" applyFont="1" applyBorder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 applyBorder="1" applyAlignment="1">
      <alignment horizontal="center"/>
      <protection/>
    </xf>
    <xf numFmtId="49" fontId="0" fillId="0" borderId="0" xfId="21" applyNumberFormat="1" applyFont="1" applyAlignment="1">
      <alignment vertical="top" wrapText="1"/>
      <protection/>
    </xf>
    <xf numFmtId="49" fontId="7" fillId="0" borderId="0" xfId="21" applyNumberFormat="1" applyFont="1" applyAlignment="1">
      <alignment vertical="top" wrapText="1"/>
      <protection/>
    </xf>
    <xf numFmtId="0" fontId="21" fillId="0" borderId="3" xfId="21" applyFont="1" applyBorder="1" applyAlignment="1">
      <alignment horizontal="left"/>
      <protection/>
    </xf>
    <xf numFmtId="49" fontId="7" fillId="0" borderId="0" xfId="21" applyNumberFormat="1" applyFont="1" applyAlignment="1">
      <alignment horizontal="left" vertical="top" wrapText="1"/>
      <protection/>
    </xf>
    <xf numFmtId="0" fontId="1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49" fontId="21" fillId="0" borderId="0" xfId="21" applyNumberFormat="1" applyFont="1" applyAlignment="1">
      <alignment horizontal="left" vertical="top" wrapText="1"/>
      <protection/>
    </xf>
    <xf numFmtId="0" fontId="21" fillId="0" borderId="0" xfId="21" applyFont="1" applyAlignment="1">
      <alignment/>
      <protection/>
    </xf>
    <xf numFmtId="49" fontId="1" fillId="0" borderId="0" xfId="21" applyNumberFormat="1" applyFont="1" applyAlignment="1">
      <alignment horizontal="centerContinuous" vertical="top" wrapText="1"/>
      <protection/>
    </xf>
    <xf numFmtId="49" fontId="21" fillId="0" borderId="0" xfId="21" applyNumberFormat="1" applyFont="1" applyAlignment="1">
      <alignment horizontal="centerContinuous" vertical="top" wrapText="1"/>
      <protection/>
    </xf>
    <xf numFmtId="49" fontId="1" fillId="0" borderId="0" xfId="21" applyNumberFormat="1" applyFont="1" applyAlignment="1">
      <alignment horizontal="center" vertical="top" wrapText="1"/>
      <protection/>
    </xf>
    <xf numFmtId="0" fontId="1" fillId="0" borderId="0" xfId="21" applyFont="1" applyAlignment="1">
      <alignment/>
      <protection/>
    </xf>
    <xf numFmtId="49" fontId="1" fillId="0" borderId="4" xfId="21" applyNumberFormat="1" applyFont="1" applyFill="1" applyBorder="1" applyAlignment="1">
      <alignment horizontal="center" vertical="center" wrapText="1"/>
      <protection/>
    </xf>
    <xf numFmtId="49" fontId="1" fillId="0" borderId="5" xfId="21" applyNumberFormat="1" applyFont="1" applyFill="1" applyBorder="1" applyAlignment="1">
      <alignment horizontal="center" vertical="center" wrapText="1"/>
      <protection/>
    </xf>
    <xf numFmtId="49" fontId="1" fillId="0" borderId="6" xfId="21" applyNumberFormat="1" applyFont="1" applyFill="1" applyBorder="1" applyAlignment="1">
      <alignment horizontal="center" vertical="center" wrapText="1"/>
      <protection/>
    </xf>
    <xf numFmtId="49" fontId="1" fillId="0" borderId="7" xfId="21" applyNumberFormat="1" applyFont="1" applyFill="1" applyBorder="1" applyAlignment="1">
      <alignment horizontal="center" vertical="top" wrapText="1"/>
      <protection/>
    </xf>
    <xf numFmtId="49" fontId="1" fillId="0" borderId="8" xfId="21" applyNumberFormat="1" applyFont="1" applyFill="1" applyBorder="1" applyAlignment="1">
      <alignment horizontal="center" vertical="top" wrapText="1"/>
      <protection/>
    </xf>
    <xf numFmtId="49" fontId="4" fillId="0" borderId="7" xfId="21" applyNumberFormat="1" applyFont="1" applyFill="1" applyBorder="1" applyAlignment="1">
      <alignment horizontal="center" vertical="top" wrapText="1"/>
      <protection/>
    </xf>
    <xf numFmtId="3" fontId="7" fillId="0" borderId="8" xfId="21" applyNumberFormat="1" applyFont="1" applyBorder="1">
      <alignment/>
      <protection/>
    </xf>
    <xf numFmtId="49" fontId="4" fillId="0" borderId="7" xfId="21" applyNumberFormat="1" applyFont="1" applyFill="1" applyBorder="1" applyAlignment="1">
      <alignment horizontal="left" vertical="top" wrapText="1"/>
      <protection/>
    </xf>
    <xf numFmtId="49" fontId="1" fillId="0" borderId="7" xfId="21" applyNumberFormat="1" applyFont="1" applyFill="1" applyBorder="1" applyAlignment="1">
      <alignment vertical="top" wrapText="1"/>
      <protection/>
    </xf>
    <xf numFmtId="49" fontId="5" fillId="0" borderId="7" xfId="21" applyNumberFormat="1" applyFont="1" applyFill="1" applyBorder="1" applyAlignment="1">
      <alignment horizontal="center" vertical="top" wrapText="1"/>
      <protection/>
    </xf>
    <xf numFmtId="49" fontId="1" fillId="0" borderId="7" xfId="21" applyNumberFormat="1" applyFont="1" applyFill="1" applyBorder="1" applyAlignment="1">
      <alignment horizontal="left" vertical="top" wrapText="1"/>
      <protection/>
    </xf>
    <xf numFmtId="49" fontId="1" fillId="0" borderId="9" xfId="21" applyNumberFormat="1" applyFont="1" applyFill="1" applyBorder="1" applyAlignment="1">
      <alignment horizontal="left" vertical="top" wrapText="1"/>
      <protection/>
    </xf>
    <xf numFmtId="3" fontId="7" fillId="0" borderId="10" xfId="21" applyNumberFormat="1" applyFont="1" applyBorder="1">
      <alignment/>
      <protection/>
    </xf>
    <xf numFmtId="3" fontId="7" fillId="0" borderId="11" xfId="21" applyNumberFormat="1" applyFont="1" applyBorder="1">
      <alignment/>
      <protection/>
    </xf>
    <xf numFmtId="49" fontId="7" fillId="0" borderId="0" xfId="21" applyNumberFormat="1" applyFont="1" applyFill="1" applyBorder="1" applyAlignment="1">
      <alignment vertical="top" wrapText="1"/>
      <protection/>
    </xf>
    <xf numFmtId="49" fontId="7" fillId="0" borderId="0" xfId="21" applyNumberFormat="1" applyFont="1" applyFill="1" applyBorder="1" applyAlignment="1">
      <alignment horizontal="center" vertical="top" wrapText="1"/>
      <protection/>
    </xf>
    <xf numFmtId="3" fontId="7" fillId="0" borderId="0" xfId="21" applyNumberFormat="1" applyFont="1" applyBorder="1">
      <alignment/>
      <protection/>
    </xf>
    <xf numFmtId="49" fontId="7" fillId="0" borderId="0" xfId="21" applyNumberFormat="1" applyFont="1" applyAlignment="1">
      <alignment horizontal="center" vertical="top" wrapText="1"/>
      <protection/>
    </xf>
    <xf numFmtId="0" fontId="7" fillId="0" borderId="3" xfId="21" applyFont="1" applyBorder="1" applyAlignment="1">
      <alignment/>
      <protection/>
    </xf>
    <xf numFmtId="49" fontId="7" fillId="0" borderId="0" xfId="21" applyNumberFormat="1" applyFont="1" applyBorder="1">
      <alignment/>
      <protection/>
    </xf>
    <xf numFmtId="0" fontId="7" fillId="0" borderId="0" xfId="21" applyFont="1" applyAlignment="1">
      <alignment/>
      <protection/>
    </xf>
    <xf numFmtId="49" fontId="21" fillId="0" borderId="0" xfId="21" applyNumberFormat="1" applyFont="1" applyAlignment="1">
      <alignment horizontal="center" vertical="top" wrapText="1"/>
      <protection/>
    </xf>
    <xf numFmtId="49" fontId="0" fillId="0" borderId="0" xfId="21" applyNumberFormat="1" applyFont="1" applyAlignment="1">
      <alignment horizontal="right" vertical="top" wrapText="1"/>
      <protection/>
    </xf>
    <xf numFmtId="49" fontId="9" fillId="0" borderId="0" xfId="21" applyNumberFormat="1" applyFont="1" applyAlignment="1">
      <alignment horizontal="centerContinuous" vertical="top" wrapText="1"/>
      <protection/>
    </xf>
    <xf numFmtId="49" fontId="5" fillId="0" borderId="7" xfId="21" applyNumberFormat="1" applyFont="1" applyFill="1" applyBorder="1" applyAlignment="1">
      <alignment horizontal="left" vertical="top" wrapText="1"/>
      <protection/>
    </xf>
    <xf numFmtId="49" fontId="8" fillId="0" borderId="7" xfId="21" applyNumberFormat="1" applyFont="1" applyFill="1" applyBorder="1" applyAlignment="1">
      <alignment horizontal="left" vertical="top" wrapText="1"/>
      <protection/>
    </xf>
    <xf numFmtId="3" fontId="21" fillId="0" borderId="0" xfId="21" applyNumberFormat="1" applyFont="1" applyAlignment="1">
      <alignment horizontal="left"/>
      <protection/>
    </xf>
    <xf numFmtId="4" fontId="7" fillId="0" borderId="10" xfId="21" applyNumberFormat="1" applyFont="1" applyBorder="1">
      <alignment/>
      <protection/>
    </xf>
    <xf numFmtId="49" fontId="4" fillId="0" borderId="9" xfId="21" applyNumberFormat="1" applyFont="1" applyFill="1" applyBorder="1" applyAlignment="1">
      <alignment horizontal="left" vertical="top" wrapText="1"/>
      <protection/>
    </xf>
    <xf numFmtId="4" fontId="7" fillId="0" borderId="12" xfId="21" applyNumberFormat="1" applyFont="1" applyBorder="1">
      <alignment/>
      <protection/>
    </xf>
    <xf numFmtId="49" fontId="1" fillId="0" borderId="0" xfId="21" applyNumberFormat="1" applyFont="1" applyAlignment="1">
      <alignment horizontal="left" vertical="top" wrapText="1"/>
      <protection/>
    </xf>
    <xf numFmtId="49" fontId="7" fillId="0" borderId="3" xfId="21" applyNumberFormat="1" applyFont="1" applyBorder="1" applyAlignment="1">
      <alignment horizontal="center"/>
      <protection/>
    </xf>
    <xf numFmtId="0" fontId="1" fillId="0" borderId="7" xfId="21" applyFont="1" applyBorder="1" applyAlignment="1">
      <alignment horizontal="center"/>
      <protection/>
    </xf>
    <xf numFmtId="3" fontId="1" fillId="0" borderId="1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8" xfId="21" applyNumberFormat="1" applyFont="1" applyBorder="1" applyAlignment="1">
      <alignment horizontal="center"/>
      <protection/>
    </xf>
    <xf numFmtId="0" fontId="4" fillId="0" borderId="7" xfId="21" applyFont="1" applyBorder="1" applyAlignment="1">
      <alignment horizontal="left" vertical="top" wrapText="1"/>
      <protection/>
    </xf>
    <xf numFmtId="0" fontId="1" fillId="0" borderId="7" xfId="21" applyFont="1" applyBorder="1" applyAlignment="1">
      <alignment vertical="top" wrapText="1"/>
      <protection/>
    </xf>
    <xf numFmtId="0" fontId="4" fillId="0" borderId="7" xfId="21" applyFont="1" applyBorder="1" applyAlignment="1">
      <alignment vertical="top" wrapText="1"/>
      <protection/>
    </xf>
    <xf numFmtId="0" fontId="4" fillId="0" borderId="9" xfId="21" applyFont="1" applyBorder="1" applyAlignment="1">
      <alignment vertical="top" wrapText="1"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centerContinuous"/>
      <protection/>
    </xf>
    <xf numFmtId="2" fontId="7" fillId="0" borderId="10" xfId="21" applyNumberFormat="1" applyFont="1" applyBorder="1">
      <alignment/>
      <protection/>
    </xf>
    <xf numFmtId="2" fontId="7" fillId="0" borderId="12" xfId="21" applyNumberFormat="1" applyFont="1" applyBorder="1">
      <alignment/>
      <protection/>
    </xf>
    <xf numFmtId="4" fontId="7" fillId="0" borderId="0" xfId="21" applyNumberFormat="1" applyFont="1" applyBorder="1">
      <alignment/>
      <protection/>
    </xf>
    <xf numFmtId="0" fontId="21" fillId="0" borderId="3" xfId="21" applyFont="1" applyBorder="1">
      <alignment/>
      <protection/>
    </xf>
    <xf numFmtId="0" fontId="7" fillId="0" borderId="0" xfId="21" applyFont="1" applyBorder="1" applyAlignment="1">
      <alignment/>
      <protection/>
    </xf>
    <xf numFmtId="49" fontId="7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horizontal="center" vertical="top" wrapText="1"/>
      <protection/>
    </xf>
    <xf numFmtId="0" fontId="7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wrapText="1"/>
      <protection/>
    </xf>
    <xf numFmtId="0" fontId="22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centerContinuous" wrapText="1"/>
      <protection/>
    </xf>
    <xf numFmtId="0" fontId="0" fillId="0" borderId="13" xfId="21" applyFont="1" applyBorder="1" applyAlignment="1">
      <alignment wrapText="1"/>
      <protection/>
    </xf>
    <xf numFmtId="0" fontId="1" fillId="0" borderId="14" xfId="21" applyFont="1" applyBorder="1" applyAlignment="1">
      <alignment horizontal="centerContinuous"/>
      <protection/>
    </xf>
    <xf numFmtId="0" fontId="1" fillId="0" borderId="15" xfId="21" applyFont="1" applyBorder="1" applyAlignment="1">
      <alignment horizontal="centerContinuous"/>
      <protection/>
    </xf>
    <xf numFmtId="0" fontId="0" fillId="0" borderId="16" xfId="21" applyFont="1" applyBorder="1" applyAlignment="1">
      <alignment/>
      <protection/>
    </xf>
    <xf numFmtId="0" fontId="1" fillId="0" borderId="15" xfId="21" applyFont="1" applyBorder="1" applyAlignment="1">
      <alignment horizontal="centerContinuous" vertical="center"/>
      <protection/>
    </xf>
    <xf numFmtId="0" fontId="1" fillId="0" borderId="14" xfId="21" applyFont="1" applyBorder="1" applyAlignment="1">
      <alignment horizontal="centerContinuous" vertical="center" wrapText="1"/>
      <protection/>
    </xf>
    <xf numFmtId="0" fontId="0" fillId="0" borderId="14" xfId="21" applyFont="1" applyBorder="1" applyAlignment="1">
      <alignment horizontal="centerContinuous"/>
      <protection/>
    </xf>
    <xf numFmtId="0" fontId="0" fillId="0" borderId="17" xfId="21" applyFont="1" applyBorder="1" applyAlignment="1">
      <alignment horizontal="center"/>
      <protection/>
    </xf>
    <xf numFmtId="0" fontId="1" fillId="0" borderId="18" xfId="21" applyFont="1" applyBorder="1" applyAlignment="1">
      <alignment wrapText="1"/>
      <protection/>
    </xf>
    <xf numFmtId="0" fontId="1" fillId="0" borderId="19" xfId="21" applyFont="1" applyBorder="1" applyAlignment="1">
      <alignment/>
      <protection/>
    </xf>
    <xf numFmtId="0" fontId="1" fillId="0" borderId="20" xfId="21" applyFont="1" applyBorder="1" applyAlignment="1">
      <alignment horizontal="centerContinuous"/>
      <protection/>
    </xf>
    <xf numFmtId="0" fontId="1" fillId="0" borderId="21" xfId="21" applyFont="1" applyBorder="1" applyAlignment="1">
      <alignment horizontal="center"/>
      <protection/>
    </xf>
    <xf numFmtId="49" fontId="1" fillId="0" borderId="18" xfId="21" applyNumberFormat="1" applyFont="1" applyBorder="1" applyAlignment="1">
      <alignment horizontal="center" vertical="top" wrapText="1"/>
      <protection/>
    </xf>
    <xf numFmtId="49" fontId="1" fillId="0" borderId="22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 applyAlignment="1">
      <alignment horizontal="center" vertical="center" wrapText="1"/>
      <protection/>
    </xf>
    <xf numFmtId="49" fontId="1" fillId="0" borderId="19" xfId="21" applyNumberFormat="1" applyFont="1" applyBorder="1" applyAlignment="1">
      <alignment horizontal="center" vertical="center" wrapText="1"/>
      <protection/>
    </xf>
    <xf numFmtId="0" fontId="1" fillId="0" borderId="19" xfId="21" applyFont="1" applyBorder="1" applyAlignment="1">
      <alignment horizontal="center" vertical="center" wrapText="1"/>
      <protection/>
    </xf>
    <xf numFmtId="49" fontId="1" fillId="0" borderId="21" xfId="21" applyNumberFormat="1" applyFont="1" applyBorder="1" applyAlignment="1">
      <alignment horizontal="center" vertical="center" wrapText="1"/>
      <protection/>
    </xf>
    <xf numFmtId="49" fontId="1" fillId="0" borderId="0" xfId="21" applyNumberFormat="1" applyFont="1">
      <alignment/>
      <protection/>
    </xf>
    <xf numFmtId="0" fontId="1" fillId="0" borderId="7" xfId="21" applyFont="1" applyBorder="1" applyAlignment="1">
      <alignment horizontal="center" wrapText="1"/>
      <protection/>
    </xf>
    <xf numFmtId="0" fontId="1" fillId="0" borderId="1" xfId="21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3" fontId="4" fillId="0" borderId="23" xfId="21" applyNumberFormat="1" applyFont="1" applyBorder="1">
      <alignment/>
      <protection/>
    </xf>
    <xf numFmtId="205" fontId="21" fillId="0" borderId="1" xfId="21" applyNumberFormat="1" applyFont="1" applyBorder="1">
      <alignment/>
      <protection/>
    </xf>
    <xf numFmtId="205" fontId="21" fillId="0" borderId="8" xfId="21" applyNumberFormat="1" applyFont="1" applyBorder="1">
      <alignment/>
      <protection/>
    </xf>
    <xf numFmtId="3" fontId="1" fillId="0" borderId="7" xfId="21" applyNumberFormat="1" applyFont="1" applyBorder="1">
      <alignment/>
      <protection/>
    </xf>
    <xf numFmtId="216" fontId="7" fillId="0" borderId="1" xfId="21" applyNumberFormat="1" applyFont="1" applyBorder="1">
      <alignment/>
      <protection/>
    </xf>
    <xf numFmtId="216" fontId="7" fillId="0" borderId="8" xfId="21" applyNumberFormat="1" applyFont="1" applyBorder="1">
      <alignment/>
      <protection/>
    </xf>
    <xf numFmtId="3" fontId="1" fillId="0" borderId="23" xfId="21" applyNumberFormat="1" applyFont="1" applyBorder="1">
      <alignment/>
      <protection/>
    </xf>
    <xf numFmtId="0" fontId="4" fillId="0" borderId="0" xfId="21" applyFont="1">
      <alignment/>
      <protection/>
    </xf>
    <xf numFmtId="0" fontId="4" fillId="0" borderId="24" xfId="21" applyFont="1" applyBorder="1" applyAlignment="1">
      <alignment horizontal="right" wrapText="1"/>
      <protection/>
    </xf>
    <xf numFmtId="216" fontId="7" fillId="0" borderId="10" xfId="21" applyNumberFormat="1" applyFont="1" applyBorder="1">
      <alignment/>
      <protection/>
    </xf>
    <xf numFmtId="216" fontId="7" fillId="0" borderId="11" xfId="21" applyNumberFormat="1" applyFont="1" applyBorder="1">
      <alignment/>
      <protection/>
    </xf>
    <xf numFmtId="0" fontId="1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49" fontId="7" fillId="0" borderId="0" xfId="21" applyNumberFormat="1" applyFont="1" applyBorder="1" applyAlignment="1">
      <alignment/>
      <protection/>
    </xf>
    <xf numFmtId="49" fontId="7" fillId="0" borderId="0" xfId="21" applyNumberFormat="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wrapText="1"/>
      <protection/>
    </xf>
    <xf numFmtId="0" fontId="21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0" fontId="2" fillId="0" borderId="0" xfId="21" applyFont="1" applyAlignment="1">
      <alignment/>
      <protection/>
    </xf>
    <xf numFmtId="0" fontId="4" fillId="0" borderId="0" xfId="21" applyFont="1" applyAlignment="1">
      <alignment horizontal="centerContinuous" wrapText="1"/>
      <protection/>
    </xf>
    <xf numFmtId="0" fontId="0" fillId="0" borderId="25" xfId="21" applyFont="1" applyBorder="1" applyAlignment="1">
      <alignment horizontal="center" vertical="top" wrapText="1"/>
      <protection/>
    </xf>
    <xf numFmtId="0" fontId="0" fillId="0" borderId="16" xfId="21" applyFont="1" applyBorder="1" applyAlignment="1">
      <alignment horizontal="center" vertical="top"/>
      <protection/>
    </xf>
    <xf numFmtId="0" fontId="0" fillId="0" borderId="16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4" xfId="21" applyFont="1" applyBorder="1" applyAlignment="1">
      <alignment horizontal="centerContinuous" vertical="center" wrapText="1"/>
      <protection/>
    </xf>
    <xf numFmtId="0" fontId="0" fillId="0" borderId="17" xfId="21" applyFont="1" applyBorder="1" applyAlignment="1">
      <alignment horizontal="center" vertical="top" wrapText="1"/>
      <protection/>
    </xf>
    <xf numFmtId="0" fontId="1" fillId="0" borderId="26" xfId="21" applyFont="1" applyBorder="1" applyAlignment="1">
      <alignment horizontal="center" vertical="top" wrapText="1"/>
      <protection/>
    </xf>
    <xf numFmtId="0" fontId="1" fillId="0" borderId="19" xfId="21" applyFont="1" applyBorder="1" applyAlignment="1">
      <alignment horizontal="center" vertical="top"/>
      <protection/>
    </xf>
    <xf numFmtId="0" fontId="1" fillId="0" borderId="27" xfId="21" applyFont="1" applyBorder="1" applyAlignment="1">
      <alignment horizontal="centerContinuous"/>
      <protection/>
    </xf>
    <xf numFmtId="0" fontId="1" fillId="0" borderId="28" xfId="21" applyFont="1" applyBorder="1" applyAlignment="1">
      <alignment horizontal="centerContinuous"/>
      <protection/>
    </xf>
    <xf numFmtId="0" fontId="1" fillId="0" borderId="21" xfId="21" applyFont="1" applyBorder="1" applyAlignment="1">
      <alignment/>
      <protection/>
    </xf>
    <xf numFmtId="0" fontId="1" fillId="0" borderId="19" xfId="21" applyFont="1" applyBorder="1" applyAlignment="1">
      <alignment horizontal="center" vertical="top" wrapText="1"/>
      <protection/>
    </xf>
    <xf numFmtId="0" fontId="1" fillId="0" borderId="21" xfId="21" applyFont="1" applyBorder="1" applyAlignment="1">
      <alignment horizontal="center" vertical="top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wrapText="1"/>
      <protection/>
    </xf>
    <xf numFmtId="0" fontId="21" fillId="0" borderId="26" xfId="21" applyFont="1" applyBorder="1">
      <alignment/>
      <protection/>
    </xf>
    <xf numFmtId="0" fontId="4" fillId="0" borderId="7" xfId="21" applyFont="1" applyBorder="1" applyAlignment="1">
      <alignment horizontal="right" wrapText="1"/>
      <protection/>
    </xf>
    <xf numFmtId="3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4" fillId="0" borderId="9" xfId="21" applyFont="1" applyBorder="1" applyAlignment="1">
      <alignment horizontal="right" wrapText="1"/>
      <protection/>
    </xf>
    <xf numFmtId="0" fontId="7" fillId="0" borderId="0" xfId="21" applyFont="1" applyAlignment="1">
      <alignment wrapText="1"/>
      <protection/>
    </xf>
    <xf numFmtId="49" fontId="1" fillId="0" borderId="0" xfId="21" applyNumberFormat="1" applyFont="1" applyBorder="1" applyAlignment="1">
      <alignment vertical="top" wrapText="1"/>
      <protection/>
    </xf>
    <xf numFmtId="49" fontId="1" fillId="0" borderId="0" xfId="21" applyNumberFormat="1" applyFont="1" applyBorder="1" applyAlignment="1">
      <alignment horizontal="center" vertical="top" wrapText="1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49" fontId="0" fillId="0" borderId="0" xfId="21" applyNumberFormat="1" applyFont="1" applyBorder="1" applyAlignment="1">
      <alignment horizontal="center" vertical="top" wrapText="1"/>
      <protection/>
    </xf>
    <xf numFmtId="0" fontId="0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" fillId="0" borderId="0" xfId="21" applyFont="1" applyAlignment="1">
      <alignment horizontal="center"/>
      <protection/>
    </xf>
    <xf numFmtId="0" fontId="7" fillId="0" borderId="3" xfId="21" applyFont="1" applyBorder="1">
      <alignment/>
      <protection/>
    </xf>
    <xf numFmtId="0" fontId="1" fillId="0" borderId="3" xfId="21" applyFont="1" applyBorder="1" applyAlignment="1">
      <alignment horizontal="right"/>
      <protection/>
    </xf>
    <xf numFmtId="0" fontId="0" fillId="0" borderId="4" xfId="21" applyFont="1" applyBorder="1" applyAlignment="1">
      <alignment horizontal="center" wrapText="1"/>
      <protection/>
    </xf>
    <xf numFmtId="3" fontId="7" fillId="0" borderId="6" xfId="21" applyNumberFormat="1" applyFont="1" applyBorder="1" applyAlignment="1">
      <alignment horizontal="center"/>
      <protection/>
    </xf>
    <xf numFmtId="0" fontId="0" fillId="0" borderId="7" xfId="21" applyFont="1" applyBorder="1" applyAlignment="1">
      <alignment horizontal="center" wrapText="1"/>
      <protection/>
    </xf>
    <xf numFmtId="3" fontId="7" fillId="0" borderId="8" xfId="21" applyNumberFormat="1" applyFont="1" applyBorder="1" applyAlignment="1">
      <alignment horizontal="center"/>
      <protection/>
    </xf>
    <xf numFmtId="0" fontId="7" fillId="0" borderId="1" xfId="21" applyFont="1" applyBorder="1">
      <alignment/>
      <protection/>
    </xf>
    <xf numFmtId="0" fontId="4" fillId="0" borderId="7" xfId="21" applyFont="1" applyBorder="1" applyAlignment="1">
      <alignment wrapText="1"/>
      <protection/>
    </xf>
    <xf numFmtId="3" fontId="6" fillId="0" borderId="8" xfId="21" applyNumberFormat="1" applyFont="1" applyBorder="1" applyAlignment="1">
      <alignment horizontal="right"/>
      <protection/>
    </xf>
    <xf numFmtId="0" fontId="0" fillId="0" borderId="7" xfId="21" applyFont="1" applyBorder="1" applyAlignment="1">
      <alignment wrapText="1"/>
      <protection/>
    </xf>
    <xf numFmtId="3" fontId="7" fillId="0" borderId="8" xfId="21" applyNumberFormat="1" applyFont="1" applyBorder="1" applyAlignment="1">
      <alignment horizontal="right"/>
      <protection/>
    </xf>
    <xf numFmtId="0" fontId="0" fillId="0" borderId="29" xfId="21" applyFont="1" applyBorder="1" applyAlignment="1">
      <alignment wrapText="1"/>
      <protection/>
    </xf>
    <xf numFmtId="3" fontId="7" fillId="0" borderId="30" xfId="21" applyNumberFormat="1" applyFont="1" applyBorder="1" applyAlignment="1">
      <alignment horizontal="right"/>
      <protection/>
    </xf>
    <xf numFmtId="0" fontId="0" fillId="0" borderId="31" xfId="21" applyFont="1" applyBorder="1" applyAlignment="1">
      <alignment wrapText="1"/>
      <protection/>
    </xf>
    <xf numFmtId="3" fontId="7" fillId="0" borderId="32" xfId="21" applyNumberFormat="1" applyFont="1" applyBorder="1" applyAlignment="1">
      <alignment horizontal="right"/>
      <protection/>
    </xf>
    <xf numFmtId="0" fontId="4" fillId="0" borderId="7" xfId="21" applyFont="1" applyBorder="1" applyAlignment="1">
      <alignment horizontal="left"/>
      <protection/>
    </xf>
    <xf numFmtId="0" fontId="4" fillId="0" borderId="9" xfId="21" applyFont="1" applyBorder="1" applyAlignment="1">
      <alignment horizontal="left"/>
      <protection/>
    </xf>
    <xf numFmtId="3" fontId="6" fillId="0" borderId="11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3" fontId="7" fillId="0" borderId="0" xfId="21" applyNumberFormat="1" applyFont="1">
      <alignment/>
      <protection/>
    </xf>
    <xf numFmtId="3" fontId="7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" fillId="0" borderId="1" xfId="21" applyFont="1" applyBorder="1" applyAlignment="1">
      <alignment horizontal="centerContinuous" vertical="center" wrapText="1"/>
      <protection/>
    </xf>
    <xf numFmtId="0" fontId="21" fillId="0" borderId="1" xfId="21" applyFont="1" applyBorder="1" applyAlignment="1">
      <alignment horizontal="centerContinuous"/>
      <protection/>
    </xf>
    <xf numFmtId="175" fontId="1" fillId="0" borderId="1" xfId="21" applyNumberFormat="1" applyFont="1" applyBorder="1" applyAlignment="1">
      <alignment horizontal="center"/>
      <protection/>
    </xf>
    <xf numFmtId="3" fontId="7" fillId="0" borderId="1" xfId="21" applyNumberFormat="1" applyFont="1" applyBorder="1" applyAlignment="1">
      <alignment horizontal="right"/>
      <protection/>
    </xf>
    <xf numFmtId="4" fontId="7" fillId="0" borderId="1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/>
      <protection/>
    </xf>
    <xf numFmtId="4" fontId="6" fillId="0" borderId="0" xfId="21" applyNumberFormat="1" applyFont="1" applyBorder="1">
      <alignment/>
      <protection/>
    </xf>
    <xf numFmtId="3" fontId="7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4" fontId="4" fillId="0" borderId="0" xfId="21" applyNumberFormat="1" applyFont="1" applyBorder="1">
      <alignment/>
      <protection/>
    </xf>
    <xf numFmtId="214" fontId="4" fillId="0" borderId="0" xfId="21" applyNumberFormat="1" applyFont="1" applyBorder="1">
      <alignment/>
      <protection/>
    </xf>
    <xf numFmtId="215" fontId="4" fillId="0" borderId="0" xfId="21" applyNumberFormat="1" applyFont="1" applyBorder="1">
      <alignment/>
      <protection/>
    </xf>
    <xf numFmtId="175" fontId="4" fillId="0" borderId="0" xfId="21" applyNumberFormat="1" applyFont="1" applyBorder="1">
      <alignment/>
      <protection/>
    </xf>
    <xf numFmtId="215" fontId="7" fillId="0" borderId="0" xfId="21" applyNumberFormat="1" applyFont="1" applyBorder="1">
      <alignment/>
      <protection/>
    </xf>
    <xf numFmtId="175" fontId="7" fillId="0" borderId="0" xfId="21" applyNumberFormat="1" applyFont="1" applyBorder="1">
      <alignment/>
      <protection/>
    </xf>
    <xf numFmtId="4" fontId="6" fillId="0" borderId="0" xfId="21" applyNumberFormat="1" applyFont="1">
      <alignment/>
      <protection/>
    </xf>
    <xf numFmtId="175" fontId="7" fillId="0" borderId="0" xfId="21" applyNumberFormat="1" applyFont="1">
      <alignment/>
      <protection/>
    </xf>
    <xf numFmtId="0" fontId="21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9908Pasv" xfId="19"/>
    <cellStyle name="Currency_9908Pasv" xfId="20"/>
    <cellStyle name="Normal_9908Pas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2PB-i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1-k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6SB-izd-ek-k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5SB-ienemumi-m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4PB-izd-ek-k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Aiz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7sb-zi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3PB-izdevumi-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4">
        <row r="26">
          <cell r="D26">
            <v>400399</v>
          </cell>
        </row>
      </sheetData>
      <sheetData sheetId="6">
        <row r="11">
          <cell r="D11">
            <v>51678908</v>
          </cell>
          <cell r="J11">
            <v>51679</v>
          </cell>
        </row>
        <row r="13">
          <cell r="D13">
            <v>174080504</v>
          </cell>
          <cell r="J13">
            <v>174081</v>
          </cell>
        </row>
        <row r="14">
          <cell r="D14">
            <v>61065969</v>
          </cell>
          <cell r="J14">
            <v>61066</v>
          </cell>
        </row>
        <row r="15">
          <cell r="D15">
            <v>9072048</v>
          </cell>
          <cell r="J15">
            <v>9072</v>
          </cell>
        </row>
        <row r="16">
          <cell r="D16">
            <v>4965627</v>
          </cell>
          <cell r="J16">
            <v>4966</v>
          </cell>
        </row>
        <row r="18">
          <cell r="D18">
            <v>3381596</v>
          </cell>
          <cell r="J18">
            <v>3381</v>
          </cell>
        </row>
        <row r="19">
          <cell r="D19">
            <v>4387088</v>
          </cell>
          <cell r="J19">
            <v>4387</v>
          </cell>
        </row>
        <row r="20">
          <cell r="D20">
            <v>5807848</v>
          </cell>
          <cell r="J20">
            <v>5808</v>
          </cell>
        </row>
        <row r="21">
          <cell r="D21">
            <v>364448</v>
          </cell>
          <cell r="J21">
            <v>364</v>
          </cell>
        </row>
        <row r="22">
          <cell r="D22">
            <v>677067</v>
          </cell>
          <cell r="J22">
            <v>677</v>
          </cell>
        </row>
        <row r="23">
          <cell r="D23">
            <v>2799682</v>
          </cell>
          <cell r="J23">
            <v>2800</v>
          </cell>
        </row>
        <row r="24">
          <cell r="D24">
            <v>9230997</v>
          </cell>
          <cell r="J24">
            <v>9231</v>
          </cell>
        </row>
        <row r="25">
          <cell r="D25">
            <v>4542759</v>
          </cell>
          <cell r="J25">
            <v>4543</v>
          </cell>
        </row>
        <row r="26">
          <cell r="J26">
            <v>601</v>
          </cell>
        </row>
        <row r="27">
          <cell r="D27">
            <v>3879035</v>
          </cell>
          <cell r="J27">
            <v>3879</v>
          </cell>
        </row>
        <row r="28">
          <cell r="D28">
            <v>3512000</v>
          </cell>
          <cell r="J28">
            <v>3512</v>
          </cell>
        </row>
        <row r="29">
          <cell r="D29">
            <v>3512000</v>
          </cell>
          <cell r="J29">
            <v>3512</v>
          </cell>
        </row>
        <row r="30">
          <cell r="D30">
            <v>2544996</v>
          </cell>
          <cell r="J30">
            <v>2545</v>
          </cell>
        </row>
        <row r="31">
          <cell r="D31">
            <v>1462500</v>
          </cell>
          <cell r="J31">
            <v>1463</v>
          </cell>
        </row>
        <row r="32">
          <cell r="D32">
            <v>1082496</v>
          </cell>
          <cell r="J32">
            <v>1082</v>
          </cell>
        </row>
        <row r="33">
          <cell r="J33">
            <v>33161</v>
          </cell>
        </row>
        <row r="34">
          <cell r="D34">
            <v>33161417</v>
          </cell>
          <cell r="J34">
            <v>33161</v>
          </cell>
        </row>
      </sheetData>
      <sheetData sheetId="7">
        <row r="11">
          <cell r="D11">
            <v>60990432</v>
          </cell>
        </row>
        <row r="13">
          <cell r="D13">
            <v>200729151</v>
          </cell>
        </row>
        <row r="14">
          <cell r="D14">
            <v>71379952</v>
          </cell>
        </row>
        <row r="15">
          <cell r="D15">
            <v>10371341</v>
          </cell>
        </row>
        <row r="16">
          <cell r="D16">
            <v>4373882</v>
          </cell>
        </row>
        <row r="17">
          <cell r="D17">
            <v>36846777</v>
          </cell>
        </row>
        <row r="33">
          <cell r="D33">
            <v>37891920.79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6">
        <row r="12">
          <cell r="C12">
            <v>51678908</v>
          </cell>
          <cell r="H12">
            <v>51679</v>
          </cell>
        </row>
        <row r="14">
          <cell r="C14">
            <v>174080504</v>
          </cell>
          <cell r="H14">
            <v>174081</v>
          </cell>
        </row>
        <row r="15">
          <cell r="C15">
            <v>61065969</v>
          </cell>
          <cell r="H15">
            <v>61066</v>
          </cell>
        </row>
        <row r="16">
          <cell r="C16">
            <v>9072048</v>
          </cell>
          <cell r="H16">
            <v>9072</v>
          </cell>
        </row>
        <row r="17">
          <cell r="C17">
            <v>4965627</v>
          </cell>
          <cell r="H17">
            <v>4966</v>
          </cell>
        </row>
        <row r="18">
          <cell r="C18">
            <v>32705722</v>
          </cell>
          <cell r="H18">
            <v>32705</v>
          </cell>
        </row>
        <row r="19">
          <cell r="C19">
            <v>33161417</v>
          </cell>
          <cell r="H19">
            <v>33161</v>
          </cell>
        </row>
        <row r="20">
          <cell r="C20">
            <v>8655326</v>
          </cell>
          <cell r="H20">
            <v>8656</v>
          </cell>
        </row>
        <row r="24">
          <cell r="C24">
            <v>253105517</v>
          </cell>
          <cell r="H24">
            <v>253106</v>
          </cell>
        </row>
        <row r="25">
          <cell r="C25">
            <v>27373177</v>
          </cell>
          <cell r="H25">
            <v>27373</v>
          </cell>
        </row>
        <row r="26">
          <cell r="C26">
            <v>39133271</v>
          </cell>
          <cell r="H26">
            <v>39133</v>
          </cell>
        </row>
        <row r="27">
          <cell r="C27">
            <v>76144591</v>
          </cell>
          <cell r="H27">
            <v>76145</v>
          </cell>
        </row>
        <row r="28">
          <cell r="C28">
            <v>35871719</v>
          </cell>
          <cell r="H28">
            <v>35872</v>
          </cell>
        </row>
        <row r="41">
          <cell r="C41">
            <v>357442980</v>
          </cell>
          <cell r="H41">
            <v>357444</v>
          </cell>
        </row>
        <row r="42">
          <cell r="C42">
            <v>35724121</v>
          </cell>
          <cell r="H42">
            <v>35724</v>
          </cell>
        </row>
        <row r="44">
          <cell r="C44">
            <v>6474593</v>
          </cell>
          <cell r="H44">
            <v>6475</v>
          </cell>
        </row>
        <row r="48">
          <cell r="C48">
            <v>21785211</v>
          </cell>
          <cell r="H48">
            <v>21785</v>
          </cell>
        </row>
        <row r="49">
          <cell r="C49">
            <v>147598</v>
          </cell>
          <cell r="H49">
            <v>148</v>
          </cell>
        </row>
        <row r="53">
          <cell r="C53">
            <v>67385982</v>
          </cell>
          <cell r="H53">
            <v>67386</v>
          </cell>
        </row>
        <row r="54">
          <cell r="C54">
            <v>49807171</v>
          </cell>
          <cell r="H54">
            <v>49807</v>
          </cell>
        </row>
        <row r="56">
          <cell r="C56">
            <v>29172839</v>
          </cell>
          <cell r="H56">
            <v>29173</v>
          </cell>
        </row>
        <row r="57">
          <cell r="C57">
            <v>15805254</v>
          </cell>
          <cell r="H57">
            <v>15805</v>
          </cell>
        </row>
        <row r="63">
          <cell r="C63">
            <v>423425657</v>
          </cell>
          <cell r="H63">
            <v>423426</v>
          </cell>
        </row>
        <row r="64">
          <cell r="C64">
            <v>8655326</v>
          </cell>
          <cell r="H64">
            <v>8656</v>
          </cell>
        </row>
        <row r="66">
          <cell r="C66">
            <v>8103519</v>
          </cell>
          <cell r="H66">
            <v>8103</v>
          </cell>
        </row>
        <row r="68">
          <cell r="C68">
            <v>14861546</v>
          </cell>
          <cell r="H68">
            <v>14862</v>
          </cell>
        </row>
        <row r="72">
          <cell r="C72">
            <v>1492639</v>
          </cell>
          <cell r="H72">
            <v>1493</v>
          </cell>
        </row>
        <row r="74">
          <cell r="C74">
            <v>0</v>
          </cell>
          <cell r="H7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1">
          <cell r="D11">
            <v>388955000</v>
          </cell>
          <cell r="K11">
            <v>388955</v>
          </cell>
        </row>
        <row r="12">
          <cell r="D12">
            <v>6802000</v>
          </cell>
          <cell r="K12">
            <v>6802</v>
          </cell>
        </row>
        <row r="16">
          <cell r="D16">
            <v>7915606</v>
          </cell>
          <cell r="K16">
            <v>7916</v>
          </cell>
        </row>
        <row r="17">
          <cell r="D17">
            <v>2426470</v>
          </cell>
          <cell r="K17">
            <v>2426</v>
          </cell>
        </row>
        <row r="18">
          <cell r="D18">
            <v>32256718</v>
          </cell>
          <cell r="K18">
            <v>32256</v>
          </cell>
        </row>
        <row r="19">
          <cell r="D19">
            <v>24168559</v>
          </cell>
          <cell r="K19">
            <v>24168</v>
          </cell>
        </row>
        <row r="20">
          <cell r="D20">
            <v>8054729</v>
          </cell>
          <cell r="K20">
            <v>8055</v>
          </cell>
        </row>
        <row r="21">
          <cell r="D21">
            <v>781000</v>
          </cell>
          <cell r="K21">
            <v>781</v>
          </cell>
        </row>
        <row r="22">
          <cell r="D22">
            <v>-747570</v>
          </cell>
          <cell r="K22">
            <v>-748</v>
          </cell>
        </row>
        <row r="23">
          <cell r="D23">
            <v>818645</v>
          </cell>
          <cell r="K23">
            <v>819</v>
          </cell>
        </row>
        <row r="25">
          <cell r="D25">
            <v>368113</v>
          </cell>
          <cell r="K25">
            <v>368</v>
          </cell>
        </row>
        <row r="26">
          <cell r="D26">
            <v>488605</v>
          </cell>
          <cell r="K26">
            <v>489</v>
          </cell>
        </row>
        <row r="28">
          <cell r="D28">
            <v>2601833</v>
          </cell>
          <cell r="K28">
            <v>2602</v>
          </cell>
        </row>
        <row r="29">
          <cell r="D29">
            <v>5878249</v>
          </cell>
          <cell r="K29">
            <v>5878</v>
          </cell>
        </row>
        <row r="30">
          <cell r="K30">
            <v>0</v>
          </cell>
        </row>
        <row r="32">
          <cell r="D32">
            <v>600597</v>
          </cell>
          <cell r="K32">
            <v>601</v>
          </cell>
        </row>
        <row r="33">
          <cell r="D33">
            <v>83496985</v>
          </cell>
          <cell r="K33">
            <v>83497</v>
          </cell>
        </row>
        <row r="35">
          <cell r="D35">
            <v>259203769</v>
          </cell>
          <cell r="K35">
            <v>259204</v>
          </cell>
        </row>
        <row r="36">
          <cell r="D36">
            <v>26593378</v>
          </cell>
          <cell r="K36">
            <v>26593</v>
          </cell>
        </row>
        <row r="37">
          <cell r="D37">
            <v>732226</v>
          </cell>
          <cell r="K37">
            <v>732</v>
          </cell>
        </row>
        <row r="38">
          <cell r="D38">
            <v>3500</v>
          </cell>
          <cell r="K38">
            <v>4</v>
          </cell>
        </row>
        <row r="39">
          <cell r="D39">
            <v>40963</v>
          </cell>
          <cell r="K39">
            <v>41</v>
          </cell>
        </row>
        <row r="41">
          <cell r="D41">
            <v>8103519</v>
          </cell>
          <cell r="K41">
            <v>8103</v>
          </cell>
        </row>
        <row r="42">
          <cell r="D42">
            <v>14861546</v>
          </cell>
          <cell r="K42">
            <v>14862</v>
          </cell>
        </row>
        <row r="46">
          <cell r="D46">
            <v>1492639</v>
          </cell>
          <cell r="K46">
            <v>1493</v>
          </cell>
        </row>
        <row r="47">
          <cell r="K47">
            <v>0</v>
          </cell>
        </row>
        <row r="50">
          <cell r="D50">
            <v>34688000</v>
          </cell>
          <cell r="K50">
            <v>34688</v>
          </cell>
        </row>
        <row r="51">
          <cell r="D51">
            <v>17438361</v>
          </cell>
          <cell r="K51">
            <v>17439</v>
          </cell>
        </row>
      </sheetData>
      <sheetData sheetId="7">
        <row r="14">
          <cell r="D14">
            <v>486277242</v>
          </cell>
        </row>
        <row r="32">
          <cell r="D32">
            <v>9677181</v>
          </cell>
        </row>
        <row r="41">
          <cell r="D41">
            <v>7769932</v>
          </cell>
        </row>
        <row r="42">
          <cell r="D42">
            <v>22037751</v>
          </cell>
        </row>
        <row r="46">
          <cell r="D46">
            <v>1492638</v>
          </cell>
        </row>
        <row r="47">
          <cell r="D47">
            <v>1324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9">
          <cell r="D19">
            <v>3857306</v>
          </cell>
        </row>
        <row r="21">
          <cell r="D21">
            <v>4293000</v>
          </cell>
          <cell r="J21">
            <v>4293</v>
          </cell>
        </row>
        <row r="22">
          <cell r="D22">
            <v>3512000</v>
          </cell>
          <cell r="J22">
            <v>3512</v>
          </cell>
        </row>
        <row r="24">
          <cell r="D24">
            <v>1406543</v>
          </cell>
          <cell r="J24">
            <v>1406</v>
          </cell>
        </row>
        <row r="26">
          <cell r="D26">
            <v>1308663</v>
          </cell>
          <cell r="J26">
            <v>1309</v>
          </cell>
        </row>
        <row r="27">
          <cell r="D27">
            <v>43186</v>
          </cell>
          <cell r="J27">
            <v>43</v>
          </cell>
        </row>
        <row r="31">
          <cell r="D31">
            <v>1739334</v>
          </cell>
          <cell r="J31">
            <v>1739</v>
          </cell>
        </row>
        <row r="32">
          <cell r="D32">
            <v>193217</v>
          </cell>
          <cell r="J32">
            <v>193</v>
          </cell>
        </row>
        <row r="34">
          <cell r="D34">
            <v>362200</v>
          </cell>
          <cell r="J34">
            <v>362</v>
          </cell>
        </row>
        <row r="37">
          <cell r="D37">
            <v>149789</v>
          </cell>
          <cell r="J37">
            <v>150</v>
          </cell>
        </row>
        <row r="40">
          <cell r="J40">
            <v>0</v>
          </cell>
        </row>
        <row r="43">
          <cell r="D43">
            <v>84189</v>
          </cell>
          <cell r="J43">
            <v>84</v>
          </cell>
        </row>
        <row r="45">
          <cell r="D45">
            <v>24750</v>
          </cell>
          <cell r="J45">
            <v>25</v>
          </cell>
        </row>
        <row r="48">
          <cell r="D48">
            <v>500000</v>
          </cell>
          <cell r="J48">
            <v>500</v>
          </cell>
        </row>
        <row r="49">
          <cell r="D49">
            <v>560710</v>
          </cell>
          <cell r="J49">
            <v>561</v>
          </cell>
        </row>
        <row r="51">
          <cell r="D51">
            <v>39420</v>
          </cell>
          <cell r="J51">
            <v>39</v>
          </cell>
        </row>
        <row r="52">
          <cell r="D52">
            <v>5784</v>
          </cell>
          <cell r="J52">
            <v>6</v>
          </cell>
        </row>
        <row r="56">
          <cell r="D56">
            <v>1153357</v>
          </cell>
          <cell r="J56">
            <v>1153</v>
          </cell>
        </row>
        <row r="58">
          <cell r="D58">
            <v>524792</v>
          </cell>
          <cell r="J58">
            <v>525</v>
          </cell>
        </row>
        <row r="59">
          <cell r="D59">
            <v>611000</v>
          </cell>
          <cell r="J59">
            <v>611</v>
          </cell>
        </row>
        <row r="62">
          <cell r="D62">
            <v>29677</v>
          </cell>
          <cell r="J62">
            <v>30</v>
          </cell>
        </row>
        <row r="64">
          <cell r="D64">
            <v>29677</v>
          </cell>
          <cell r="J64">
            <v>30</v>
          </cell>
        </row>
        <row r="65">
          <cell r="J65">
            <v>0</v>
          </cell>
        </row>
        <row r="66">
          <cell r="D66">
            <v>1492639</v>
          </cell>
          <cell r="J66">
            <v>1493</v>
          </cell>
        </row>
        <row r="67">
          <cell r="J67">
            <v>0</v>
          </cell>
        </row>
        <row r="68">
          <cell r="D68">
            <v>-1492639</v>
          </cell>
          <cell r="J68">
            <v>-1493</v>
          </cell>
        </row>
        <row r="69">
          <cell r="D69">
            <v>1492639</v>
          </cell>
          <cell r="J69">
            <v>1493</v>
          </cell>
        </row>
        <row r="73">
          <cell r="D73">
            <v>211776</v>
          </cell>
          <cell r="J73">
            <v>212</v>
          </cell>
        </row>
        <row r="74">
          <cell r="D74">
            <v>231137</v>
          </cell>
          <cell r="J74">
            <v>231</v>
          </cell>
        </row>
        <row r="76">
          <cell r="D76">
            <v>349072</v>
          </cell>
          <cell r="J76">
            <v>349</v>
          </cell>
        </row>
        <row r="77">
          <cell r="D77">
            <v>57394</v>
          </cell>
          <cell r="J77">
            <v>57</v>
          </cell>
        </row>
        <row r="80">
          <cell r="D80">
            <v>9184559</v>
          </cell>
          <cell r="J80">
            <v>9185</v>
          </cell>
        </row>
        <row r="81">
          <cell r="D81">
            <v>997140</v>
          </cell>
          <cell r="J81">
            <v>997</v>
          </cell>
        </row>
        <row r="83">
          <cell r="D83">
            <v>10271065</v>
          </cell>
          <cell r="J83">
            <v>10271</v>
          </cell>
        </row>
        <row r="84">
          <cell r="D84">
            <v>941264</v>
          </cell>
          <cell r="J84">
            <v>941</v>
          </cell>
        </row>
        <row r="88">
          <cell r="D88">
            <v>5370869</v>
          </cell>
          <cell r="J88">
            <v>5371</v>
          </cell>
        </row>
        <row r="89">
          <cell r="D89">
            <v>27251106</v>
          </cell>
          <cell r="J89">
            <v>27251</v>
          </cell>
        </row>
        <row r="90">
          <cell r="D90">
            <v>17067</v>
          </cell>
          <cell r="J90">
            <v>17</v>
          </cell>
        </row>
        <row r="92">
          <cell r="D92">
            <v>30476763</v>
          </cell>
          <cell r="J92">
            <v>30477</v>
          </cell>
        </row>
        <row r="93">
          <cell r="D93">
            <v>15512905</v>
          </cell>
          <cell r="J93">
            <v>15513</v>
          </cell>
        </row>
        <row r="95">
          <cell r="D95">
            <v>9243234</v>
          </cell>
          <cell r="J95">
            <v>9243</v>
          </cell>
        </row>
        <row r="98">
          <cell r="J98">
            <v>0</v>
          </cell>
        </row>
        <row r="99">
          <cell r="J99">
            <v>0</v>
          </cell>
        </row>
        <row r="101">
          <cell r="J101">
            <v>0</v>
          </cell>
        </row>
        <row r="102">
          <cell r="J102">
            <v>0</v>
          </cell>
        </row>
        <row r="105">
          <cell r="D105">
            <v>458435</v>
          </cell>
          <cell r="J105">
            <v>458</v>
          </cell>
        </row>
        <row r="106">
          <cell r="D106">
            <v>4924</v>
          </cell>
          <cell r="J106">
            <v>5</v>
          </cell>
        </row>
        <row r="108">
          <cell r="D108">
            <v>268482</v>
          </cell>
          <cell r="J108">
            <v>268</v>
          </cell>
        </row>
        <row r="109">
          <cell r="D109">
            <v>151183</v>
          </cell>
          <cell r="J109">
            <v>151</v>
          </cell>
        </row>
        <row r="111">
          <cell r="D111">
            <v>1028131</v>
          </cell>
          <cell r="J111">
            <v>1028</v>
          </cell>
        </row>
        <row r="113">
          <cell r="D113">
            <v>1786760</v>
          </cell>
          <cell r="J113">
            <v>1787</v>
          </cell>
        </row>
        <row r="117">
          <cell r="D117">
            <v>253105517</v>
          </cell>
          <cell r="J117">
            <v>253106</v>
          </cell>
        </row>
        <row r="118">
          <cell r="D118">
            <v>3231008</v>
          </cell>
          <cell r="J118">
            <v>3231</v>
          </cell>
        </row>
        <row r="119">
          <cell r="D119">
            <v>1218430</v>
          </cell>
          <cell r="J119">
            <v>1218</v>
          </cell>
        </row>
        <row r="121">
          <cell r="D121">
            <v>295249912</v>
          </cell>
          <cell r="J121">
            <v>295250</v>
          </cell>
        </row>
        <row r="122">
          <cell r="D122">
            <v>1479151</v>
          </cell>
          <cell r="J122">
            <v>1479</v>
          </cell>
        </row>
        <row r="123">
          <cell r="J123">
            <v>-39174</v>
          </cell>
        </row>
        <row r="124">
          <cell r="D124">
            <v>23882007</v>
          </cell>
          <cell r="J124">
            <v>23882</v>
          </cell>
        </row>
        <row r="127">
          <cell r="D127">
            <v>191349649</v>
          </cell>
          <cell r="J127">
            <v>191350</v>
          </cell>
        </row>
        <row r="128">
          <cell r="D128">
            <v>1772789</v>
          </cell>
          <cell r="J128">
            <v>1773</v>
          </cell>
        </row>
        <row r="129">
          <cell r="D129">
            <v>10913898</v>
          </cell>
          <cell r="J129">
            <v>10914</v>
          </cell>
        </row>
        <row r="131">
          <cell r="D131">
            <v>229710801</v>
          </cell>
          <cell r="J131">
            <v>229711</v>
          </cell>
        </row>
        <row r="133">
          <cell r="D133">
            <v>18146082</v>
          </cell>
          <cell r="J133">
            <v>18146</v>
          </cell>
        </row>
        <row r="136">
          <cell r="D136">
            <v>17418717</v>
          </cell>
          <cell r="J136">
            <v>17419</v>
          </cell>
        </row>
        <row r="137">
          <cell r="D137">
            <v>250871</v>
          </cell>
          <cell r="J137">
            <v>251</v>
          </cell>
        </row>
        <row r="138">
          <cell r="D138">
            <v>2014718</v>
          </cell>
          <cell r="J138">
            <v>2015</v>
          </cell>
        </row>
        <row r="140">
          <cell r="D140">
            <v>26808199</v>
          </cell>
          <cell r="J140">
            <v>26808</v>
          </cell>
        </row>
        <row r="141">
          <cell r="D141">
            <v>15000</v>
          </cell>
          <cell r="J141">
            <v>15</v>
          </cell>
        </row>
        <row r="143">
          <cell r="J143">
            <v>0</v>
          </cell>
        </row>
        <row r="146">
          <cell r="D146">
            <v>602370</v>
          </cell>
          <cell r="J146">
            <v>602</v>
          </cell>
        </row>
        <row r="148">
          <cell r="D148">
            <v>12693</v>
          </cell>
          <cell r="J148">
            <v>13</v>
          </cell>
        </row>
        <row r="150">
          <cell r="D150">
            <v>302544</v>
          </cell>
          <cell r="J150">
            <v>303</v>
          </cell>
        </row>
        <row r="153">
          <cell r="J153">
            <v>0</v>
          </cell>
        </row>
        <row r="156">
          <cell r="D156">
            <v>43734781</v>
          </cell>
          <cell r="J156">
            <v>43735</v>
          </cell>
        </row>
        <row r="158">
          <cell r="D158">
            <v>2223143</v>
          </cell>
          <cell r="J158">
            <v>2223</v>
          </cell>
        </row>
        <row r="160">
          <cell r="D160">
            <v>52058268</v>
          </cell>
          <cell r="J160">
            <v>52058</v>
          </cell>
        </row>
        <row r="162">
          <cell r="D162">
            <v>4945858</v>
          </cell>
          <cell r="J162">
            <v>4946</v>
          </cell>
        </row>
        <row r="165">
          <cell r="D165">
            <v>1207348</v>
          </cell>
          <cell r="J165">
            <v>1207</v>
          </cell>
        </row>
        <row r="166">
          <cell r="D166">
            <v>5017234</v>
          </cell>
          <cell r="J166">
            <v>5017</v>
          </cell>
        </row>
        <row r="168">
          <cell r="D168">
            <v>5333356</v>
          </cell>
          <cell r="J168">
            <v>5334</v>
          </cell>
        </row>
        <row r="169">
          <cell r="D169">
            <v>1464151</v>
          </cell>
          <cell r="J169">
            <v>1464</v>
          </cell>
        </row>
        <row r="171">
          <cell r="D171">
            <v>790067</v>
          </cell>
          <cell r="J171">
            <v>790</v>
          </cell>
        </row>
        <row r="174">
          <cell r="D174">
            <v>39133271</v>
          </cell>
          <cell r="J174">
            <v>39133</v>
          </cell>
        </row>
        <row r="175">
          <cell r="D175">
            <v>32110711</v>
          </cell>
          <cell r="J175">
            <v>32111</v>
          </cell>
        </row>
        <row r="176">
          <cell r="D176">
            <v>5753002</v>
          </cell>
          <cell r="J176">
            <v>5753</v>
          </cell>
        </row>
        <row r="178">
          <cell r="D178">
            <v>75007460</v>
          </cell>
          <cell r="J178">
            <v>75007</v>
          </cell>
        </row>
        <row r="179">
          <cell r="D179">
            <v>708886</v>
          </cell>
          <cell r="J179">
            <v>709</v>
          </cell>
        </row>
        <row r="181">
          <cell r="D181">
            <v>70001</v>
          </cell>
          <cell r="J181">
            <v>70</v>
          </cell>
        </row>
        <row r="185">
          <cell r="D185">
            <v>3350574</v>
          </cell>
          <cell r="J185">
            <v>3351</v>
          </cell>
        </row>
        <row r="186">
          <cell r="D186">
            <v>122071</v>
          </cell>
          <cell r="J186">
            <v>122</v>
          </cell>
        </row>
        <row r="187">
          <cell r="D187">
            <v>25833</v>
          </cell>
          <cell r="J187">
            <v>26</v>
          </cell>
        </row>
        <row r="189">
          <cell r="D189">
            <v>3369902</v>
          </cell>
          <cell r="J189">
            <v>3370</v>
          </cell>
        </row>
        <row r="190">
          <cell r="D190">
            <v>603668</v>
          </cell>
          <cell r="J190">
            <v>604</v>
          </cell>
        </row>
        <row r="192">
          <cell r="D192">
            <v>1462500</v>
          </cell>
          <cell r="J192">
            <v>1463</v>
          </cell>
        </row>
        <row r="194">
          <cell r="D194">
            <v>19560</v>
          </cell>
          <cell r="J194">
            <v>20</v>
          </cell>
        </row>
        <row r="195">
          <cell r="D195">
            <v>1063091</v>
          </cell>
          <cell r="J195">
            <v>1063</v>
          </cell>
        </row>
        <row r="199">
          <cell r="D199">
            <v>1730007</v>
          </cell>
          <cell r="J199">
            <v>1730</v>
          </cell>
        </row>
        <row r="200">
          <cell r="J200">
            <v>0</v>
          </cell>
        </row>
        <row r="202">
          <cell r="D202">
            <v>1737292</v>
          </cell>
          <cell r="J202">
            <v>1737</v>
          </cell>
        </row>
        <row r="205">
          <cell r="D205">
            <v>53495</v>
          </cell>
          <cell r="J205">
            <v>53</v>
          </cell>
        </row>
        <row r="206">
          <cell r="D206">
            <v>27026</v>
          </cell>
          <cell r="J206">
            <v>27</v>
          </cell>
        </row>
        <row r="208">
          <cell r="D208">
            <v>89876</v>
          </cell>
          <cell r="J208">
            <v>90</v>
          </cell>
        </row>
        <row r="209">
          <cell r="J209">
            <v>1</v>
          </cell>
        </row>
        <row r="212">
          <cell r="D212">
            <v>3845</v>
          </cell>
          <cell r="J212">
            <v>4</v>
          </cell>
        </row>
        <row r="214">
          <cell r="D214">
            <v>3771</v>
          </cell>
          <cell r="J214">
            <v>4</v>
          </cell>
        </row>
        <row r="215">
          <cell r="D215">
            <v>74</v>
          </cell>
          <cell r="J215">
            <v>0</v>
          </cell>
        </row>
      </sheetData>
      <sheetData sheetId="8">
        <row r="9">
          <cell r="D9">
            <v>456100125</v>
          </cell>
        </row>
        <row r="89">
          <cell r="D89">
            <v>32179874</v>
          </cell>
        </row>
        <row r="117">
          <cell r="D117">
            <v>291902344</v>
          </cell>
        </row>
        <row r="174">
          <cell r="D174">
            <v>44824430</v>
          </cell>
        </row>
        <row r="186">
          <cell r="D186">
            <v>141102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2">
          <cell r="D12">
            <v>368774679</v>
          </cell>
          <cell r="K12">
            <v>368775</v>
          </cell>
        </row>
        <row r="13">
          <cell r="D13">
            <v>121481</v>
          </cell>
          <cell r="K13">
            <v>121</v>
          </cell>
        </row>
        <row r="14">
          <cell r="D14">
            <v>33161417</v>
          </cell>
          <cell r="K14">
            <v>33161</v>
          </cell>
        </row>
        <row r="18">
          <cell r="D18">
            <v>84132919</v>
          </cell>
          <cell r="K18">
            <v>84133</v>
          </cell>
        </row>
        <row r="19">
          <cell r="D19">
            <v>22090303</v>
          </cell>
          <cell r="K19">
            <v>22091</v>
          </cell>
        </row>
        <row r="21">
          <cell r="D21">
            <v>62049222</v>
          </cell>
          <cell r="K21">
            <v>62049</v>
          </cell>
        </row>
        <row r="22">
          <cell r="D22">
            <v>7303795</v>
          </cell>
          <cell r="K22">
            <v>7304</v>
          </cell>
        </row>
        <row r="23">
          <cell r="D23">
            <v>82724</v>
          </cell>
          <cell r="K23">
            <v>83</v>
          </cell>
        </row>
        <row r="25">
          <cell r="D25">
            <v>7826169</v>
          </cell>
          <cell r="K25">
            <v>7826</v>
          </cell>
        </row>
        <row r="26">
          <cell r="D26">
            <v>5950310</v>
          </cell>
          <cell r="K26">
            <v>5951</v>
          </cell>
        </row>
        <row r="27">
          <cell r="D27">
            <v>535085</v>
          </cell>
          <cell r="K27">
            <v>535</v>
          </cell>
        </row>
        <row r="29">
          <cell r="D29">
            <v>9835866</v>
          </cell>
          <cell r="K29">
            <v>9836</v>
          </cell>
        </row>
        <row r="30">
          <cell r="D30">
            <v>53615001</v>
          </cell>
          <cell r="K30">
            <v>53615</v>
          </cell>
        </row>
        <row r="31">
          <cell r="D31">
            <v>3560090</v>
          </cell>
          <cell r="K31">
            <v>3560</v>
          </cell>
        </row>
        <row r="33">
          <cell r="D33">
            <v>35724121</v>
          </cell>
          <cell r="K33">
            <v>35724</v>
          </cell>
        </row>
        <row r="34">
          <cell r="D34">
            <v>17755188</v>
          </cell>
          <cell r="K34">
            <v>17755</v>
          </cell>
        </row>
        <row r="36">
          <cell r="D36">
            <v>296371</v>
          </cell>
          <cell r="K36">
            <v>297</v>
          </cell>
        </row>
        <row r="37">
          <cell r="D37">
            <v>37638132</v>
          </cell>
          <cell r="K37">
            <v>37638</v>
          </cell>
        </row>
        <row r="38">
          <cell r="D38">
            <v>3983071</v>
          </cell>
          <cell r="K38">
            <v>3983</v>
          </cell>
        </row>
        <row r="39">
          <cell r="D39">
            <v>3000231</v>
          </cell>
          <cell r="K39">
            <v>3000</v>
          </cell>
        </row>
        <row r="40">
          <cell r="D40">
            <v>2064382</v>
          </cell>
          <cell r="K40">
            <v>2064</v>
          </cell>
        </row>
        <row r="42">
          <cell r="D42">
            <v>6474593</v>
          </cell>
          <cell r="K42">
            <v>6475</v>
          </cell>
        </row>
        <row r="43">
          <cell r="D43">
            <v>21785211</v>
          </cell>
          <cell r="K43">
            <v>21785</v>
          </cell>
        </row>
        <row r="45">
          <cell r="D45">
            <v>67385982</v>
          </cell>
          <cell r="K45">
            <v>67386</v>
          </cell>
        </row>
        <row r="46">
          <cell r="D46">
            <v>29172839</v>
          </cell>
          <cell r="K46">
            <v>29173</v>
          </cell>
        </row>
      </sheetData>
      <sheetData sheetId="7">
        <row r="16">
          <cell r="D16">
            <v>402084499.38</v>
          </cell>
        </row>
        <row r="33">
          <cell r="D33">
            <v>40517809</v>
          </cell>
        </row>
        <row r="42">
          <cell r="D42">
            <v>7481774.74</v>
          </cell>
        </row>
        <row r="43">
          <cell r="D43">
            <v>27075538.98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Aprīlis1"/>
      <sheetName val="Maijs"/>
      <sheetName val="Jūnijs"/>
      <sheetName val="Jūlijs"/>
      <sheetName val="Augusts"/>
      <sheetName val="Septembris"/>
      <sheetName val="Oktobris"/>
      <sheetName val="Novembris"/>
      <sheetName val="Sheet12"/>
      <sheetName val="Sheet13"/>
      <sheetName val="Sheet14"/>
      <sheetName val="Sheet15"/>
      <sheetName val="Sheet16"/>
    </sheetNames>
    <sheetDataSet>
      <sheetData sheetId="8">
        <row r="9">
          <cell r="C9">
            <v>76462110.18</v>
          </cell>
        </row>
        <row r="10">
          <cell r="C10">
            <v>30941245.59</v>
          </cell>
        </row>
        <row r="24">
          <cell r="C24">
            <v>44773034.45</v>
          </cell>
        </row>
        <row r="40">
          <cell r="C40">
            <v>15250000</v>
          </cell>
        </row>
        <row r="52">
          <cell r="C52">
            <v>13042886</v>
          </cell>
        </row>
        <row r="83">
          <cell r="C83">
            <v>1033222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Jūlijs"/>
      <sheetName val="Augusts"/>
      <sheetName val="Septembis"/>
      <sheetName val="Oktobris"/>
      <sheetName val="Novembris"/>
      <sheetName val="Sheet11"/>
      <sheetName val="Decembris"/>
      <sheetName val="Sheet13"/>
      <sheetName val="Sheet14"/>
      <sheetName val="Sheet15"/>
      <sheetName val="Sheet16"/>
    </sheetNames>
    <sheetDataSet>
      <sheetData sheetId="4">
        <row r="10">
          <cell r="C10">
            <v>2458478</v>
          </cell>
          <cell r="H10">
            <v>2458</v>
          </cell>
        </row>
        <row r="11">
          <cell r="C11">
            <v>1303018</v>
          </cell>
          <cell r="H11">
            <v>1303</v>
          </cell>
        </row>
        <row r="15">
          <cell r="C15">
            <v>247554</v>
          </cell>
          <cell r="H15">
            <v>248</v>
          </cell>
        </row>
        <row r="16">
          <cell r="C16">
            <v>69245</v>
          </cell>
          <cell r="H16">
            <v>69</v>
          </cell>
        </row>
        <row r="18">
          <cell r="C18">
            <v>3582199</v>
          </cell>
          <cell r="H18">
            <v>3582</v>
          </cell>
        </row>
        <row r="19">
          <cell r="C19">
            <v>402991</v>
          </cell>
          <cell r="H19">
            <v>403</v>
          </cell>
        </row>
        <row r="20">
          <cell r="C20">
            <v>1083</v>
          </cell>
          <cell r="H20">
            <v>1</v>
          </cell>
        </row>
        <row r="22">
          <cell r="C22">
            <v>99452</v>
          </cell>
          <cell r="H22">
            <v>99</v>
          </cell>
        </row>
        <row r="23">
          <cell r="H23">
            <v>0</v>
          </cell>
        </row>
        <row r="25">
          <cell r="C25">
            <v>21260</v>
          </cell>
          <cell r="H25">
            <v>21</v>
          </cell>
        </row>
        <row r="26">
          <cell r="C26">
            <v>11967</v>
          </cell>
          <cell r="H26">
            <v>12</v>
          </cell>
        </row>
        <row r="27">
          <cell r="H27">
            <v>0</v>
          </cell>
        </row>
        <row r="28">
          <cell r="C28">
            <v>28397</v>
          </cell>
          <cell r="H28">
            <v>28</v>
          </cell>
        </row>
        <row r="29">
          <cell r="C29">
            <v>44869</v>
          </cell>
          <cell r="H29">
            <v>45</v>
          </cell>
        </row>
        <row r="31">
          <cell r="C31">
            <v>470981</v>
          </cell>
          <cell r="H31">
            <v>471</v>
          </cell>
        </row>
        <row r="32">
          <cell r="H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6">
        <row r="12">
          <cell r="D12">
            <v>567613</v>
          </cell>
          <cell r="K12">
            <v>568</v>
          </cell>
        </row>
        <row r="13">
          <cell r="D13">
            <v>25190</v>
          </cell>
          <cell r="K13">
            <v>25</v>
          </cell>
        </row>
        <row r="15">
          <cell r="D15">
            <v>2631337</v>
          </cell>
          <cell r="K15">
            <v>2631</v>
          </cell>
        </row>
        <row r="16">
          <cell r="D16">
            <v>417779</v>
          </cell>
          <cell r="K16">
            <v>418</v>
          </cell>
        </row>
        <row r="18">
          <cell r="D18">
            <v>2053808</v>
          </cell>
          <cell r="K18">
            <v>2054</v>
          </cell>
        </row>
        <row r="19">
          <cell r="D19">
            <v>116918</v>
          </cell>
          <cell r="K19">
            <v>117</v>
          </cell>
        </row>
        <row r="21">
          <cell r="D21">
            <v>13653595</v>
          </cell>
          <cell r="K21">
            <v>13654</v>
          </cell>
        </row>
        <row r="22">
          <cell r="D22">
            <v>491895</v>
          </cell>
          <cell r="K22">
            <v>492</v>
          </cell>
        </row>
        <row r="24">
          <cell r="D24">
            <v>6022921</v>
          </cell>
          <cell r="K24">
            <v>6023</v>
          </cell>
        </row>
        <row r="25">
          <cell r="D25">
            <v>193852</v>
          </cell>
          <cell r="K25">
            <v>194</v>
          </cell>
        </row>
        <row r="27">
          <cell r="D27">
            <v>2309896</v>
          </cell>
          <cell r="K27">
            <v>2310</v>
          </cell>
        </row>
        <row r="28">
          <cell r="D28">
            <v>138644</v>
          </cell>
          <cell r="K28">
            <v>139</v>
          </cell>
        </row>
        <row r="30">
          <cell r="D30">
            <v>41302520</v>
          </cell>
          <cell r="K30">
            <v>41302</v>
          </cell>
        </row>
        <row r="31">
          <cell r="D31">
            <v>5603522</v>
          </cell>
          <cell r="K31">
            <v>5604</v>
          </cell>
        </row>
        <row r="33">
          <cell r="D33">
            <v>48290333</v>
          </cell>
          <cell r="K33">
            <v>48290</v>
          </cell>
        </row>
        <row r="34">
          <cell r="D34">
            <v>5502821</v>
          </cell>
          <cell r="K34">
            <v>5503</v>
          </cell>
        </row>
        <row r="36">
          <cell r="D36">
            <v>32227084</v>
          </cell>
          <cell r="K36">
            <v>32227</v>
          </cell>
        </row>
        <row r="37">
          <cell r="D37">
            <v>1335115</v>
          </cell>
          <cell r="K37">
            <v>1335</v>
          </cell>
        </row>
        <row r="39">
          <cell r="D39">
            <v>24225852</v>
          </cell>
          <cell r="K39">
            <v>24226</v>
          </cell>
        </row>
        <row r="40">
          <cell r="D40">
            <v>2146522</v>
          </cell>
          <cell r="K40">
            <v>2147</v>
          </cell>
        </row>
        <row r="42">
          <cell r="D42">
            <v>2910561</v>
          </cell>
          <cell r="K42">
            <v>2911</v>
          </cell>
        </row>
        <row r="43">
          <cell r="D43">
            <v>1404337</v>
          </cell>
          <cell r="K43">
            <v>1404</v>
          </cell>
        </row>
        <row r="45">
          <cell r="D45">
            <v>89057029</v>
          </cell>
          <cell r="K45">
            <v>89057</v>
          </cell>
        </row>
        <row r="46">
          <cell r="D46">
            <v>2236791</v>
          </cell>
          <cell r="K46">
            <v>2237</v>
          </cell>
        </row>
        <row r="48">
          <cell r="D48">
            <v>6684279</v>
          </cell>
          <cell r="K48">
            <v>6684</v>
          </cell>
        </row>
        <row r="49">
          <cell r="D49">
            <v>448268</v>
          </cell>
          <cell r="K49">
            <v>448</v>
          </cell>
        </row>
        <row r="53">
          <cell r="D53">
            <v>3633472</v>
          </cell>
          <cell r="K53">
            <v>3633</v>
          </cell>
        </row>
        <row r="54">
          <cell r="D54">
            <v>931799</v>
          </cell>
          <cell r="K54">
            <v>932</v>
          </cell>
        </row>
        <row r="56">
          <cell r="D56">
            <v>8671586</v>
          </cell>
          <cell r="K56">
            <v>8672</v>
          </cell>
        </row>
        <row r="57">
          <cell r="D57">
            <v>1276935</v>
          </cell>
          <cell r="K57">
            <v>1277</v>
          </cell>
        </row>
        <row r="59">
          <cell r="D59">
            <v>6558343</v>
          </cell>
          <cell r="K59">
            <v>6558</v>
          </cell>
        </row>
        <row r="60">
          <cell r="D60">
            <v>873187</v>
          </cell>
          <cell r="K60">
            <v>873</v>
          </cell>
        </row>
        <row r="62">
          <cell r="D62">
            <v>675142</v>
          </cell>
          <cell r="K62">
            <v>675</v>
          </cell>
        </row>
        <row r="63">
          <cell r="D63">
            <v>32313</v>
          </cell>
          <cell r="K63">
            <v>32</v>
          </cell>
        </row>
        <row r="65">
          <cell r="D65">
            <v>438295</v>
          </cell>
          <cell r="K65">
            <v>438</v>
          </cell>
        </row>
        <row r="68">
          <cell r="D68">
            <v>179360</v>
          </cell>
          <cell r="K68">
            <v>179</v>
          </cell>
        </row>
        <row r="69">
          <cell r="D69">
            <v>25284</v>
          </cell>
          <cell r="K69">
            <v>25</v>
          </cell>
        </row>
        <row r="71">
          <cell r="D71">
            <v>3530824</v>
          </cell>
          <cell r="K71">
            <v>3531</v>
          </cell>
        </row>
        <row r="72">
          <cell r="D72">
            <v>366448</v>
          </cell>
          <cell r="K72">
            <v>366</v>
          </cell>
        </row>
        <row r="74">
          <cell r="D74">
            <v>43199</v>
          </cell>
          <cell r="K74">
            <v>43</v>
          </cell>
        </row>
        <row r="75">
          <cell r="D75">
            <v>266</v>
          </cell>
          <cell r="K75">
            <v>0</v>
          </cell>
        </row>
        <row r="77">
          <cell r="D77">
            <v>27626</v>
          </cell>
          <cell r="K77">
            <v>28</v>
          </cell>
        </row>
        <row r="79">
          <cell r="D79">
            <v>461694</v>
          </cell>
          <cell r="K79">
            <v>462</v>
          </cell>
        </row>
        <row r="81">
          <cell r="D81">
            <v>3773613</v>
          </cell>
          <cell r="K81">
            <v>3774</v>
          </cell>
        </row>
        <row r="82">
          <cell r="D82">
            <v>4338</v>
          </cell>
          <cell r="K82">
            <v>4</v>
          </cell>
        </row>
        <row r="84">
          <cell r="D84">
            <v>49173</v>
          </cell>
          <cell r="K84">
            <v>49</v>
          </cell>
        </row>
        <row r="86">
          <cell r="D86">
            <v>289959</v>
          </cell>
          <cell r="K86">
            <v>290</v>
          </cell>
        </row>
        <row r="87">
          <cell r="D87">
            <v>5569</v>
          </cell>
          <cell r="K87">
            <v>6</v>
          </cell>
        </row>
        <row r="92">
          <cell r="D92">
            <v>53615001</v>
          </cell>
          <cell r="K92">
            <v>53615</v>
          </cell>
        </row>
        <row r="93">
          <cell r="D93">
            <v>4682000</v>
          </cell>
          <cell r="K93">
            <v>4682</v>
          </cell>
        </row>
        <row r="95">
          <cell r="D95">
            <v>3560090</v>
          </cell>
          <cell r="K95">
            <v>3560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6"/>
  <sheetViews>
    <sheetView tabSelected="1" workbookViewId="0" topLeftCell="U1">
      <selection activeCell="AB6" sqref="AB6"/>
    </sheetView>
  </sheetViews>
  <sheetFormatPr defaultColWidth="9.140625" defaultRowHeight="12.75"/>
  <cols>
    <col min="1" max="1" width="39.28125" style="29" hidden="1" customWidth="1"/>
    <col min="2" max="2" width="13.28125" style="29" hidden="1" customWidth="1"/>
    <col min="3" max="3" width="11.57421875" style="116" hidden="1" customWidth="1"/>
    <col min="4" max="4" width="12.140625" style="29" hidden="1" customWidth="1"/>
    <col min="5" max="5" width="9.421875" style="237" hidden="1" customWidth="1"/>
    <col min="6" max="6" width="41.140625" style="29" hidden="1" customWidth="1"/>
    <col min="7" max="7" width="11.00390625" style="29" hidden="1" customWidth="1"/>
    <col min="8" max="8" width="11.8515625" style="29" hidden="1" customWidth="1"/>
    <col min="9" max="9" width="11.140625" style="29" hidden="1" customWidth="1"/>
    <col min="10" max="10" width="9.140625" style="29" hidden="1" customWidth="1"/>
    <col min="11" max="11" width="0.13671875" style="29" hidden="1" customWidth="1"/>
    <col min="12" max="12" width="11.28125" style="29" hidden="1" customWidth="1"/>
    <col min="13" max="13" width="11.00390625" style="29" hidden="1" customWidth="1"/>
    <col min="14" max="14" width="10.7109375" style="29" hidden="1" customWidth="1"/>
    <col min="15" max="15" width="13.140625" style="29" hidden="1" customWidth="1"/>
    <col min="16" max="16" width="30.7109375" style="254" hidden="1" customWidth="1"/>
    <col min="17" max="17" width="10.57421875" style="29" hidden="1" customWidth="1"/>
    <col min="18" max="18" width="11.140625" style="29" hidden="1" customWidth="1"/>
    <col min="19" max="19" width="10.7109375" style="29" hidden="1" customWidth="1"/>
    <col min="20" max="20" width="13.28125" style="29" hidden="1" customWidth="1"/>
    <col min="21" max="21" width="31.7109375" style="29" customWidth="1"/>
    <col min="22" max="22" width="12.00390625" style="29" customWidth="1"/>
    <col min="23" max="23" width="11.8515625" style="29" customWidth="1"/>
    <col min="24" max="24" width="11.140625" style="29" customWidth="1"/>
    <col min="25" max="25" width="10.00390625" style="29" customWidth="1"/>
    <col min="26" max="16384" width="9.140625" style="29" customWidth="1"/>
  </cols>
  <sheetData>
    <row r="1" spans="1:25" s="251" customFormat="1" ht="15.75" customHeight="1">
      <c r="A1" s="291" t="s">
        <v>389</v>
      </c>
      <c r="B1" s="291"/>
      <c r="C1" s="291"/>
      <c r="D1" s="291"/>
      <c r="E1" s="291"/>
      <c r="F1" s="291" t="s">
        <v>390</v>
      </c>
      <c r="G1" s="291"/>
      <c r="H1" s="291"/>
      <c r="I1" s="291"/>
      <c r="J1" s="291"/>
      <c r="K1" s="291" t="s">
        <v>391</v>
      </c>
      <c r="L1" s="291"/>
      <c r="M1" s="291"/>
      <c r="N1" s="291"/>
      <c r="O1" s="291"/>
      <c r="P1" s="290" t="s">
        <v>392</v>
      </c>
      <c r="Q1" s="290"/>
      <c r="R1" s="290"/>
      <c r="S1" s="290"/>
      <c r="T1" s="290"/>
      <c r="U1" s="290" t="s">
        <v>393</v>
      </c>
      <c r="V1" s="290"/>
      <c r="W1" s="290"/>
      <c r="X1" s="290"/>
      <c r="Y1" s="290"/>
    </row>
    <row r="2" spans="1:25" s="251" customFormat="1" ht="15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4" ht="12.75" customHeight="1">
      <c r="A3" s="252"/>
      <c r="B3" s="3"/>
      <c r="C3" s="72"/>
      <c r="D3" s="130" t="s">
        <v>394</v>
      </c>
      <c r="E3" s="253"/>
      <c r="F3" s="252"/>
      <c r="G3" s="3"/>
      <c r="H3" s="72"/>
      <c r="I3" s="130" t="s">
        <v>394</v>
      </c>
      <c r="J3" s="253"/>
      <c r="K3" s="252"/>
      <c r="L3" s="3"/>
      <c r="M3" s="72"/>
      <c r="N3" s="130" t="s">
        <v>394</v>
      </c>
      <c r="O3" s="253"/>
      <c r="S3" s="29" t="s">
        <v>394</v>
      </c>
      <c r="U3" s="254"/>
      <c r="X3" s="29" t="s">
        <v>394</v>
      </c>
    </row>
    <row r="4" spans="1:25" s="6" customFormat="1" ht="33.75">
      <c r="A4" s="48" t="s">
        <v>5</v>
      </c>
      <c r="B4" s="7" t="s">
        <v>395</v>
      </c>
      <c r="C4" s="7" t="s">
        <v>396</v>
      </c>
      <c r="D4" s="7" t="s">
        <v>397</v>
      </c>
      <c r="E4" s="255" t="s">
        <v>398</v>
      </c>
      <c r="F4" s="48" t="s">
        <v>5</v>
      </c>
      <c r="G4" s="7" t="s">
        <v>395</v>
      </c>
      <c r="H4" s="7" t="s">
        <v>396</v>
      </c>
      <c r="I4" s="7" t="s">
        <v>397</v>
      </c>
      <c r="J4" s="255" t="s">
        <v>399</v>
      </c>
      <c r="K4" s="48" t="s">
        <v>5</v>
      </c>
      <c r="L4" s="7" t="s">
        <v>395</v>
      </c>
      <c r="M4" s="7" t="s">
        <v>396</v>
      </c>
      <c r="N4" s="7" t="s">
        <v>397</v>
      </c>
      <c r="O4" s="255" t="s">
        <v>400</v>
      </c>
      <c r="P4" s="48" t="s">
        <v>5</v>
      </c>
      <c r="Q4" s="7" t="s">
        <v>395</v>
      </c>
      <c r="R4" s="7" t="s">
        <v>396</v>
      </c>
      <c r="S4" s="7" t="s">
        <v>397</v>
      </c>
      <c r="T4" s="255" t="s">
        <v>401</v>
      </c>
      <c r="U4" s="48" t="s">
        <v>5</v>
      </c>
      <c r="V4" s="7" t="s">
        <v>395</v>
      </c>
      <c r="W4" s="7" t="s">
        <v>396</v>
      </c>
      <c r="X4" s="7" t="s">
        <v>397</v>
      </c>
      <c r="Y4" s="255" t="s">
        <v>130</v>
      </c>
    </row>
    <row r="5" spans="1:25" s="206" customFormat="1" ht="12.75">
      <c r="A5" s="88" t="s">
        <v>402</v>
      </c>
      <c r="B5" s="95">
        <v>405514</v>
      </c>
      <c r="C5" s="92">
        <v>131581</v>
      </c>
      <c r="D5" s="95">
        <f>B5+C5</f>
        <v>537095</v>
      </c>
      <c r="E5" s="256">
        <v>140836</v>
      </c>
      <c r="F5" s="88" t="s">
        <v>402</v>
      </c>
      <c r="G5" s="95">
        <v>510019</v>
      </c>
      <c r="H5" s="92">
        <v>168552</v>
      </c>
      <c r="I5" s="95">
        <f>G5+H5</f>
        <v>678571</v>
      </c>
      <c r="J5" s="256">
        <f>I5-D5</f>
        <v>141476</v>
      </c>
      <c r="K5" s="88" t="s">
        <v>402</v>
      </c>
      <c r="L5" s="95">
        <v>613064</v>
      </c>
      <c r="M5" s="92">
        <v>210284</v>
      </c>
      <c r="N5" s="95">
        <f>L5+M5</f>
        <v>823348</v>
      </c>
      <c r="O5" s="256">
        <f>N5-I5</f>
        <v>144777</v>
      </c>
      <c r="P5" s="88" t="s">
        <v>402</v>
      </c>
      <c r="Q5" s="95">
        <v>721720</v>
      </c>
      <c r="R5" s="92">
        <v>240923</v>
      </c>
      <c r="S5" s="95">
        <f>Q5+R5</f>
        <v>962643</v>
      </c>
      <c r="T5" s="256">
        <f aca="true" t="shared" si="0" ref="T5:T39">S5-N5</f>
        <v>139295</v>
      </c>
      <c r="U5" s="88" t="s">
        <v>402</v>
      </c>
      <c r="V5" s="95">
        <v>836048</v>
      </c>
      <c r="W5" s="92">
        <v>271539</v>
      </c>
      <c r="X5" s="95">
        <f>V5+W5</f>
        <v>1107587</v>
      </c>
      <c r="Y5" s="256">
        <f aca="true" t="shared" si="1" ref="Y5:Y39">X5-S5</f>
        <v>144944</v>
      </c>
    </row>
    <row r="6" spans="1:25" s="176" customFormat="1" ht="24.75" customHeight="1">
      <c r="A6" s="257" t="s">
        <v>403</v>
      </c>
      <c r="B6" s="101" t="s">
        <v>134</v>
      </c>
      <c r="C6" s="101" t="s">
        <v>134</v>
      </c>
      <c r="D6" s="177">
        <v>30831</v>
      </c>
      <c r="E6" s="258">
        <v>9242</v>
      </c>
      <c r="F6" s="257" t="s">
        <v>403</v>
      </c>
      <c r="G6" s="101" t="s">
        <v>134</v>
      </c>
      <c r="H6" s="101" t="s">
        <v>134</v>
      </c>
      <c r="I6" s="177">
        <v>39349</v>
      </c>
      <c r="J6" s="258">
        <f aca="true" t="shared" si="2" ref="J6:J39">I6-D6</f>
        <v>8518</v>
      </c>
      <c r="K6" s="257" t="s">
        <v>403</v>
      </c>
      <c r="L6" s="101" t="s">
        <v>134</v>
      </c>
      <c r="M6" s="101" t="s">
        <v>134</v>
      </c>
      <c r="N6" s="177">
        <f>52348+3052</f>
        <v>55400</v>
      </c>
      <c r="O6" s="258">
        <f aca="true" t="shared" si="3" ref="O6:O39">N6-I6</f>
        <v>16051</v>
      </c>
      <c r="P6" s="257" t="s">
        <v>403</v>
      </c>
      <c r="Q6" s="101" t="s">
        <v>134</v>
      </c>
      <c r="R6" s="101" t="s">
        <v>134</v>
      </c>
      <c r="S6" s="177">
        <f>58297+3560</f>
        <v>61857</v>
      </c>
      <c r="T6" s="258">
        <f t="shared" si="0"/>
        <v>6457</v>
      </c>
      <c r="U6" s="257" t="s">
        <v>403</v>
      </c>
      <c r="V6" s="101" t="s">
        <v>134</v>
      </c>
      <c r="W6" s="101" t="s">
        <v>134</v>
      </c>
      <c r="X6" s="177">
        <f>63081+4069</f>
        <v>67150</v>
      </c>
      <c r="Y6" s="258">
        <f t="shared" si="1"/>
        <v>5293</v>
      </c>
    </row>
    <row r="7" spans="1:25" s="176" customFormat="1" ht="24.75" customHeight="1">
      <c r="A7" s="257" t="s">
        <v>404</v>
      </c>
      <c r="B7" s="101" t="s">
        <v>134</v>
      </c>
      <c r="C7" s="101" t="s">
        <v>134</v>
      </c>
      <c r="D7" s="177">
        <v>3961</v>
      </c>
      <c r="E7" s="258">
        <v>-584</v>
      </c>
      <c r="F7" s="257" t="s">
        <v>404</v>
      </c>
      <c r="G7" s="101" t="s">
        <v>134</v>
      </c>
      <c r="H7" s="101" t="s">
        <v>134</v>
      </c>
      <c r="I7" s="177">
        <v>4494</v>
      </c>
      <c r="J7" s="258">
        <f t="shared" si="2"/>
        <v>533</v>
      </c>
      <c r="K7" s="257" t="s">
        <v>404</v>
      </c>
      <c r="L7" s="101" t="s">
        <v>134</v>
      </c>
      <c r="M7" s="101" t="s">
        <v>134</v>
      </c>
      <c r="N7" s="177">
        <v>5232</v>
      </c>
      <c r="O7" s="258">
        <f t="shared" si="3"/>
        <v>738</v>
      </c>
      <c r="P7" s="257" t="s">
        <v>404</v>
      </c>
      <c r="Q7" s="101" t="s">
        <v>134</v>
      </c>
      <c r="R7" s="101" t="s">
        <v>134</v>
      </c>
      <c r="S7" s="177">
        <v>5878</v>
      </c>
      <c r="T7" s="258">
        <f t="shared" si="0"/>
        <v>646</v>
      </c>
      <c r="U7" s="257" t="s">
        <v>404</v>
      </c>
      <c r="V7" s="101" t="s">
        <v>134</v>
      </c>
      <c r="W7" s="101" t="s">
        <v>134</v>
      </c>
      <c r="X7" s="177">
        <v>13955</v>
      </c>
      <c r="Y7" s="258">
        <f t="shared" si="1"/>
        <v>8077</v>
      </c>
    </row>
    <row r="8" spans="1:25" s="206" customFormat="1" ht="15" customHeight="1">
      <c r="A8" s="259" t="s">
        <v>405</v>
      </c>
      <c r="B8" s="260" t="s">
        <v>134</v>
      </c>
      <c r="C8" s="260" t="s">
        <v>134</v>
      </c>
      <c r="D8" s="95">
        <f>D5-D6-D7</f>
        <v>502303</v>
      </c>
      <c r="E8" s="261">
        <f>E5-E6-E7</f>
        <v>132178</v>
      </c>
      <c r="F8" s="259" t="s">
        <v>405</v>
      </c>
      <c r="G8" s="260" t="s">
        <v>134</v>
      </c>
      <c r="H8" s="260" t="s">
        <v>134</v>
      </c>
      <c r="I8" s="95">
        <f>I5-I6-I7</f>
        <v>634728</v>
      </c>
      <c r="J8" s="256">
        <f t="shared" si="2"/>
        <v>132425</v>
      </c>
      <c r="K8" s="259" t="s">
        <v>405</v>
      </c>
      <c r="L8" s="260" t="s">
        <v>134</v>
      </c>
      <c r="M8" s="260" t="s">
        <v>134</v>
      </c>
      <c r="N8" s="95">
        <f>N5-N6-N7</f>
        <v>762716</v>
      </c>
      <c r="O8" s="256">
        <f t="shared" si="3"/>
        <v>127988</v>
      </c>
      <c r="P8" s="259" t="s">
        <v>405</v>
      </c>
      <c r="Q8" s="260" t="s">
        <v>134</v>
      </c>
      <c r="R8" s="260" t="s">
        <v>134</v>
      </c>
      <c r="S8" s="95">
        <f>S5-S6-S7</f>
        <v>894908</v>
      </c>
      <c r="T8" s="256">
        <f t="shared" si="0"/>
        <v>132192</v>
      </c>
      <c r="U8" s="259" t="s">
        <v>405</v>
      </c>
      <c r="V8" s="260" t="s">
        <v>134</v>
      </c>
      <c r="W8" s="260" t="s">
        <v>134</v>
      </c>
      <c r="X8" s="95">
        <f>X5-X6-X7</f>
        <v>1026482</v>
      </c>
      <c r="Y8" s="256">
        <f t="shared" si="1"/>
        <v>131574</v>
      </c>
    </row>
    <row r="9" spans="1:25" s="202" customFormat="1" ht="18" customHeight="1">
      <c r="A9" s="88" t="s">
        <v>406</v>
      </c>
      <c r="B9" s="95">
        <v>430174</v>
      </c>
      <c r="C9" s="92">
        <v>124192</v>
      </c>
      <c r="D9" s="95">
        <f>B9+C9</f>
        <v>554366</v>
      </c>
      <c r="E9" s="256">
        <f>153802-28</f>
        <v>153774</v>
      </c>
      <c r="F9" s="88" t="s">
        <v>406</v>
      </c>
      <c r="G9" s="95">
        <v>551865</v>
      </c>
      <c r="H9" s="92">
        <v>159035</v>
      </c>
      <c r="I9" s="95">
        <f>G9+H9</f>
        <v>710900</v>
      </c>
      <c r="J9" s="256">
        <f t="shared" si="2"/>
        <v>156534</v>
      </c>
      <c r="K9" s="88" t="s">
        <v>406</v>
      </c>
      <c r="L9" s="95">
        <f>676258+121</f>
        <v>676379</v>
      </c>
      <c r="M9" s="92">
        <v>204319</v>
      </c>
      <c r="N9" s="95">
        <f>L9+M9</f>
        <v>880698</v>
      </c>
      <c r="O9" s="256">
        <f>N9-I9</f>
        <v>169798</v>
      </c>
      <c r="P9" s="88" t="s">
        <v>406</v>
      </c>
      <c r="Q9" s="95">
        <v>792546</v>
      </c>
      <c r="R9" s="92">
        <v>237976</v>
      </c>
      <c r="S9" s="95">
        <f>Q9+R9</f>
        <v>1030522</v>
      </c>
      <c r="T9" s="256">
        <f t="shared" si="0"/>
        <v>149824</v>
      </c>
      <c r="U9" s="88" t="s">
        <v>406</v>
      </c>
      <c r="V9" s="95">
        <v>907658</v>
      </c>
      <c r="W9" s="92">
        <v>268419</v>
      </c>
      <c r="X9" s="95">
        <f>V9+W9</f>
        <v>1176077</v>
      </c>
      <c r="Y9" s="256">
        <f t="shared" si="1"/>
        <v>145555</v>
      </c>
    </row>
    <row r="10" spans="1:25" s="262" customFormat="1" ht="24.75" customHeight="1">
      <c r="A10" s="257" t="s">
        <v>407</v>
      </c>
      <c r="B10" s="101" t="s">
        <v>134</v>
      </c>
      <c r="C10" s="101" t="s">
        <v>134</v>
      </c>
      <c r="D10" s="177">
        <v>30831</v>
      </c>
      <c r="E10" s="258">
        <v>9242</v>
      </c>
      <c r="F10" s="257" t="s">
        <v>407</v>
      </c>
      <c r="G10" s="101" t="s">
        <v>134</v>
      </c>
      <c r="H10" s="101" t="s">
        <v>134</v>
      </c>
      <c r="I10" s="177">
        <v>39349</v>
      </c>
      <c r="J10" s="258">
        <f t="shared" si="2"/>
        <v>8518</v>
      </c>
      <c r="K10" s="257" t="s">
        <v>407</v>
      </c>
      <c r="L10" s="101" t="s">
        <v>134</v>
      </c>
      <c r="M10" s="101" t="s">
        <v>134</v>
      </c>
      <c r="N10" s="177">
        <v>55400</v>
      </c>
      <c r="O10" s="258">
        <f t="shared" si="3"/>
        <v>16051</v>
      </c>
      <c r="P10" s="257" t="s">
        <v>407</v>
      </c>
      <c r="Q10" s="101" t="s">
        <v>134</v>
      </c>
      <c r="R10" s="101" t="s">
        <v>134</v>
      </c>
      <c r="S10" s="177">
        <v>61857</v>
      </c>
      <c r="T10" s="258">
        <f t="shared" si="0"/>
        <v>6457</v>
      </c>
      <c r="U10" s="257" t="s">
        <v>407</v>
      </c>
      <c r="V10" s="101" t="s">
        <v>134</v>
      </c>
      <c r="W10" s="101" t="s">
        <v>134</v>
      </c>
      <c r="X10" s="177">
        <v>67150</v>
      </c>
      <c r="Y10" s="258">
        <f t="shared" si="1"/>
        <v>5293</v>
      </c>
    </row>
    <row r="11" spans="1:25" s="262" customFormat="1" ht="24.75" customHeight="1">
      <c r="A11" s="257" t="s">
        <v>408</v>
      </c>
      <c r="B11" s="101" t="s">
        <v>134</v>
      </c>
      <c r="C11" s="101" t="s">
        <v>134</v>
      </c>
      <c r="D11" s="177">
        <v>3961</v>
      </c>
      <c r="E11" s="258">
        <v>-584</v>
      </c>
      <c r="F11" s="257" t="s">
        <v>408</v>
      </c>
      <c r="G11" s="101" t="s">
        <v>134</v>
      </c>
      <c r="H11" s="101" t="s">
        <v>134</v>
      </c>
      <c r="I11" s="177">
        <v>4494</v>
      </c>
      <c r="J11" s="258">
        <f t="shared" si="2"/>
        <v>533</v>
      </c>
      <c r="K11" s="257" t="s">
        <v>408</v>
      </c>
      <c r="L11" s="101" t="s">
        <v>134</v>
      </c>
      <c r="M11" s="101" t="s">
        <v>134</v>
      </c>
      <c r="N11" s="177">
        <v>5232</v>
      </c>
      <c r="O11" s="258">
        <f t="shared" si="3"/>
        <v>738</v>
      </c>
      <c r="P11" s="257" t="s">
        <v>408</v>
      </c>
      <c r="Q11" s="101" t="s">
        <v>134</v>
      </c>
      <c r="R11" s="101" t="s">
        <v>134</v>
      </c>
      <c r="S11" s="177">
        <v>5878</v>
      </c>
      <c r="T11" s="258">
        <f t="shared" si="0"/>
        <v>646</v>
      </c>
      <c r="U11" s="257" t="s">
        <v>408</v>
      </c>
      <c r="V11" s="101" t="s">
        <v>134</v>
      </c>
      <c r="W11" s="101" t="s">
        <v>134</v>
      </c>
      <c r="X11" s="177">
        <v>13955</v>
      </c>
      <c r="Y11" s="258">
        <f t="shared" si="1"/>
        <v>8077</v>
      </c>
    </row>
    <row r="12" spans="1:25" s="202" customFormat="1" ht="15.75" customHeight="1">
      <c r="A12" s="259" t="s">
        <v>409</v>
      </c>
      <c r="B12" s="260" t="s">
        <v>134</v>
      </c>
      <c r="C12" s="260" t="s">
        <v>134</v>
      </c>
      <c r="D12" s="95">
        <f>D9-D10-D11</f>
        <v>519574</v>
      </c>
      <c r="E12" s="261">
        <f>E9-E10-E11</f>
        <v>145116</v>
      </c>
      <c r="F12" s="259" t="s">
        <v>409</v>
      </c>
      <c r="G12" s="260" t="s">
        <v>134</v>
      </c>
      <c r="H12" s="260" t="s">
        <v>134</v>
      </c>
      <c r="I12" s="95">
        <f>I9-I10-I11</f>
        <v>667057</v>
      </c>
      <c r="J12" s="256">
        <f t="shared" si="2"/>
        <v>147483</v>
      </c>
      <c r="K12" s="259" t="s">
        <v>409</v>
      </c>
      <c r="L12" s="260" t="s">
        <v>134</v>
      </c>
      <c r="M12" s="260" t="s">
        <v>134</v>
      </c>
      <c r="N12" s="95">
        <f>N9-N10-N11</f>
        <v>820066</v>
      </c>
      <c r="O12" s="256">
        <f>N12-I12</f>
        <v>153009</v>
      </c>
      <c r="P12" s="259" t="s">
        <v>409</v>
      </c>
      <c r="Q12" s="260" t="s">
        <v>134</v>
      </c>
      <c r="R12" s="260" t="s">
        <v>134</v>
      </c>
      <c r="S12" s="95">
        <f>S9-S10-S11</f>
        <v>962787</v>
      </c>
      <c r="T12" s="256">
        <f t="shared" si="0"/>
        <v>142721</v>
      </c>
      <c r="U12" s="259" t="s">
        <v>409</v>
      </c>
      <c r="V12" s="260" t="s">
        <v>134</v>
      </c>
      <c r="W12" s="260" t="s">
        <v>134</v>
      </c>
      <c r="X12" s="95">
        <f>X9-X10-X11</f>
        <v>1094972</v>
      </c>
      <c r="Y12" s="256">
        <f t="shared" si="1"/>
        <v>132185</v>
      </c>
    </row>
    <row r="13" spans="1:25" s="225" customFormat="1" ht="24.75" customHeight="1">
      <c r="A13" s="259" t="s">
        <v>410</v>
      </c>
      <c r="B13" s="95">
        <f>B5-B9</f>
        <v>-24660</v>
      </c>
      <c r="C13" s="92">
        <f>C5-C9</f>
        <v>7389</v>
      </c>
      <c r="D13" s="95">
        <f>D8-D12</f>
        <v>-17271</v>
      </c>
      <c r="E13" s="261">
        <f>E8-E12</f>
        <v>-12938</v>
      </c>
      <c r="F13" s="259" t="s">
        <v>410</v>
      </c>
      <c r="G13" s="95">
        <f>G5-G9</f>
        <v>-41846</v>
      </c>
      <c r="H13" s="92">
        <f>H5-H9</f>
        <v>9517</v>
      </c>
      <c r="I13" s="95">
        <f>I8-I12</f>
        <v>-32329</v>
      </c>
      <c r="J13" s="256">
        <f t="shared" si="2"/>
        <v>-15058</v>
      </c>
      <c r="K13" s="259" t="s">
        <v>410</v>
      </c>
      <c r="L13" s="95">
        <f>L5-L9</f>
        <v>-63315</v>
      </c>
      <c r="M13" s="92">
        <f>M5-M9</f>
        <v>5965</v>
      </c>
      <c r="N13" s="95">
        <f>N8-N12</f>
        <v>-57350</v>
      </c>
      <c r="O13" s="256">
        <f t="shared" si="3"/>
        <v>-25021</v>
      </c>
      <c r="P13" s="259" t="s">
        <v>410</v>
      </c>
      <c r="Q13" s="95">
        <f>Q5-Q9</f>
        <v>-70826</v>
      </c>
      <c r="R13" s="92">
        <f>R5-R9</f>
        <v>2947</v>
      </c>
      <c r="S13" s="95">
        <f>S8-S12</f>
        <v>-67879</v>
      </c>
      <c r="T13" s="256">
        <f t="shared" si="0"/>
        <v>-10529</v>
      </c>
      <c r="U13" s="259" t="s">
        <v>410</v>
      </c>
      <c r="V13" s="95">
        <f>V5-V9</f>
        <v>-71610</v>
      </c>
      <c r="W13" s="92">
        <f>W5-W9</f>
        <v>3120</v>
      </c>
      <c r="X13" s="95">
        <f>X8-X12</f>
        <v>-68490</v>
      </c>
      <c r="Y13" s="256">
        <f t="shared" si="1"/>
        <v>-611</v>
      </c>
    </row>
    <row r="14" spans="1:25" s="225" customFormat="1" ht="17.25" customHeight="1">
      <c r="A14" s="263" t="s">
        <v>411</v>
      </c>
      <c r="B14" s="92">
        <f>B15-B18</f>
        <v>2182</v>
      </c>
      <c r="C14" s="92">
        <f>C15-C18</f>
        <v>-652</v>
      </c>
      <c r="D14" s="92">
        <f>D17-D20</f>
        <v>4511</v>
      </c>
      <c r="E14" s="261">
        <f>E17-E20</f>
        <v>966</v>
      </c>
      <c r="F14" s="263" t="s">
        <v>411</v>
      </c>
      <c r="G14" s="92">
        <f>G15-G18</f>
        <v>3779</v>
      </c>
      <c r="H14" s="92">
        <f>H15-H18</f>
        <v>-424</v>
      </c>
      <c r="I14" s="92">
        <f>I17-I20</f>
        <v>6113</v>
      </c>
      <c r="J14" s="256">
        <f t="shared" si="2"/>
        <v>1602</v>
      </c>
      <c r="K14" s="263" t="s">
        <v>411</v>
      </c>
      <c r="L14" s="92">
        <f>L15-L18</f>
        <v>5127</v>
      </c>
      <c r="M14" s="92">
        <f>M15-M18</f>
        <v>-233</v>
      </c>
      <c r="N14" s="92">
        <f>N17-N20</f>
        <v>6502</v>
      </c>
      <c r="O14" s="256">
        <f t="shared" si="3"/>
        <v>389</v>
      </c>
      <c r="P14" s="263" t="s">
        <v>411</v>
      </c>
      <c r="Q14" s="92">
        <f>Q15-Q18</f>
        <v>5704</v>
      </c>
      <c r="R14" s="92">
        <f>R15-R18</f>
        <v>123</v>
      </c>
      <c r="S14" s="92">
        <f>S17-S20</f>
        <v>6015</v>
      </c>
      <c r="T14" s="256">
        <f t="shared" si="0"/>
        <v>-487</v>
      </c>
      <c r="U14" s="263" t="s">
        <v>411</v>
      </c>
      <c r="V14" s="92">
        <f>V15-V18</f>
        <v>5480</v>
      </c>
      <c r="W14" s="92">
        <f>W15-W18</f>
        <v>481</v>
      </c>
      <c r="X14" s="92">
        <f>X17-X20</f>
        <v>6227</v>
      </c>
      <c r="Y14" s="256">
        <f t="shared" si="1"/>
        <v>212</v>
      </c>
    </row>
    <row r="15" spans="1:25" s="22" customFormat="1" ht="19.5" customHeight="1">
      <c r="A15" s="264" t="s">
        <v>412</v>
      </c>
      <c r="B15" s="265">
        <v>11179</v>
      </c>
      <c r="C15" s="111">
        <v>2104</v>
      </c>
      <c r="D15" s="265">
        <f>B15+C15</f>
        <v>13283</v>
      </c>
      <c r="E15" s="266">
        <v>3971</v>
      </c>
      <c r="F15" s="264" t="s">
        <v>412</v>
      </c>
      <c r="G15" s="265">
        <v>14328</v>
      </c>
      <c r="H15" s="111">
        <v>2660</v>
      </c>
      <c r="I15" s="265">
        <f>G15+H15</f>
        <v>16988</v>
      </c>
      <c r="J15" s="267">
        <f t="shared" si="2"/>
        <v>3705</v>
      </c>
      <c r="K15" s="264" t="s">
        <v>412</v>
      </c>
      <c r="L15" s="265">
        <f>17033</f>
        <v>17033</v>
      </c>
      <c r="M15" s="111">
        <v>3098</v>
      </c>
      <c r="N15" s="265">
        <f>L15+M15</f>
        <v>20131</v>
      </c>
      <c r="O15" s="267">
        <f t="shared" si="3"/>
        <v>3143</v>
      </c>
      <c r="P15" s="264" t="s">
        <v>412</v>
      </c>
      <c r="Q15" s="265">
        <f>17579+1493</f>
        <v>19072</v>
      </c>
      <c r="R15" s="111">
        <v>3320</v>
      </c>
      <c r="S15" s="265">
        <f>Q15+R15</f>
        <v>22392</v>
      </c>
      <c r="T15" s="267">
        <f t="shared" si="0"/>
        <v>2261</v>
      </c>
      <c r="U15" s="264" t="s">
        <v>412</v>
      </c>
      <c r="V15" s="265">
        <v>20139</v>
      </c>
      <c r="W15" s="111">
        <v>3771</v>
      </c>
      <c r="X15" s="265">
        <f>V15+W15</f>
        <v>23910</v>
      </c>
      <c r="Y15" s="267">
        <f t="shared" si="1"/>
        <v>1518</v>
      </c>
    </row>
    <row r="16" spans="1:25" s="31" customFormat="1" ht="24.75" customHeight="1">
      <c r="A16" s="257" t="s">
        <v>413</v>
      </c>
      <c r="B16" s="101" t="s">
        <v>134</v>
      </c>
      <c r="C16" s="101" t="s">
        <v>134</v>
      </c>
      <c r="D16" s="177">
        <v>1197</v>
      </c>
      <c r="E16" s="268">
        <v>105</v>
      </c>
      <c r="F16" s="257" t="s">
        <v>413</v>
      </c>
      <c r="G16" s="101" t="s">
        <v>134</v>
      </c>
      <c r="H16" s="101" t="s">
        <v>134</v>
      </c>
      <c r="I16" s="177">
        <v>2067</v>
      </c>
      <c r="J16" s="258">
        <f t="shared" si="2"/>
        <v>870</v>
      </c>
      <c r="K16" s="257" t="s">
        <v>413</v>
      </c>
      <c r="L16" s="101" t="s">
        <v>134</v>
      </c>
      <c r="M16" s="101" t="s">
        <v>134</v>
      </c>
      <c r="N16" s="177">
        <v>3716</v>
      </c>
      <c r="O16" s="258">
        <f t="shared" si="3"/>
        <v>1649</v>
      </c>
      <c r="P16" s="257" t="s">
        <v>413</v>
      </c>
      <c r="Q16" s="101" t="s">
        <v>134</v>
      </c>
      <c r="R16" s="101" t="s">
        <v>134</v>
      </c>
      <c r="S16" s="177">
        <v>5701</v>
      </c>
      <c r="T16" s="258">
        <f t="shared" si="0"/>
        <v>1985</v>
      </c>
      <c r="U16" s="257" t="s">
        <v>413</v>
      </c>
      <c r="V16" s="101" t="s">
        <v>134</v>
      </c>
      <c r="W16" s="101" t="s">
        <v>134</v>
      </c>
      <c r="X16" s="177">
        <v>6168</v>
      </c>
      <c r="Y16" s="258">
        <f t="shared" si="1"/>
        <v>467</v>
      </c>
    </row>
    <row r="17" spans="1:25" s="225" customFormat="1" ht="12" customHeight="1">
      <c r="A17" s="263" t="s">
        <v>414</v>
      </c>
      <c r="B17" s="260" t="s">
        <v>134</v>
      </c>
      <c r="C17" s="260" t="s">
        <v>134</v>
      </c>
      <c r="D17" s="95">
        <f>D15-D16</f>
        <v>12086</v>
      </c>
      <c r="E17" s="261">
        <f>E15-E16</f>
        <v>3866</v>
      </c>
      <c r="F17" s="263" t="s">
        <v>414</v>
      </c>
      <c r="G17" s="260" t="s">
        <v>134</v>
      </c>
      <c r="H17" s="260" t="s">
        <v>134</v>
      </c>
      <c r="I17" s="95">
        <f>I15-I16</f>
        <v>14921</v>
      </c>
      <c r="J17" s="256">
        <f t="shared" si="2"/>
        <v>2835</v>
      </c>
      <c r="K17" s="263" t="s">
        <v>414</v>
      </c>
      <c r="L17" s="260" t="s">
        <v>134</v>
      </c>
      <c r="M17" s="260" t="s">
        <v>134</v>
      </c>
      <c r="N17" s="95">
        <f>N15-N16</f>
        <v>16415</v>
      </c>
      <c r="O17" s="256">
        <f t="shared" si="3"/>
        <v>1494</v>
      </c>
      <c r="P17" s="263" t="s">
        <v>414</v>
      </c>
      <c r="Q17" s="260" t="s">
        <v>134</v>
      </c>
      <c r="R17" s="260" t="s">
        <v>134</v>
      </c>
      <c r="S17" s="95">
        <f>S15-S16</f>
        <v>16691</v>
      </c>
      <c r="T17" s="256">
        <f t="shared" si="0"/>
        <v>276</v>
      </c>
      <c r="U17" s="263" t="s">
        <v>414</v>
      </c>
      <c r="V17" s="260" t="s">
        <v>134</v>
      </c>
      <c r="W17" s="260" t="s">
        <v>134</v>
      </c>
      <c r="X17" s="95">
        <f>X15-X16</f>
        <v>17742</v>
      </c>
      <c r="Y17" s="256">
        <f t="shared" si="1"/>
        <v>1051</v>
      </c>
    </row>
    <row r="18" spans="1:25" s="22" customFormat="1" ht="18" customHeight="1">
      <c r="A18" s="264" t="s">
        <v>415</v>
      </c>
      <c r="B18" s="265">
        <v>8997</v>
      </c>
      <c r="C18" s="111">
        <v>2756</v>
      </c>
      <c r="D18" s="265">
        <f>B18+C18</f>
        <v>11753</v>
      </c>
      <c r="E18" s="266">
        <v>3398</v>
      </c>
      <c r="F18" s="264" t="s">
        <v>415</v>
      </c>
      <c r="G18" s="265">
        <v>10549</v>
      </c>
      <c r="H18" s="111">
        <v>3084</v>
      </c>
      <c r="I18" s="265">
        <f>G18+H18</f>
        <v>13633</v>
      </c>
      <c r="J18" s="267">
        <f t="shared" si="2"/>
        <v>1880</v>
      </c>
      <c r="K18" s="264" t="s">
        <v>415</v>
      </c>
      <c r="L18" s="265">
        <v>11906</v>
      </c>
      <c r="M18" s="111">
        <v>3331</v>
      </c>
      <c r="N18" s="265">
        <f>L18+M18</f>
        <v>15237</v>
      </c>
      <c r="O18" s="267">
        <f t="shared" si="3"/>
        <v>1604</v>
      </c>
      <c r="P18" s="264" t="s">
        <v>415</v>
      </c>
      <c r="Q18" s="265">
        <v>13368</v>
      </c>
      <c r="R18" s="111">
        <v>3197</v>
      </c>
      <c r="S18" s="265">
        <f>Q18+R18</f>
        <v>16565</v>
      </c>
      <c r="T18" s="267">
        <f t="shared" si="0"/>
        <v>1328</v>
      </c>
      <c r="U18" s="264" t="s">
        <v>415</v>
      </c>
      <c r="V18" s="265">
        <v>14659</v>
      </c>
      <c r="W18" s="111">
        <v>3290</v>
      </c>
      <c r="X18" s="265">
        <f>V18+W18</f>
        <v>17949</v>
      </c>
      <c r="Y18" s="267">
        <f t="shared" si="1"/>
        <v>1384</v>
      </c>
    </row>
    <row r="19" spans="1:25" s="17" customFormat="1" ht="24.75" customHeight="1">
      <c r="A19" s="257" t="s">
        <v>416</v>
      </c>
      <c r="B19" s="98" t="s">
        <v>134</v>
      </c>
      <c r="C19" s="98" t="s">
        <v>134</v>
      </c>
      <c r="D19" s="177">
        <v>4178</v>
      </c>
      <c r="E19" s="268">
        <v>498</v>
      </c>
      <c r="F19" s="257" t="s">
        <v>416</v>
      </c>
      <c r="G19" s="98" t="s">
        <v>134</v>
      </c>
      <c r="H19" s="98" t="s">
        <v>134</v>
      </c>
      <c r="I19" s="177">
        <v>4825</v>
      </c>
      <c r="J19" s="258">
        <f t="shared" si="2"/>
        <v>647</v>
      </c>
      <c r="K19" s="257" t="s">
        <v>416</v>
      </c>
      <c r="L19" s="98" t="s">
        <v>134</v>
      </c>
      <c r="M19" s="98" t="s">
        <v>134</v>
      </c>
      <c r="N19" s="177">
        <f>5226+98</f>
        <v>5324</v>
      </c>
      <c r="O19" s="258">
        <f t="shared" si="3"/>
        <v>499</v>
      </c>
      <c r="P19" s="257" t="s">
        <v>416</v>
      </c>
      <c r="Q19" s="98" t="s">
        <v>134</v>
      </c>
      <c r="R19" s="98" t="s">
        <v>134</v>
      </c>
      <c r="S19" s="177">
        <v>5889</v>
      </c>
      <c r="T19" s="258">
        <f t="shared" si="0"/>
        <v>565</v>
      </c>
      <c r="U19" s="257" t="s">
        <v>416</v>
      </c>
      <c r="V19" s="98" t="s">
        <v>134</v>
      </c>
      <c r="W19" s="98" t="s">
        <v>134</v>
      </c>
      <c r="X19" s="177">
        <v>6434</v>
      </c>
      <c r="Y19" s="258">
        <f t="shared" si="1"/>
        <v>545</v>
      </c>
    </row>
    <row r="20" spans="1:25" s="225" customFormat="1" ht="13.5" customHeight="1">
      <c r="A20" s="263" t="s">
        <v>417</v>
      </c>
      <c r="B20" s="260" t="s">
        <v>134</v>
      </c>
      <c r="C20" s="260" t="s">
        <v>134</v>
      </c>
      <c r="D20" s="95">
        <f>D18-D19</f>
        <v>7575</v>
      </c>
      <c r="E20" s="261">
        <f>E18-E19</f>
        <v>2900</v>
      </c>
      <c r="F20" s="263" t="s">
        <v>417</v>
      </c>
      <c r="G20" s="260" t="s">
        <v>134</v>
      </c>
      <c r="H20" s="260" t="s">
        <v>134</v>
      </c>
      <c r="I20" s="95">
        <f>I18-I19</f>
        <v>8808</v>
      </c>
      <c r="J20" s="256">
        <f t="shared" si="2"/>
        <v>1233</v>
      </c>
      <c r="K20" s="263" t="s">
        <v>417</v>
      </c>
      <c r="L20" s="260" t="s">
        <v>134</v>
      </c>
      <c r="M20" s="260" t="s">
        <v>134</v>
      </c>
      <c r="N20" s="95">
        <f>N18-N19</f>
        <v>9913</v>
      </c>
      <c r="O20" s="256">
        <f t="shared" si="3"/>
        <v>1105</v>
      </c>
      <c r="P20" s="263" t="s">
        <v>417</v>
      </c>
      <c r="Q20" s="260" t="s">
        <v>134</v>
      </c>
      <c r="R20" s="260" t="s">
        <v>134</v>
      </c>
      <c r="S20" s="95">
        <f>S18-S19</f>
        <v>10676</v>
      </c>
      <c r="T20" s="256">
        <f t="shared" si="0"/>
        <v>763</v>
      </c>
      <c r="U20" s="263" t="s">
        <v>417</v>
      </c>
      <c r="V20" s="260" t="s">
        <v>134</v>
      </c>
      <c r="W20" s="260" t="s">
        <v>134</v>
      </c>
      <c r="X20" s="95">
        <f>X18-X19</f>
        <v>11515</v>
      </c>
      <c r="Y20" s="256">
        <f t="shared" si="1"/>
        <v>839</v>
      </c>
    </row>
    <row r="21" spans="1:25" s="225" customFormat="1" ht="24.75" customHeight="1">
      <c r="A21" s="259" t="s">
        <v>418</v>
      </c>
      <c r="B21" s="92">
        <f>B13-B14</f>
        <v>-26842</v>
      </c>
      <c r="C21" s="92">
        <f>C13-C14</f>
        <v>8041</v>
      </c>
      <c r="D21" s="95">
        <f>D13-D14</f>
        <v>-21782</v>
      </c>
      <c r="E21" s="261">
        <f>E13-E14</f>
        <v>-13904</v>
      </c>
      <c r="F21" s="259" t="s">
        <v>418</v>
      </c>
      <c r="G21" s="92">
        <f>G13-G14</f>
        <v>-45625</v>
      </c>
      <c r="H21" s="92">
        <f>H13-H14</f>
        <v>9941</v>
      </c>
      <c r="I21" s="95">
        <f>I13-I14</f>
        <v>-38442</v>
      </c>
      <c r="J21" s="256">
        <f t="shared" si="2"/>
        <v>-16660</v>
      </c>
      <c r="K21" s="259" t="s">
        <v>418</v>
      </c>
      <c r="L21" s="92">
        <f>L13-L14</f>
        <v>-68442</v>
      </c>
      <c r="M21" s="92">
        <f>M13-M14</f>
        <v>6198</v>
      </c>
      <c r="N21" s="95">
        <f>N13-N14</f>
        <v>-63852</v>
      </c>
      <c r="O21" s="256">
        <f t="shared" si="3"/>
        <v>-25410</v>
      </c>
      <c r="P21" s="259" t="s">
        <v>418</v>
      </c>
      <c r="Q21" s="92">
        <f>Q13-Q14</f>
        <v>-76530</v>
      </c>
      <c r="R21" s="92">
        <f>R13-R14</f>
        <v>2824</v>
      </c>
      <c r="S21" s="95">
        <f>S13-S14</f>
        <v>-73894</v>
      </c>
      <c r="T21" s="256">
        <f t="shared" si="0"/>
        <v>-10042</v>
      </c>
      <c r="U21" s="259" t="s">
        <v>418</v>
      </c>
      <c r="V21" s="92">
        <f>V13-V14</f>
        <v>-77090</v>
      </c>
      <c r="W21" s="92">
        <f>W13-W14</f>
        <v>2639</v>
      </c>
      <c r="X21" s="95">
        <f>X13-X14</f>
        <v>-74717</v>
      </c>
      <c r="Y21" s="256">
        <f t="shared" si="1"/>
        <v>-823</v>
      </c>
    </row>
    <row r="22" spans="1:25" s="225" customFormat="1" ht="19.5" customHeight="1">
      <c r="A22" s="88" t="s">
        <v>419</v>
      </c>
      <c r="B22" s="95">
        <f>B23+B39</f>
        <v>26842</v>
      </c>
      <c r="C22" s="92">
        <f>C23+C39</f>
        <v>-8041</v>
      </c>
      <c r="D22" s="95">
        <f>D23+D39</f>
        <v>21782</v>
      </c>
      <c r="E22" s="269">
        <f>E23+E39</f>
        <v>15068</v>
      </c>
      <c r="F22" s="88" t="s">
        <v>419</v>
      </c>
      <c r="G22" s="95">
        <f>G23+G39</f>
        <v>45625</v>
      </c>
      <c r="H22" s="92">
        <f>H23+H39</f>
        <v>-9941</v>
      </c>
      <c r="I22" s="95">
        <f>I23+I39</f>
        <v>38442</v>
      </c>
      <c r="J22" s="256">
        <f t="shared" si="2"/>
        <v>16660</v>
      </c>
      <c r="K22" s="88" t="s">
        <v>419</v>
      </c>
      <c r="L22" s="95">
        <f>L23+L39</f>
        <v>68442</v>
      </c>
      <c r="M22" s="92">
        <f>M23+M39</f>
        <v>-6198</v>
      </c>
      <c r="N22" s="95">
        <f>N23+N39</f>
        <v>63852</v>
      </c>
      <c r="O22" s="256">
        <f t="shared" si="3"/>
        <v>25410</v>
      </c>
      <c r="P22" s="88" t="s">
        <v>419</v>
      </c>
      <c r="Q22" s="95">
        <f>Q23+Q39</f>
        <v>76530</v>
      </c>
      <c r="R22" s="92">
        <f>R23+R39</f>
        <v>-2824</v>
      </c>
      <c r="S22" s="95">
        <f>S23+S39</f>
        <v>73894</v>
      </c>
      <c r="T22" s="256">
        <f t="shared" si="0"/>
        <v>10042</v>
      </c>
      <c r="U22" s="88" t="s">
        <v>419</v>
      </c>
      <c r="V22" s="95">
        <f>V23+V39</f>
        <v>77090</v>
      </c>
      <c r="W22" s="92">
        <f>W23+W39</f>
        <v>-2639</v>
      </c>
      <c r="X22" s="95">
        <f>X23+X39</f>
        <v>74717</v>
      </c>
      <c r="Y22" s="256">
        <f t="shared" si="1"/>
        <v>823</v>
      </c>
    </row>
    <row r="23" spans="1:25" s="225" customFormat="1" ht="20.25" customHeight="1">
      <c r="A23" s="88" t="s">
        <v>420</v>
      </c>
      <c r="B23" s="95">
        <f>B24+B29+B34+B38</f>
        <v>28468</v>
      </c>
      <c r="C23" s="92">
        <f>C24+C29+C34+C38</f>
        <v>-8041</v>
      </c>
      <c r="D23" s="92">
        <f>D24+D29+D34+D38</f>
        <v>23408</v>
      </c>
      <c r="E23" s="261">
        <f>E24+E29+E34+E38</f>
        <v>14466</v>
      </c>
      <c r="F23" s="88" t="s">
        <v>420</v>
      </c>
      <c r="G23" s="95">
        <f>G24+G29+G34+G38</f>
        <v>-47483</v>
      </c>
      <c r="H23" s="92">
        <f>H24+H29+H34+H38</f>
        <v>-9941</v>
      </c>
      <c r="I23" s="92">
        <f>I24+I29+I34+I38</f>
        <v>-54666</v>
      </c>
      <c r="J23" s="256">
        <f t="shared" si="2"/>
        <v>-78074</v>
      </c>
      <c r="K23" s="88" t="s">
        <v>420</v>
      </c>
      <c r="L23" s="95">
        <f>L24+L29+L34+L38</f>
        <v>-23422</v>
      </c>
      <c r="M23" s="92">
        <f>M24+M29+M34+M38</f>
        <v>-6198</v>
      </c>
      <c r="N23" s="92">
        <f>N24+N29+N34+N38</f>
        <v>-28012</v>
      </c>
      <c r="O23" s="256">
        <f t="shared" si="3"/>
        <v>26654</v>
      </c>
      <c r="P23" s="88" t="s">
        <v>420</v>
      </c>
      <c r="Q23" s="95">
        <f>Q24+Q29+Q34+Q38</f>
        <v>-12876</v>
      </c>
      <c r="R23" s="92">
        <f>R24+R29+R34+R38</f>
        <v>-2824</v>
      </c>
      <c r="S23" s="92">
        <f>S24+S29+S34+S38</f>
        <v>-15512</v>
      </c>
      <c r="T23" s="256">
        <f t="shared" si="0"/>
        <v>12500</v>
      </c>
      <c r="U23" s="88" t="s">
        <v>420</v>
      </c>
      <c r="V23" s="95">
        <f>V24+V29+V34+V38</f>
        <v>-10416</v>
      </c>
      <c r="W23" s="92">
        <f>W24+W29+W34+W38</f>
        <v>-2639</v>
      </c>
      <c r="X23" s="92">
        <f>X24+X29+X34+X38</f>
        <v>-12789</v>
      </c>
      <c r="Y23" s="256">
        <f t="shared" si="1"/>
        <v>2723</v>
      </c>
    </row>
    <row r="24" spans="1:25" s="22" customFormat="1" ht="18.75" customHeight="1">
      <c r="A24" s="270" t="s">
        <v>421</v>
      </c>
      <c r="B24" s="96">
        <f>B25+B26</f>
        <v>-1165</v>
      </c>
      <c r="C24" s="96">
        <f>C25+C26</f>
        <v>-3344</v>
      </c>
      <c r="D24" s="96">
        <f>D25+D28</f>
        <v>-1051</v>
      </c>
      <c r="E24" s="271">
        <f>E25+E28</f>
        <v>324</v>
      </c>
      <c r="F24" s="270" t="s">
        <v>421</v>
      </c>
      <c r="G24" s="96">
        <f>G25+G26</f>
        <v>-1932</v>
      </c>
      <c r="H24" s="96">
        <f>H25+H26</f>
        <v>-2612</v>
      </c>
      <c r="I24" s="96">
        <f>I25+I28</f>
        <v>-1786</v>
      </c>
      <c r="J24" s="272">
        <f t="shared" si="2"/>
        <v>-735</v>
      </c>
      <c r="K24" s="270" t="s">
        <v>421</v>
      </c>
      <c r="L24" s="96">
        <f>L25+L26</f>
        <v>-1754</v>
      </c>
      <c r="M24" s="96">
        <f>M25+M26</f>
        <v>-1333</v>
      </c>
      <c r="N24" s="96">
        <f>N25+N28</f>
        <v>-1479</v>
      </c>
      <c r="O24" s="272">
        <f t="shared" si="3"/>
        <v>307</v>
      </c>
      <c r="P24" s="270" t="s">
        <v>421</v>
      </c>
      <c r="Q24" s="96">
        <f>Q25+Q26</f>
        <v>-2317</v>
      </c>
      <c r="R24" s="96">
        <f>R25+R26</f>
        <v>226</v>
      </c>
      <c r="S24" s="96">
        <f>S25+S28</f>
        <v>-1903</v>
      </c>
      <c r="T24" s="272">
        <f t="shared" si="0"/>
        <v>-424</v>
      </c>
      <c r="U24" s="270" t="s">
        <v>421</v>
      </c>
      <c r="V24" s="96">
        <f>V25+V26</f>
        <v>1220</v>
      </c>
      <c r="W24" s="96">
        <f>W25+W26</f>
        <v>441</v>
      </c>
      <c r="X24" s="96">
        <f>X25+X28</f>
        <v>1927</v>
      </c>
      <c r="Y24" s="272">
        <f t="shared" si="1"/>
        <v>3830</v>
      </c>
    </row>
    <row r="25" spans="1:25" s="21" customFormat="1" ht="24.75" customHeight="1">
      <c r="A25" s="257" t="s">
        <v>422</v>
      </c>
      <c r="B25" s="177">
        <v>-1165</v>
      </c>
      <c r="C25" s="102">
        <v>114</v>
      </c>
      <c r="D25" s="177">
        <f>B25+C25</f>
        <v>-1051</v>
      </c>
      <c r="E25" s="268">
        <v>324</v>
      </c>
      <c r="F25" s="257" t="s">
        <v>422</v>
      </c>
      <c r="G25" s="177">
        <v>-1932</v>
      </c>
      <c r="H25" s="102">
        <v>146</v>
      </c>
      <c r="I25" s="177">
        <f>G25+H25</f>
        <v>-1786</v>
      </c>
      <c r="J25" s="258">
        <f t="shared" si="2"/>
        <v>-735</v>
      </c>
      <c r="K25" s="257" t="s">
        <v>422</v>
      </c>
      <c r="L25" s="177">
        <f>-1754</f>
        <v>-1754</v>
      </c>
      <c r="M25" s="102">
        <v>275</v>
      </c>
      <c r="N25" s="177">
        <f>L25+M25</f>
        <v>-1479</v>
      </c>
      <c r="O25" s="258">
        <f t="shared" si="3"/>
        <v>307</v>
      </c>
      <c r="P25" s="257" t="s">
        <v>422</v>
      </c>
      <c r="Q25" s="177">
        <v>-2317</v>
      </c>
      <c r="R25" s="102">
        <f>96+318</f>
        <v>414</v>
      </c>
      <c r="S25" s="177">
        <f>Q25+R25</f>
        <v>-1903</v>
      </c>
      <c r="T25" s="258">
        <f t="shared" si="0"/>
        <v>-424</v>
      </c>
      <c r="U25" s="257" t="s">
        <v>422</v>
      </c>
      <c r="V25" s="177">
        <v>1220</v>
      </c>
      <c r="W25" s="102">
        <v>707</v>
      </c>
      <c r="X25" s="177">
        <f>V25+W25</f>
        <v>1927</v>
      </c>
      <c r="Y25" s="258">
        <f t="shared" si="1"/>
        <v>3830</v>
      </c>
    </row>
    <row r="26" spans="1:25" s="31" customFormat="1" ht="21" customHeight="1">
      <c r="A26" s="257" t="s">
        <v>423</v>
      </c>
      <c r="B26" s="177"/>
      <c r="C26" s="102">
        <v>-3458</v>
      </c>
      <c r="D26" s="177">
        <f>B26+C26</f>
        <v>-3458</v>
      </c>
      <c r="E26" s="268">
        <f>-2006-28</f>
        <v>-2034</v>
      </c>
      <c r="F26" s="257" t="s">
        <v>423</v>
      </c>
      <c r="G26" s="177"/>
      <c r="H26" s="102">
        <f>-3312+554</f>
        <v>-2758</v>
      </c>
      <c r="I26" s="177">
        <f>G26+H26</f>
        <v>-2758</v>
      </c>
      <c r="J26" s="258">
        <f t="shared" si="2"/>
        <v>700</v>
      </c>
      <c r="K26" s="257" t="s">
        <v>423</v>
      </c>
      <c r="L26" s="177"/>
      <c r="M26" s="102">
        <v>-1608</v>
      </c>
      <c r="N26" s="177">
        <f>L26+M26</f>
        <v>-1608</v>
      </c>
      <c r="O26" s="258">
        <f t="shared" si="3"/>
        <v>1150</v>
      </c>
      <c r="P26" s="257" t="s">
        <v>423</v>
      </c>
      <c r="Q26" s="177"/>
      <c r="R26" s="102">
        <f>-188</f>
        <v>-188</v>
      </c>
      <c r="S26" s="177">
        <f>Q26+R26</f>
        <v>-188</v>
      </c>
      <c r="T26" s="258">
        <f t="shared" si="0"/>
        <v>1420</v>
      </c>
      <c r="U26" s="257" t="s">
        <v>423</v>
      </c>
      <c r="V26" s="177"/>
      <c r="W26" s="102">
        <v>-266</v>
      </c>
      <c r="X26" s="177">
        <f>V26+W26</f>
        <v>-266</v>
      </c>
      <c r="Y26" s="258">
        <f t="shared" si="1"/>
        <v>-78</v>
      </c>
    </row>
    <row r="27" spans="1:25" s="22" customFormat="1" ht="20.25" customHeight="1">
      <c r="A27" s="273" t="s">
        <v>424</v>
      </c>
      <c r="B27" s="98" t="s">
        <v>134</v>
      </c>
      <c r="C27" s="96" t="s">
        <v>134</v>
      </c>
      <c r="D27" s="99">
        <v>3458</v>
      </c>
      <c r="E27" s="274">
        <v>-870</v>
      </c>
      <c r="F27" s="273" t="s">
        <v>424</v>
      </c>
      <c r="G27" s="98" t="s">
        <v>134</v>
      </c>
      <c r="H27" s="98" t="s">
        <v>134</v>
      </c>
      <c r="I27" s="99">
        <v>2758</v>
      </c>
      <c r="J27" s="272">
        <f t="shared" si="2"/>
        <v>-700</v>
      </c>
      <c r="K27" s="273" t="s">
        <v>424</v>
      </c>
      <c r="L27" s="98" t="s">
        <v>134</v>
      </c>
      <c r="M27" s="98" t="s">
        <v>134</v>
      </c>
      <c r="N27" s="99">
        <v>1608</v>
      </c>
      <c r="O27" s="272">
        <f t="shared" si="3"/>
        <v>-1150</v>
      </c>
      <c r="P27" s="273" t="s">
        <v>424</v>
      </c>
      <c r="Q27" s="98" t="s">
        <v>134</v>
      </c>
      <c r="R27" s="98" t="s">
        <v>134</v>
      </c>
      <c r="S27" s="99">
        <v>188</v>
      </c>
      <c r="T27" s="272">
        <f t="shared" si="0"/>
        <v>-1420</v>
      </c>
      <c r="U27" s="273" t="s">
        <v>424</v>
      </c>
      <c r="V27" s="98" t="s">
        <v>134</v>
      </c>
      <c r="W27" s="98" t="s">
        <v>134</v>
      </c>
      <c r="X27" s="99">
        <f>266</f>
        <v>266</v>
      </c>
      <c r="Y27" s="272">
        <f t="shared" si="1"/>
        <v>78</v>
      </c>
    </row>
    <row r="28" spans="1:25" s="21" customFormat="1" ht="24.75" customHeight="1">
      <c r="A28" s="257" t="s">
        <v>425</v>
      </c>
      <c r="B28" s="98" t="s">
        <v>134</v>
      </c>
      <c r="C28" s="96" t="s">
        <v>134</v>
      </c>
      <c r="D28" s="99">
        <f>D26+D27</f>
        <v>0</v>
      </c>
      <c r="E28" s="274"/>
      <c r="F28" s="257" t="s">
        <v>425</v>
      </c>
      <c r="G28" s="98" t="s">
        <v>134</v>
      </c>
      <c r="H28" s="98" t="s">
        <v>134</v>
      </c>
      <c r="I28" s="99">
        <f>I26+I27</f>
        <v>0</v>
      </c>
      <c r="J28" s="272">
        <f t="shared" si="2"/>
        <v>0</v>
      </c>
      <c r="K28" s="257" t="s">
        <v>425</v>
      </c>
      <c r="L28" s="98" t="s">
        <v>134</v>
      </c>
      <c r="M28" s="98" t="s">
        <v>134</v>
      </c>
      <c r="N28" s="99">
        <f>N26+N27</f>
        <v>0</v>
      </c>
      <c r="O28" s="272">
        <f t="shared" si="3"/>
        <v>0</v>
      </c>
      <c r="P28" s="257" t="s">
        <v>425</v>
      </c>
      <c r="Q28" s="98" t="s">
        <v>134</v>
      </c>
      <c r="R28" s="98" t="s">
        <v>134</v>
      </c>
      <c r="S28" s="99">
        <f>S26+S27</f>
        <v>0</v>
      </c>
      <c r="T28" s="272">
        <f t="shared" si="0"/>
        <v>0</v>
      </c>
      <c r="U28" s="257" t="s">
        <v>425</v>
      </c>
      <c r="V28" s="98" t="s">
        <v>134</v>
      </c>
      <c r="W28" s="98" t="s">
        <v>134</v>
      </c>
      <c r="X28" s="99">
        <f>X26+X27</f>
        <v>0</v>
      </c>
      <c r="Y28" s="272">
        <f t="shared" si="1"/>
        <v>0</v>
      </c>
    </row>
    <row r="29" spans="1:25" s="22" customFormat="1" ht="12.75" customHeight="1">
      <c r="A29" s="275" t="s">
        <v>426</v>
      </c>
      <c r="B29" s="99">
        <f>SUM(B30:B33)</f>
        <v>4916</v>
      </c>
      <c r="C29" s="96">
        <f>SUM(C30:C33)</f>
        <v>0</v>
      </c>
      <c r="D29" s="99">
        <f aca="true" t="shared" si="4" ref="D29:D39">B29+C29</f>
        <v>4916</v>
      </c>
      <c r="E29" s="271">
        <f>SUM(E30:E33)</f>
        <v>21934</v>
      </c>
      <c r="F29" s="275" t="s">
        <v>426</v>
      </c>
      <c r="G29" s="99">
        <f>SUM(G30:G33)</f>
        <v>-59287</v>
      </c>
      <c r="H29" s="96">
        <f>SUM(H30:H33)</f>
        <v>0</v>
      </c>
      <c r="I29" s="99">
        <f aca="true" t="shared" si="5" ref="I29:I38">G29+H29</f>
        <v>-59287</v>
      </c>
      <c r="J29" s="272">
        <f t="shared" si="2"/>
        <v>-64203</v>
      </c>
      <c r="K29" s="275" t="s">
        <v>426</v>
      </c>
      <c r="L29" s="99">
        <f>SUM(L30:L33)</f>
        <v>-25311</v>
      </c>
      <c r="M29" s="96">
        <f>SUM(M30:M33)</f>
        <v>0</v>
      </c>
      <c r="N29" s="99">
        <f aca="true" t="shared" si="6" ref="N29:N38">L29+M29</f>
        <v>-25311</v>
      </c>
      <c r="O29" s="272">
        <f t="shared" si="3"/>
        <v>33976</v>
      </c>
      <c r="P29" s="275" t="s">
        <v>426</v>
      </c>
      <c r="Q29" s="99">
        <f>SUM(Q30:Q33)</f>
        <v>-22005</v>
      </c>
      <c r="R29" s="96">
        <f>SUM(R30:R33)</f>
        <v>0</v>
      </c>
      <c r="S29" s="99">
        <f aca="true" t="shared" si="7" ref="S29:S38">Q29+R29</f>
        <v>-22005</v>
      </c>
      <c r="T29" s="272">
        <f t="shared" si="0"/>
        <v>3306</v>
      </c>
      <c r="U29" s="275" t="s">
        <v>426</v>
      </c>
      <c r="V29" s="99">
        <f>SUM(V30:V33)</f>
        <v>-21683</v>
      </c>
      <c r="W29" s="96">
        <f>SUM(W30:W33)</f>
        <v>0</v>
      </c>
      <c r="X29" s="99">
        <f aca="true" t="shared" si="8" ref="X29:X38">V29+W29</f>
        <v>-21683</v>
      </c>
      <c r="Y29" s="272">
        <f t="shared" si="1"/>
        <v>322</v>
      </c>
    </row>
    <row r="30" spans="1:25" s="22" customFormat="1" ht="12.75" customHeight="1">
      <c r="A30" s="257" t="s">
        <v>427</v>
      </c>
      <c r="B30" s="177"/>
      <c r="C30" s="96"/>
      <c r="D30" s="177">
        <f t="shared" si="4"/>
        <v>0</v>
      </c>
      <c r="E30" s="268"/>
      <c r="F30" s="257" t="s">
        <v>427</v>
      </c>
      <c r="G30" s="177"/>
      <c r="H30" s="96"/>
      <c r="I30" s="177">
        <f t="shared" si="5"/>
        <v>0</v>
      </c>
      <c r="J30" s="258">
        <f t="shared" si="2"/>
        <v>0</v>
      </c>
      <c r="K30" s="257" t="s">
        <v>427</v>
      </c>
      <c r="L30" s="177"/>
      <c r="M30" s="96"/>
      <c r="N30" s="177">
        <f t="shared" si="6"/>
        <v>0</v>
      </c>
      <c r="O30" s="258">
        <f t="shared" si="3"/>
        <v>0</v>
      </c>
      <c r="P30" s="257" t="s">
        <v>427</v>
      </c>
      <c r="Q30" s="177"/>
      <c r="R30" s="96"/>
      <c r="S30" s="177">
        <f t="shared" si="7"/>
        <v>0</v>
      </c>
      <c r="T30" s="258">
        <f t="shared" si="0"/>
        <v>0</v>
      </c>
      <c r="U30" s="257" t="s">
        <v>427</v>
      </c>
      <c r="V30" s="177"/>
      <c r="W30" s="96"/>
      <c r="X30" s="177">
        <f t="shared" si="8"/>
        <v>0</v>
      </c>
      <c r="Y30" s="258">
        <f t="shared" si="1"/>
        <v>0</v>
      </c>
    </row>
    <row r="31" spans="1:25" s="276" customFormat="1" ht="12.75" customHeight="1">
      <c r="A31" s="257" t="s">
        <v>428</v>
      </c>
      <c r="B31" s="177">
        <v>-12833</v>
      </c>
      <c r="C31" s="102"/>
      <c r="D31" s="177">
        <f t="shared" si="4"/>
        <v>-12833</v>
      </c>
      <c r="E31" s="268">
        <v>9625</v>
      </c>
      <c r="F31" s="257" t="s">
        <v>428</v>
      </c>
      <c r="G31" s="177">
        <v>-81636</v>
      </c>
      <c r="H31" s="102"/>
      <c r="I31" s="177">
        <f t="shared" si="5"/>
        <v>-81636</v>
      </c>
      <c r="J31" s="258">
        <f t="shared" si="2"/>
        <v>-68803</v>
      </c>
      <c r="K31" s="257" t="s">
        <v>428</v>
      </c>
      <c r="L31" s="177">
        <v>-47060</v>
      </c>
      <c r="M31" s="102"/>
      <c r="N31" s="177">
        <f t="shared" si="6"/>
        <v>-47060</v>
      </c>
      <c r="O31" s="258">
        <f t="shared" si="3"/>
        <v>34576</v>
      </c>
      <c r="P31" s="257" t="s">
        <v>428</v>
      </c>
      <c r="Q31" s="177">
        <v>-41542</v>
      </c>
      <c r="R31" s="102"/>
      <c r="S31" s="177">
        <f t="shared" si="7"/>
        <v>-41542</v>
      </c>
      <c r="T31" s="258">
        <f t="shared" si="0"/>
        <v>5518</v>
      </c>
      <c r="U31" s="257" t="s">
        <v>428</v>
      </c>
      <c r="V31" s="177">
        <v>-43074</v>
      </c>
      <c r="W31" s="102"/>
      <c r="X31" s="177">
        <f t="shared" si="8"/>
        <v>-43074</v>
      </c>
      <c r="Y31" s="258">
        <f t="shared" si="1"/>
        <v>-1532</v>
      </c>
    </row>
    <row r="32" spans="1:25" s="276" customFormat="1" ht="12.75" customHeight="1">
      <c r="A32" s="257" t="s">
        <v>429</v>
      </c>
      <c r="B32" s="177">
        <v>-62</v>
      </c>
      <c r="C32" s="102"/>
      <c r="D32" s="177">
        <f t="shared" si="4"/>
        <v>-62</v>
      </c>
      <c r="E32" s="268">
        <v>12973</v>
      </c>
      <c r="F32" s="257" t="s">
        <v>429</v>
      </c>
      <c r="G32" s="177">
        <v>-369</v>
      </c>
      <c r="H32" s="102"/>
      <c r="I32" s="177">
        <f t="shared" si="5"/>
        <v>-369</v>
      </c>
      <c r="J32" s="258">
        <f t="shared" si="2"/>
        <v>-307</v>
      </c>
      <c r="K32" s="257" t="s">
        <v>429</v>
      </c>
      <c r="L32" s="177">
        <v>1132</v>
      </c>
      <c r="M32" s="102"/>
      <c r="N32" s="177">
        <f t="shared" si="6"/>
        <v>1132</v>
      </c>
      <c r="O32" s="258">
        <f t="shared" si="3"/>
        <v>1501</v>
      </c>
      <c r="P32" s="257" t="s">
        <v>429</v>
      </c>
      <c r="Q32" s="177">
        <v>620</v>
      </c>
      <c r="R32" s="102"/>
      <c r="S32" s="177">
        <f t="shared" si="7"/>
        <v>620</v>
      </c>
      <c r="T32" s="258">
        <f t="shared" si="0"/>
        <v>-512</v>
      </c>
      <c r="U32" s="257" t="s">
        <v>429</v>
      </c>
      <c r="V32" s="177">
        <v>-532</v>
      </c>
      <c r="W32" s="102"/>
      <c r="X32" s="177">
        <f t="shared" si="8"/>
        <v>-532</v>
      </c>
      <c r="Y32" s="258">
        <f t="shared" si="1"/>
        <v>-1152</v>
      </c>
    </row>
    <row r="33" spans="1:25" s="276" customFormat="1" ht="12.75" customHeight="1">
      <c r="A33" s="257" t="s">
        <v>430</v>
      </c>
      <c r="B33" s="177">
        <v>17811</v>
      </c>
      <c r="C33" s="102"/>
      <c r="D33" s="177">
        <f t="shared" si="4"/>
        <v>17811</v>
      </c>
      <c r="E33" s="268">
        <v>-664</v>
      </c>
      <c r="F33" s="257" t="s">
        <v>430</v>
      </c>
      <c r="G33" s="177">
        <v>22718</v>
      </c>
      <c r="H33" s="102"/>
      <c r="I33" s="177">
        <f t="shared" si="5"/>
        <v>22718</v>
      </c>
      <c r="J33" s="258">
        <f t="shared" si="2"/>
        <v>4907</v>
      </c>
      <c r="K33" s="257" t="s">
        <v>430</v>
      </c>
      <c r="L33" s="177">
        <v>20617</v>
      </c>
      <c r="M33" s="102"/>
      <c r="N33" s="177">
        <f t="shared" si="6"/>
        <v>20617</v>
      </c>
      <c r="O33" s="258">
        <f t="shared" si="3"/>
        <v>-2101</v>
      </c>
      <c r="P33" s="257" t="s">
        <v>430</v>
      </c>
      <c r="Q33" s="177">
        <v>18917</v>
      </c>
      <c r="R33" s="102"/>
      <c r="S33" s="177">
        <f t="shared" si="7"/>
        <v>18917</v>
      </c>
      <c r="T33" s="258">
        <f t="shared" si="0"/>
        <v>-1700</v>
      </c>
      <c r="U33" s="257" t="s">
        <v>430</v>
      </c>
      <c r="V33" s="177">
        <v>21923</v>
      </c>
      <c r="W33" s="102"/>
      <c r="X33" s="177">
        <f t="shared" si="8"/>
        <v>21923</v>
      </c>
      <c r="Y33" s="258">
        <f t="shared" si="1"/>
        <v>3006</v>
      </c>
    </row>
    <row r="34" spans="1:25" s="22" customFormat="1" ht="12.75" customHeight="1">
      <c r="A34" s="277" t="s">
        <v>431</v>
      </c>
      <c r="B34" s="177">
        <f>SUM(B35:B37)</f>
        <v>24717</v>
      </c>
      <c r="C34" s="102">
        <f>SUM(C35:C37)</f>
        <v>-5274</v>
      </c>
      <c r="D34" s="99">
        <f t="shared" si="4"/>
        <v>19443</v>
      </c>
      <c r="E34" s="278">
        <v>-7854</v>
      </c>
      <c r="F34" s="277" t="s">
        <v>431</v>
      </c>
      <c r="G34" s="99">
        <f>SUM(G35:G37)</f>
        <v>19736</v>
      </c>
      <c r="H34" s="102">
        <f>SUM(H35:H37)</f>
        <v>-7561</v>
      </c>
      <c r="I34" s="99">
        <f t="shared" si="5"/>
        <v>12175</v>
      </c>
      <c r="J34" s="272">
        <f t="shared" si="2"/>
        <v>-7268</v>
      </c>
      <c r="K34" s="277" t="s">
        <v>431</v>
      </c>
      <c r="L34" s="99">
        <f>SUM(L35:L37)</f>
        <v>9643</v>
      </c>
      <c r="M34" s="102">
        <f>SUM(M35:M37)</f>
        <v>-5185</v>
      </c>
      <c r="N34" s="99">
        <f t="shared" si="6"/>
        <v>4458</v>
      </c>
      <c r="O34" s="272">
        <f t="shared" si="3"/>
        <v>-7717</v>
      </c>
      <c r="P34" s="277" t="s">
        <v>431</v>
      </c>
      <c r="Q34" s="99">
        <f>SUM(Q35:Q37)</f>
        <v>17446</v>
      </c>
      <c r="R34" s="102">
        <f>SUM(R35:R37)</f>
        <v>-3674</v>
      </c>
      <c r="S34" s="99">
        <f t="shared" si="7"/>
        <v>13772</v>
      </c>
      <c r="T34" s="272">
        <f t="shared" si="0"/>
        <v>9314</v>
      </c>
      <c r="U34" s="277" t="s">
        <v>431</v>
      </c>
      <c r="V34" s="99">
        <f>SUM(V35:V37)</f>
        <v>16047</v>
      </c>
      <c r="W34" s="102">
        <f>SUM(W35:W37)</f>
        <v>-3506</v>
      </c>
      <c r="X34" s="99">
        <f t="shared" si="8"/>
        <v>12541</v>
      </c>
      <c r="Y34" s="272">
        <f t="shared" si="1"/>
        <v>-1231</v>
      </c>
    </row>
    <row r="35" spans="1:25" s="22" customFormat="1" ht="12.75" customHeight="1">
      <c r="A35" s="101" t="s">
        <v>432</v>
      </c>
      <c r="B35" s="177"/>
      <c r="C35" s="102">
        <v>-17</v>
      </c>
      <c r="D35" s="177">
        <f t="shared" si="4"/>
        <v>-17</v>
      </c>
      <c r="E35" s="268">
        <v>-31</v>
      </c>
      <c r="F35" s="101" t="s">
        <v>432</v>
      </c>
      <c r="G35" s="177"/>
      <c r="H35" s="102">
        <v>-26</v>
      </c>
      <c r="I35" s="177">
        <f t="shared" si="5"/>
        <v>-26</v>
      </c>
      <c r="J35" s="258">
        <f t="shared" si="2"/>
        <v>-9</v>
      </c>
      <c r="K35" s="101" t="s">
        <v>432</v>
      </c>
      <c r="L35" s="177"/>
      <c r="M35" s="102">
        <v>-56</v>
      </c>
      <c r="N35" s="177">
        <f t="shared" si="6"/>
        <v>-56</v>
      </c>
      <c r="O35" s="258">
        <f t="shared" si="3"/>
        <v>-30</v>
      </c>
      <c r="P35" s="101" t="s">
        <v>432</v>
      </c>
      <c r="Q35" s="177"/>
      <c r="R35" s="102">
        <v>-63</v>
      </c>
      <c r="S35" s="177">
        <f t="shared" si="7"/>
        <v>-63</v>
      </c>
      <c r="T35" s="258">
        <f t="shared" si="0"/>
        <v>-7</v>
      </c>
      <c r="U35" s="101" t="s">
        <v>432</v>
      </c>
      <c r="V35" s="177"/>
      <c r="W35" s="102">
        <v>133</v>
      </c>
      <c r="X35" s="177">
        <f t="shared" si="8"/>
        <v>133</v>
      </c>
      <c r="Y35" s="258">
        <f t="shared" si="1"/>
        <v>196</v>
      </c>
    </row>
    <row r="36" spans="1:25" s="276" customFormat="1" ht="12.75" customHeight="1">
      <c r="A36" s="101" t="s">
        <v>428</v>
      </c>
      <c r="B36" s="177">
        <v>19691</v>
      </c>
      <c r="C36" s="102"/>
      <c r="D36" s="177">
        <f t="shared" si="4"/>
        <v>19691</v>
      </c>
      <c r="E36" s="268">
        <v>170</v>
      </c>
      <c r="F36" s="101" t="s">
        <v>428</v>
      </c>
      <c r="G36" s="177">
        <v>15191</v>
      </c>
      <c r="H36" s="102"/>
      <c r="I36" s="177">
        <f t="shared" si="5"/>
        <v>15191</v>
      </c>
      <c r="J36" s="258">
        <f t="shared" si="2"/>
        <v>-4500</v>
      </c>
      <c r="K36" s="101" t="s">
        <v>428</v>
      </c>
      <c r="L36" s="177">
        <v>8691</v>
      </c>
      <c r="M36" s="102"/>
      <c r="N36" s="177">
        <f t="shared" si="6"/>
        <v>8691</v>
      </c>
      <c r="O36" s="258">
        <f t="shared" si="3"/>
        <v>-6500</v>
      </c>
      <c r="P36" s="101" t="s">
        <v>428</v>
      </c>
      <c r="Q36" s="177">
        <v>14927</v>
      </c>
      <c r="R36" s="102"/>
      <c r="S36" s="177">
        <f t="shared" si="7"/>
        <v>14927</v>
      </c>
      <c r="T36" s="258">
        <f t="shared" si="0"/>
        <v>6236</v>
      </c>
      <c r="U36" s="101" t="s">
        <v>428</v>
      </c>
      <c r="V36" s="177">
        <v>11136</v>
      </c>
      <c r="W36" s="102"/>
      <c r="X36" s="177">
        <f t="shared" si="8"/>
        <v>11136</v>
      </c>
      <c r="Y36" s="258">
        <f t="shared" si="1"/>
        <v>-3791</v>
      </c>
    </row>
    <row r="37" spans="1:25" s="276" customFormat="1" ht="12.75" customHeight="1">
      <c r="A37" s="257" t="s">
        <v>429</v>
      </c>
      <c r="B37" s="177">
        <v>5026</v>
      </c>
      <c r="C37" s="102">
        <v>-5257</v>
      </c>
      <c r="D37" s="177">
        <f t="shared" si="4"/>
        <v>-231</v>
      </c>
      <c r="E37" s="268">
        <v>-7802</v>
      </c>
      <c r="F37" s="257" t="s">
        <v>429</v>
      </c>
      <c r="G37" s="177">
        <v>4545</v>
      </c>
      <c r="H37" s="102">
        <v>-7535</v>
      </c>
      <c r="I37" s="177">
        <f t="shared" si="5"/>
        <v>-2990</v>
      </c>
      <c r="J37" s="258">
        <f t="shared" si="2"/>
        <v>-2759</v>
      </c>
      <c r="K37" s="257" t="s">
        <v>429</v>
      </c>
      <c r="L37" s="177">
        <v>952</v>
      </c>
      <c r="M37" s="102">
        <v>-5129</v>
      </c>
      <c r="N37" s="177">
        <f t="shared" si="6"/>
        <v>-4177</v>
      </c>
      <c r="O37" s="258">
        <f t="shared" si="3"/>
        <v>-1187</v>
      </c>
      <c r="P37" s="257" t="s">
        <v>429</v>
      </c>
      <c r="Q37" s="177">
        <v>2519</v>
      </c>
      <c r="R37" s="102">
        <v>-3611</v>
      </c>
      <c r="S37" s="177">
        <f t="shared" si="7"/>
        <v>-1092</v>
      </c>
      <c r="T37" s="258">
        <f t="shared" si="0"/>
        <v>3085</v>
      </c>
      <c r="U37" s="257" t="s">
        <v>429</v>
      </c>
      <c r="V37" s="177">
        <v>4911</v>
      </c>
      <c r="W37" s="102">
        <v>-3639</v>
      </c>
      <c r="X37" s="177">
        <f t="shared" si="8"/>
        <v>1272</v>
      </c>
      <c r="Y37" s="258">
        <f t="shared" si="1"/>
        <v>2364</v>
      </c>
    </row>
    <row r="38" spans="1:25" s="22" customFormat="1" ht="12.75" customHeight="1">
      <c r="A38" s="277" t="s">
        <v>433</v>
      </c>
      <c r="B38" s="99"/>
      <c r="C38" s="96">
        <v>577</v>
      </c>
      <c r="D38" s="99">
        <v>100</v>
      </c>
      <c r="E38" s="274">
        <v>62</v>
      </c>
      <c r="F38" s="277" t="s">
        <v>433</v>
      </c>
      <c r="G38" s="99">
        <v>-6000</v>
      </c>
      <c r="H38" s="96">
        <f>786-554</f>
        <v>232</v>
      </c>
      <c r="I38" s="177">
        <f t="shared" si="5"/>
        <v>-5768</v>
      </c>
      <c r="J38" s="258">
        <f t="shared" si="2"/>
        <v>-5868</v>
      </c>
      <c r="K38" s="277" t="s">
        <v>433</v>
      </c>
      <c r="L38" s="99">
        <v>-6000</v>
      </c>
      <c r="M38" s="96">
        <v>320</v>
      </c>
      <c r="N38" s="177">
        <f t="shared" si="6"/>
        <v>-5680</v>
      </c>
      <c r="O38" s="258">
        <f t="shared" si="3"/>
        <v>88</v>
      </c>
      <c r="P38" s="277" t="s">
        <v>433</v>
      </c>
      <c r="Q38" s="99">
        <v>-6000</v>
      </c>
      <c r="R38" s="96">
        <v>624</v>
      </c>
      <c r="S38" s="177">
        <f t="shared" si="7"/>
        <v>-5376</v>
      </c>
      <c r="T38" s="258">
        <f t="shared" si="0"/>
        <v>304</v>
      </c>
      <c r="U38" s="277" t="s">
        <v>433</v>
      </c>
      <c r="V38" s="99">
        <v>-6000</v>
      </c>
      <c r="W38" s="96">
        <v>426</v>
      </c>
      <c r="X38" s="177">
        <f t="shared" si="8"/>
        <v>-5574</v>
      </c>
      <c r="Y38" s="258">
        <f t="shared" si="1"/>
        <v>-198</v>
      </c>
    </row>
    <row r="39" spans="1:25" s="28" customFormat="1" ht="12.75" customHeight="1">
      <c r="A39" s="9" t="s">
        <v>434</v>
      </c>
      <c r="B39" s="95">
        <v>-1626</v>
      </c>
      <c r="C39" s="92"/>
      <c r="D39" s="95">
        <f t="shared" si="4"/>
        <v>-1626</v>
      </c>
      <c r="E39" s="261">
        <v>602</v>
      </c>
      <c r="F39" s="9" t="s">
        <v>434</v>
      </c>
      <c r="G39" s="95">
        <f>93108</f>
        <v>93108</v>
      </c>
      <c r="H39" s="92"/>
      <c r="I39" s="95">
        <f>G39+H39</f>
        <v>93108</v>
      </c>
      <c r="J39" s="256">
        <f t="shared" si="2"/>
        <v>94734</v>
      </c>
      <c r="K39" s="9" t="s">
        <v>434</v>
      </c>
      <c r="L39" s="95">
        <v>91864</v>
      </c>
      <c r="M39" s="92"/>
      <c r="N39" s="95">
        <f>L39+M39</f>
        <v>91864</v>
      </c>
      <c r="O39" s="256">
        <f t="shared" si="3"/>
        <v>-1244</v>
      </c>
      <c r="P39" s="9" t="s">
        <v>434</v>
      </c>
      <c r="Q39" s="95">
        <v>89406</v>
      </c>
      <c r="R39" s="92"/>
      <c r="S39" s="95">
        <f>Q39+R39</f>
        <v>89406</v>
      </c>
      <c r="T39" s="256">
        <f t="shared" si="0"/>
        <v>-2458</v>
      </c>
      <c r="U39" s="9" t="s">
        <v>434</v>
      </c>
      <c r="V39" s="95">
        <v>87506</v>
      </c>
      <c r="W39" s="92"/>
      <c r="X39" s="95">
        <f>V39+W39</f>
        <v>87506</v>
      </c>
      <c r="Y39" s="256">
        <f t="shared" si="1"/>
        <v>-1900</v>
      </c>
    </row>
    <row r="40" spans="1:25" ht="12.75" customHeight="1">
      <c r="A40" s="73" t="s">
        <v>435</v>
      </c>
      <c r="B40" s="279"/>
      <c r="C40" s="121"/>
      <c r="D40" s="65"/>
      <c r="E40" s="253"/>
      <c r="F40" s="73" t="s">
        <v>435</v>
      </c>
      <c r="G40" s="279"/>
      <c r="H40" s="121"/>
      <c r="I40" s="65"/>
      <c r="J40" s="253"/>
      <c r="K40" s="73" t="s">
        <v>435</v>
      </c>
      <c r="L40" s="279"/>
      <c r="M40" s="121"/>
      <c r="N40" s="65"/>
      <c r="O40" s="253"/>
      <c r="P40" s="73" t="s">
        <v>435</v>
      </c>
      <c r="Q40" s="279"/>
      <c r="R40" s="121"/>
      <c r="S40" s="65"/>
      <c r="T40" s="253"/>
      <c r="U40" s="73" t="s">
        <v>435</v>
      </c>
      <c r="V40" s="279"/>
      <c r="W40" s="121"/>
      <c r="X40" s="65"/>
      <c r="Y40" s="253"/>
    </row>
    <row r="41" spans="1:25" ht="12.75" customHeight="1">
      <c r="A41" s="3"/>
      <c r="B41" s="280"/>
      <c r="C41" s="121"/>
      <c r="D41" s="281"/>
      <c r="E41" s="282"/>
      <c r="F41" s="3"/>
      <c r="G41" s="280"/>
      <c r="H41" s="121"/>
      <c r="I41" s="281"/>
      <c r="J41" s="282"/>
      <c r="K41" s="3"/>
      <c r="L41" s="280"/>
      <c r="M41" s="121"/>
      <c r="N41" s="281"/>
      <c r="O41" s="282"/>
      <c r="P41" s="3"/>
      <c r="Q41" s="280"/>
      <c r="R41" s="121"/>
      <c r="S41" s="281"/>
      <c r="T41" s="282"/>
      <c r="U41" s="3"/>
      <c r="V41" s="280"/>
      <c r="W41" s="121"/>
      <c r="X41" s="281"/>
      <c r="Y41" s="282"/>
    </row>
    <row r="42" spans="1:25" ht="12.75" customHeight="1">
      <c r="A42" s="289"/>
      <c r="B42" s="289"/>
      <c r="C42" s="289"/>
      <c r="D42" s="289"/>
      <c r="E42" s="253"/>
      <c r="F42" s="289"/>
      <c r="G42" s="289"/>
      <c r="H42" s="289"/>
      <c r="I42" s="289"/>
      <c r="J42" s="253"/>
      <c r="K42" s="289"/>
      <c r="L42" s="289"/>
      <c r="M42" s="289"/>
      <c r="N42" s="289"/>
      <c r="O42" s="253"/>
      <c r="P42" s="289"/>
      <c r="Q42" s="289"/>
      <c r="R42" s="289"/>
      <c r="S42" s="289"/>
      <c r="T42" s="253"/>
      <c r="U42" s="289"/>
      <c r="V42" s="289"/>
      <c r="W42" s="289"/>
      <c r="X42" s="289"/>
      <c r="Y42" s="253"/>
    </row>
    <row r="43" spans="1:25" s="116" customFormat="1" ht="12.75" customHeight="1">
      <c r="A43" s="289"/>
      <c r="B43" s="289"/>
      <c r="C43" s="289"/>
      <c r="D43" s="289"/>
      <c r="E43" s="283"/>
      <c r="F43" s="289"/>
      <c r="G43" s="289"/>
      <c r="H43" s="289"/>
      <c r="I43" s="289"/>
      <c r="J43" s="283"/>
      <c r="K43" s="41" t="s">
        <v>436</v>
      </c>
      <c r="L43" s="130"/>
      <c r="M43" s="130"/>
      <c r="N43" s="130"/>
      <c r="O43" s="283"/>
      <c r="P43" s="41" t="s">
        <v>436</v>
      </c>
      <c r="Q43" s="130"/>
      <c r="R43" s="130"/>
      <c r="S43" s="130"/>
      <c r="T43" s="283"/>
      <c r="U43" s="41" t="s">
        <v>436</v>
      </c>
      <c r="V43" s="130"/>
      <c r="W43" s="130"/>
      <c r="X43" s="130"/>
      <c r="Y43" s="283"/>
    </row>
    <row r="44" spans="1:25" ht="12.75" customHeight="1">
      <c r="A44" s="289" t="s">
        <v>437</v>
      </c>
      <c r="B44" s="289"/>
      <c r="C44" s="289"/>
      <c r="D44" s="289"/>
      <c r="E44" s="253"/>
      <c r="F44" s="289" t="s">
        <v>438</v>
      </c>
      <c r="G44" s="289"/>
      <c r="H44" s="289"/>
      <c r="I44" s="289"/>
      <c r="J44" s="253"/>
      <c r="K44" s="130"/>
      <c r="L44" s="130"/>
      <c r="M44" s="130"/>
      <c r="N44" s="130"/>
      <c r="O44" s="253"/>
      <c r="P44" s="130"/>
      <c r="Q44" s="130"/>
      <c r="R44" s="130"/>
      <c r="S44" s="130"/>
      <c r="T44" s="253"/>
      <c r="U44" s="130"/>
      <c r="V44" s="130"/>
      <c r="W44" s="130"/>
      <c r="X44" s="130"/>
      <c r="Y44" s="253"/>
    </row>
    <row r="45" spans="3:25" s="6" customFormat="1" ht="12.75" customHeight="1">
      <c r="C45" s="284"/>
      <c r="D45" s="285"/>
      <c r="E45" s="286"/>
      <c r="H45" s="284"/>
      <c r="I45" s="285"/>
      <c r="J45" s="286"/>
      <c r="M45" s="284"/>
      <c r="N45" s="285"/>
      <c r="O45" s="286"/>
      <c r="R45" s="284"/>
      <c r="S45" s="285"/>
      <c r="T45" s="286"/>
      <c r="W45" s="284"/>
      <c r="X45" s="285"/>
      <c r="Y45" s="286"/>
    </row>
    <row r="46" spans="3:25" s="6" customFormat="1" ht="12.75" customHeight="1">
      <c r="C46" s="73"/>
      <c r="E46" s="234"/>
      <c r="H46" s="73"/>
      <c r="J46" s="234"/>
      <c r="M46" s="73"/>
      <c r="O46" s="234"/>
      <c r="R46" s="73"/>
      <c r="T46" s="234"/>
      <c r="W46" s="73"/>
      <c r="Y46" s="234"/>
    </row>
    <row r="47" spans="1:25" ht="12.75" customHeight="1">
      <c r="A47" s="6" t="s">
        <v>439</v>
      </c>
      <c r="B47" s="279"/>
      <c r="C47" s="121"/>
      <c r="D47" s="65"/>
      <c r="E47" s="253"/>
      <c r="F47" s="6" t="s">
        <v>439</v>
      </c>
      <c r="G47" s="279"/>
      <c r="H47" s="121"/>
      <c r="I47" s="65"/>
      <c r="J47" s="253"/>
      <c r="K47" s="6" t="s">
        <v>439</v>
      </c>
      <c r="L47" s="279"/>
      <c r="M47" s="121"/>
      <c r="N47" s="65"/>
      <c r="O47" s="253"/>
      <c r="P47" s="6" t="s">
        <v>439</v>
      </c>
      <c r="Q47" s="279"/>
      <c r="R47" s="121"/>
      <c r="S47" s="65"/>
      <c r="T47" s="253"/>
      <c r="U47" s="6" t="s">
        <v>439</v>
      </c>
      <c r="V47" s="279"/>
      <c r="W47" s="121"/>
      <c r="X47" s="65"/>
      <c r="Y47" s="253"/>
    </row>
    <row r="48" spans="1:25" ht="12.75" customHeight="1">
      <c r="A48" s="6" t="s">
        <v>440</v>
      </c>
      <c r="B48" s="279"/>
      <c r="C48" s="121"/>
      <c r="D48" s="65"/>
      <c r="E48" s="253"/>
      <c r="F48" s="6" t="s">
        <v>441</v>
      </c>
      <c r="G48" s="279"/>
      <c r="H48" s="121"/>
      <c r="I48" s="65"/>
      <c r="J48" s="253"/>
      <c r="K48" s="6" t="s">
        <v>442</v>
      </c>
      <c r="L48" s="279"/>
      <c r="M48" s="121"/>
      <c r="N48" s="65"/>
      <c r="O48" s="253"/>
      <c r="P48" s="6" t="s">
        <v>122</v>
      </c>
      <c r="Q48" s="279"/>
      <c r="R48" s="121"/>
      <c r="S48" s="65"/>
      <c r="T48" s="253"/>
      <c r="U48" s="6" t="s">
        <v>443</v>
      </c>
      <c r="V48" s="279"/>
      <c r="W48" s="121"/>
      <c r="X48" s="65"/>
      <c r="Y48" s="253"/>
    </row>
    <row r="49" spans="1:15" ht="12.75" customHeight="1">
      <c r="A49" s="1"/>
      <c r="B49" s="1"/>
      <c r="C49" s="121"/>
      <c r="D49" s="1"/>
      <c r="E49" s="253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 customHeight="1">
      <c r="A50" s="1"/>
      <c r="B50" s="1"/>
      <c r="C50" s="121"/>
      <c r="D50" s="287"/>
      <c r="E50" s="288"/>
      <c r="F50" s="287"/>
      <c r="G50" s="287"/>
      <c r="H50" s="287"/>
      <c r="I50" s="287"/>
      <c r="J50" s="287"/>
      <c r="K50"/>
      <c r="L50"/>
      <c r="M50"/>
      <c r="N50"/>
      <c r="O50"/>
    </row>
    <row r="51" spans="11:15" ht="12.75" customHeight="1">
      <c r="K51"/>
      <c r="L51"/>
      <c r="M51"/>
      <c r="N51"/>
      <c r="O51"/>
    </row>
    <row r="52" spans="11:15" ht="12.75" customHeight="1">
      <c r="K52"/>
      <c r="L52"/>
      <c r="M52"/>
      <c r="N52"/>
      <c r="O52"/>
    </row>
    <row r="53" spans="11:15" ht="12.75" customHeight="1">
      <c r="K53"/>
      <c r="L53"/>
      <c r="M53"/>
      <c r="N53"/>
      <c r="O53"/>
    </row>
    <row r="54" spans="11:15" ht="12.75" customHeight="1">
      <c r="K54"/>
      <c r="L54"/>
      <c r="M54"/>
      <c r="N54"/>
      <c r="O54"/>
    </row>
    <row r="55" spans="11:15" ht="12.75" customHeight="1">
      <c r="K55"/>
      <c r="L55"/>
      <c r="M55"/>
      <c r="N55"/>
      <c r="O55"/>
    </row>
    <row r="56" spans="11:15" ht="12.75" customHeight="1">
      <c r="K56"/>
      <c r="L56"/>
      <c r="M56"/>
      <c r="N56"/>
      <c r="O56"/>
    </row>
    <row r="57" spans="11:15" ht="12.75" customHeight="1">
      <c r="K57"/>
      <c r="L57"/>
      <c r="M57"/>
      <c r="N57"/>
      <c r="O57"/>
    </row>
    <row r="58" spans="11:15" ht="12.75" customHeight="1">
      <c r="K58"/>
      <c r="L58"/>
      <c r="M58"/>
      <c r="N58"/>
      <c r="O58"/>
    </row>
    <row r="59" spans="11:15" ht="12.75" customHeight="1">
      <c r="K59"/>
      <c r="L59"/>
      <c r="M59"/>
      <c r="N59"/>
      <c r="O59"/>
    </row>
    <row r="60" spans="11:15" ht="12.75" customHeight="1">
      <c r="K60"/>
      <c r="L60"/>
      <c r="M60"/>
      <c r="N60"/>
      <c r="O60"/>
    </row>
    <row r="61" spans="11:15" ht="12.75" customHeight="1">
      <c r="K61"/>
      <c r="L61"/>
      <c r="M61"/>
      <c r="N61"/>
      <c r="O61"/>
    </row>
    <row r="62" spans="11:15" ht="12.75" customHeight="1">
      <c r="K62"/>
      <c r="L62"/>
      <c r="M62"/>
      <c r="N62"/>
      <c r="O62"/>
    </row>
    <row r="63" spans="11:15" ht="12.75" customHeight="1">
      <c r="K63"/>
      <c r="L63"/>
      <c r="M63"/>
      <c r="N63"/>
      <c r="O63"/>
    </row>
    <row r="64" spans="11:15" ht="12.75" customHeight="1">
      <c r="K64"/>
      <c r="L64"/>
      <c r="M64"/>
      <c r="N64"/>
      <c r="O64"/>
    </row>
    <row r="65" spans="11:15" ht="12.75" customHeight="1">
      <c r="K65"/>
      <c r="L65"/>
      <c r="M65"/>
      <c r="N65"/>
      <c r="O65"/>
    </row>
    <row r="66" spans="11:15" ht="12.75" customHeight="1">
      <c r="K66"/>
      <c r="L66"/>
      <c r="M66"/>
      <c r="N66"/>
      <c r="O66"/>
    </row>
    <row r="67" spans="11:15" ht="12.75" customHeight="1">
      <c r="K67"/>
      <c r="L67"/>
      <c r="M67"/>
      <c r="N67"/>
      <c r="O67"/>
    </row>
    <row r="68" spans="11:15" ht="12.75" customHeight="1">
      <c r="K68"/>
      <c r="L68"/>
      <c r="M68"/>
      <c r="N68"/>
      <c r="O68"/>
    </row>
    <row r="69" spans="11:15" ht="12.75" customHeight="1">
      <c r="K69"/>
      <c r="L69"/>
      <c r="M69"/>
      <c r="N69"/>
      <c r="O69"/>
    </row>
    <row r="70" spans="11:15" ht="12.75" customHeight="1">
      <c r="K70"/>
      <c r="L70"/>
      <c r="M70"/>
      <c r="N70"/>
      <c r="O70"/>
    </row>
    <row r="71" spans="11:15" ht="12.75" customHeight="1">
      <c r="K71"/>
      <c r="L71"/>
      <c r="M71"/>
      <c r="N71"/>
      <c r="O71"/>
    </row>
    <row r="72" spans="11:15" ht="12.75" customHeight="1">
      <c r="K72"/>
      <c r="L72"/>
      <c r="M72"/>
      <c r="N72"/>
      <c r="O72"/>
    </row>
    <row r="73" spans="11:15" ht="12.75" customHeight="1">
      <c r="K73"/>
      <c r="L73"/>
      <c r="M73"/>
      <c r="N73"/>
      <c r="O73"/>
    </row>
    <row r="74" spans="11:15" ht="12.75" customHeight="1">
      <c r="K74"/>
      <c r="L74"/>
      <c r="M74"/>
      <c r="N74"/>
      <c r="O74"/>
    </row>
    <row r="75" spans="11:15" ht="12.75" customHeight="1">
      <c r="K75"/>
      <c r="L75"/>
      <c r="M75"/>
      <c r="N75"/>
      <c r="O75"/>
    </row>
    <row r="76" spans="11:15" ht="12.75" customHeight="1">
      <c r="K76"/>
      <c r="L76"/>
      <c r="M76"/>
      <c r="N76"/>
      <c r="O76"/>
    </row>
    <row r="77" spans="11:15" ht="12.75" customHeight="1">
      <c r="K77"/>
      <c r="L77"/>
      <c r="M77"/>
      <c r="N77"/>
      <c r="O77"/>
    </row>
    <row r="78" spans="11:15" ht="12.75" customHeight="1">
      <c r="K78"/>
      <c r="L78"/>
      <c r="M78"/>
      <c r="N78"/>
      <c r="O78"/>
    </row>
    <row r="79" spans="11:15" ht="12.75" customHeight="1">
      <c r="K79"/>
      <c r="L79"/>
      <c r="M79"/>
      <c r="N79"/>
      <c r="O79"/>
    </row>
    <row r="80" spans="11:15" ht="12.75" customHeight="1">
      <c r="K80"/>
      <c r="L80"/>
      <c r="M80"/>
      <c r="N80"/>
      <c r="O80"/>
    </row>
    <row r="81" spans="11:15" ht="12.75" customHeight="1">
      <c r="K81"/>
      <c r="L81"/>
      <c r="M81"/>
      <c r="N81"/>
      <c r="O81"/>
    </row>
    <row r="82" spans="11:15" ht="12.75" customHeight="1">
      <c r="K82"/>
      <c r="L82"/>
      <c r="M82"/>
      <c r="N82"/>
      <c r="O82"/>
    </row>
    <row r="83" spans="11:15" ht="12.75" customHeight="1">
      <c r="K83"/>
      <c r="L83"/>
      <c r="M83"/>
      <c r="N83"/>
      <c r="O83"/>
    </row>
    <row r="84" spans="11:15" ht="12.75" customHeight="1">
      <c r="K84"/>
      <c r="L84"/>
      <c r="M84"/>
      <c r="N84"/>
      <c r="O84"/>
    </row>
    <row r="85" spans="11:15" ht="12.75" customHeight="1">
      <c r="K85"/>
      <c r="L85"/>
      <c r="M85"/>
      <c r="N85"/>
      <c r="O85"/>
    </row>
    <row r="86" spans="11:15" ht="12.75" customHeight="1">
      <c r="K86"/>
      <c r="L86"/>
      <c r="M86"/>
      <c r="N86"/>
      <c r="O86"/>
    </row>
    <row r="87" spans="11:15" ht="12.75" customHeight="1">
      <c r="K87"/>
      <c r="L87"/>
      <c r="M87"/>
      <c r="N87"/>
      <c r="O87"/>
    </row>
    <row r="88" spans="11:15" ht="12.75" customHeight="1">
      <c r="K88"/>
      <c r="L88"/>
      <c r="M88"/>
      <c r="N88"/>
      <c r="O88"/>
    </row>
    <row r="89" spans="11:15" ht="12.75" customHeight="1">
      <c r="K89"/>
      <c r="L89"/>
      <c r="M89"/>
      <c r="N89"/>
      <c r="O89"/>
    </row>
    <row r="90" spans="11:15" ht="12.75" customHeight="1">
      <c r="K90"/>
      <c r="L90"/>
      <c r="M90"/>
      <c r="N90"/>
      <c r="O90"/>
    </row>
    <row r="91" spans="11:15" ht="12.75" customHeight="1">
      <c r="K91"/>
      <c r="L91"/>
      <c r="M91"/>
      <c r="N91"/>
      <c r="O91"/>
    </row>
    <row r="92" spans="11:15" ht="12.75" customHeight="1">
      <c r="K92"/>
      <c r="L92"/>
      <c r="M92"/>
      <c r="N92"/>
      <c r="O92"/>
    </row>
    <row r="93" spans="11:15" ht="12.75" customHeight="1">
      <c r="K93"/>
      <c r="L93"/>
      <c r="M93"/>
      <c r="N93"/>
      <c r="O93"/>
    </row>
    <row r="94" spans="11:15" ht="12.75" customHeight="1">
      <c r="K94"/>
      <c r="L94"/>
      <c r="M94"/>
      <c r="N94"/>
      <c r="O94"/>
    </row>
    <row r="95" spans="11:15" ht="12.75" customHeight="1">
      <c r="K95"/>
      <c r="L95"/>
      <c r="M95"/>
      <c r="N95"/>
      <c r="O95"/>
    </row>
    <row r="96" spans="11:15" ht="12.75" customHeight="1">
      <c r="K96"/>
      <c r="L96"/>
      <c r="M96"/>
      <c r="N96"/>
      <c r="O96"/>
    </row>
    <row r="97" spans="11:15" ht="12.75" customHeight="1">
      <c r="K97"/>
      <c r="L97"/>
      <c r="M97"/>
      <c r="N97"/>
      <c r="O97"/>
    </row>
    <row r="98" spans="11:15" ht="12.75" customHeight="1">
      <c r="K98"/>
      <c r="L98"/>
      <c r="M98"/>
      <c r="N98"/>
      <c r="O98"/>
    </row>
    <row r="99" spans="11:15" ht="12.75" customHeight="1">
      <c r="K99"/>
      <c r="L99"/>
      <c r="M99"/>
      <c r="N99"/>
      <c r="O99"/>
    </row>
    <row r="100" spans="11:15" ht="12.75" customHeight="1">
      <c r="K100"/>
      <c r="L100"/>
      <c r="M100"/>
      <c r="N100"/>
      <c r="O100"/>
    </row>
    <row r="101" spans="11:15" ht="12.75" customHeight="1">
      <c r="K101"/>
      <c r="L101"/>
      <c r="M101"/>
      <c r="N101"/>
      <c r="O101"/>
    </row>
    <row r="102" spans="11:15" ht="12.75" customHeight="1">
      <c r="K102"/>
      <c r="L102"/>
      <c r="M102"/>
      <c r="N102"/>
      <c r="O102"/>
    </row>
    <row r="103" spans="11:15" ht="12.75" customHeight="1">
      <c r="K103"/>
      <c r="L103"/>
      <c r="M103"/>
      <c r="N103"/>
      <c r="O103"/>
    </row>
    <row r="104" spans="11:15" ht="12.75" customHeight="1">
      <c r="K104"/>
      <c r="L104"/>
      <c r="M104"/>
      <c r="N104"/>
      <c r="O104"/>
    </row>
    <row r="105" spans="11:15" ht="12.75" customHeight="1">
      <c r="K105"/>
      <c r="L105"/>
      <c r="M105"/>
      <c r="N105"/>
      <c r="O105"/>
    </row>
    <row r="106" spans="11:15" ht="12.75" customHeight="1">
      <c r="K106"/>
      <c r="L106"/>
      <c r="M106"/>
      <c r="N106"/>
      <c r="O106"/>
    </row>
    <row r="107" spans="11:15" ht="12.75" customHeight="1">
      <c r="K107"/>
      <c r="L107"/>
      <c r="M107"/>
      <c r="N107"/>
      <c r="O107"/>
    </row>
    <row r="108" spans="11:15" ht="12.75" customHeight="1">
      <c r="K108"/>
      <c r="L108"/>
      <c r="M108"/>
      <c r="N108"/>
      <c r="O108"/>
    </row>
    <row r="109" spans="11:15" ht="12.75" customHeight="1">
      <c r="K109"/>
      <c r="L109"/>
      <c r="M109"/>
      <c r="N109"/>
      <c r="O109"/>
    </row>
    <row r="110" spans="11:15" ht="12.75" customHeight="1">
      <c r="K110"/>
      <c r="L110"/>
      <c r="M110"/>
      <c r="N110"/>
      <c r="O110"/>
    </row>
    <row r="111" spans="11:15" ht="12.75" customHeight="1">
      <c r="K111"/>
      <c r="L111"/>
      <c r="M111"/>
      <c r="N111"/>
      <c r="O111"/>
    </row>
    <row r="112" spans="11:15" ht="12.75" customHeight="1">
      <c r="K112"/>
      <c r="L112"/>
      <c r="M112"/>
      <c r="N112"/>
      <c r="O112"/>
    </row>
    <row r="113" spans="11:15" ht="12.75" customHeight="1">
      <c r="K113"/>
      <c r="L113"/>
      <c r="M113"/>
      <c r="N113"/>
      <c r="O113"/>
    </row>
    <row r="114" spans="11:15" ht="12.75" customHeight="1">
      <c r="K114"/>
      <c r="L114"/>
      <c r="M114"/>
      <c r="N114"/>
      <c r="O114"/>
    </row>
    <row r="115" spans="11:15" ht="12.75" customHeight="1">
      <c r="K115"/>
      <c r="L115"/>
      <c r="M115"/>
      <c r="N115"/>
      <c r="O115"/>
    </row>
    <row r="116" spans="11:15" ht="12.75" customHeight="1">
      <c r="K116"/>
      <c r="L116"/>
      <c r="M116"/>
      <c r="N116"/>
      <c r="O116"/>
    </row>
    <row r="117" spans="11:15" ht="12.75" customHeight="1">
      <c r="K117"/>
      <c r="L117"/>
      <c r="M117"/>
      <c r="N117"/>
      <c r="O117"/>
    </row>
    <row r="118" spans="11:15" ht="12.75" customHeight="1">
      <c r="K118"/>
      <c r="L118"/>
      <c r="M118"/>
      <c r="N118"/>
      <c r="O118"/>
    </row>
    <row r="119" spans="11:15" ht="12.75" customHeight="1">
      <c r="K119"/>
      <c r="L119"/>
      <c r="M119"/>
      <c r="N119"/>
      <c r="O119"/>
    </row>
    <row r="120" spans="11:15" ht="12.75" customHeight="1">
      <c r="K120"/>
      <c r="L120"/>
      <c r="M120"/>
      <c r="N120"/>
      <c r="O120"/>
    </row>
    <row r="121" spans="11:15" ht="12.75" customHeight="1">
      <c r="K121"/>
      <c r="L121"/>
      <c r="M121"/>
      <c r="N121"/>
      <c r="O121"/>
    </row>
    <row r="122" spans="11:15" ht="12.75" customHeight="1">
      <c r="K122"/>
      <c r="L122"/>
      <c r="M122"/>
      <c r="N122"/>
      <c r="O122"/>
    </row>
    <row r="123" spans="11:15" ht="12.75" customHeight="1">
      <c r="K123"/>
      <c r="L123"/>
      <c r="M123"/>
      <c r="N123"/>
      <c r="O123"/>
    </row>
    <row r="124" spans="11:15" ht="12.75" customHeight="1">
      <c r="K124"/>
      <c r="L124"/>
      <c r="M124"/>
      <c r="N124"/>
      <c r="O124"/>
    </row>
    <row r="125" spans="11:15" ht="12.75" customHeight="1">
      <c r="K125"/>
      <c r="L125"/>
      <c r="M125"/>
      <c r="N125"/>
      <c r="O125"/>
    </row>
    <row r="126" spans="11:15" ht="12.75" customHeight="1">
      <c r="K126"/>
      <c r="L126"/>
      <c r="M126"/>
      <c r="N126"/>
      <c r="O126"/>
    </row>
    <row r="127" spans="11:15" ht="12.75" customHeight="1">
      <c r="K127"/>
      <c r="L127"/>
      <c r="M127"/>
      <c r="N127"/>
      <c r="O127"/>
    </row>
    <row r="128" spans="11:15" ht="12.75" customHeight="1">
      <c r="K128"/>
      <c r="L128"/>
      <c r="M128"/>
      <c r="N128"/>
      <c r="O128"/>
    </row>
    <row r="129" spans="11:15" ht="12.75" customHeight="1">
      <c r="K129"/>
      <c r="L129"/>
      <c r="M129"/>
      <c r="N129"/>
      <c r="O129"/>
    </row>
    <row r="130" spans="11:15" ht="12.75" customHeight="1">
      <c r="K130"/>
      <c r="L130"/>
      <c r="M130"/>
      <c r="N130"/>
      <c r="O130"/>
    </row>
    <row r="131" spans="11:15" ht="12.75" customHeight="1">
      <c r="K131"/>
      <c r="L131"/>
      <c r="M131"/>
      <c r="N131"/>
      <c r="O131"/>
    </row>
    <row r="132" spans="11:15" ht="12.75" customHeight="1">
      <c r="K132"/>
      <c r="L132"/>
      <c r="M132"/>
      <c r="N132"/>
      <c r="O132"/>
    </row>
    <row r="133" spans="11:15" ht="12.75" customHeight="1">
      <c r="K133"/>
      <c r="L133"/>
      <c r="M133"/>
      <c r="N133"/>
      <c r="O133"/>
    </row>
    <row r="134" spans="11:15" ht="12.75" customHeight="1">
      <c r="K134"/>
      <c r="L134"/>
      <c r="M134"/>
      <c r="N134"/>
      <c r="O134"/>
    </row>
    <row r="135" spans="11:15" ht="12.75" customHeight="1">
      <c r="K135"/>
      <c r="L135"/>
      <c r="M135"/>
      <c r="N135"/>
      <c r="O135"/>
    </row>
    <row r="136" spans="11:15" ht="12.75" customHeight="1">
      <c r="K136"/>
      <c r="L136"/>
      <c r="M136"/>
      <c r="N136"/>
      <c r="O136"/>
    </row>
    <row r="137" spans="11:15" ht="12.75" customHeight="1">
      <c r="K137"/>
      <c r="L137"/>
      <c r="M137"/>
      <c r="N137"/>
      <c r="O137"/>
    </row>
    <row r="138" spans="11:15" ht="12.75" customHeight="1">
      <c r="K138"/>
      <c r="L138"/>
      <c r="M138"/>
      <c r="N138"/>
      <c r="O138"/>
    </row>
    <row r="139" spans="11:15" ht="12.75" customHeight="1">
      <c r="K139"/>
      <c r="L139"/>
      <c r="M139"/>
      <c r="N139"/>
      <c r="O139"/>
    </row>
    <row r="140" spans="11:15" ht="12.75" customHeight="1">
      <c r="K140"/>
      <c r="L140"/>
      <c r="M140"/>
      <c r="N140"/>
      <c r="O140"/>
    </row>
    <row r="141" spans="11:15" ht="12.75" customHeight="1">
      <c r="K141"/>
      <c r="L141"/>
      <c r="M141"/>
      <c r="N141"/>
      <c r="O141"/>
    </row>
    <row r="142" spans="11:15" ht="12.75">
      <c r="K142"/>
      <c r="L142"/>
      <c r="M142"/>
      <c r="N142"/>
      <c r="O142"/>
    </row>
    <row r="143" spans="11:15" ht="12.75">
      <c r="K143"/>
      <c r="L143"/>
      <c r="M143"/>
      <c r="N143"/>
      <c r="O143"/>
    </row>
    <row r="144" spans="11:15" ht="12.75">
      <c r="K144"/>
      <c r="L144"/>
      <c r="M144"/>
      <c r="N144"/>
      <c r="O144"/>
    </row>
    <row r="145" spans="11:15" ht="12.75">
      <c r="K145"/>
      <c r="L145"/>
      <c r="M145"/>
      <c r="N145"/>
      <c r="O145"/>
    </row>
    <row r="146" spans="11:15" ht="12.75">
      <c r="K146"/>
      <c r="L146"/>
      <c r="M146"/>
      <c r="N146"/>
      <c r="O146"/>
    </row>
    <row r="147" spans="11:15" ht="12.75">
      <c r="K147"/>
      <c r="L147"/>
      <c r="M147"/>
      <c r="N147"/>
      <c r="O147"/>
    </row>
    <row r="148" spans="11:15" ht="12.75">
      <c r="K148"/>
      <c r="L148"/>
      <c r="M148"/>
      <c r="N148"/>
      <c r="O148"/>
    </row>
    <row r="149" spans="11:15" ht="12.75">
      <c r="K149"/>
      <c r="L149"/>
      <c r="M149"/>
      <c r="N149"/>
      <c r="O149"/>
    </row>
    <row r="150" spans="11:15" ht="12.75">
      <c r="K150"/>
      <c r="L150"/>
      <c r="M150"/>
      <c r="N150"/>
      <c r="O150"/>
    </row>
    <row r="151" spans="11:15" ht="12.75">
      <c r="K151"/>
      <c r="L151"/>
      <c r="M151"/>
      <c r="N151"/>
      <c r="O151"/>
    </row>
    <row r="152" spans="11:15" ht="12.75">
      <c r="K152"/>
      <c r="L152"/>
      <c r="M152"/>
      <c r="N152"/>
      <c r="O152"/>
    </row>
    <row r="153" spans="11:15" ht="12.75">
      <c r="K153"/>
      <c r="L153"/>
      <c r="M153"/>
      <c r="N153"/>
      <c r="O153"/>
    </row>
    <row r="154" spans="11:15" ht="12.75">
      <c r="K154"/>
      <c r="L154"/>
      <c r="M154"/>
      <c r="N154"/>
      <c r="O154"/>
    </row>
    <row r="155" spans="11:15" ht="12.75">
      <c r="K155"/>
      <c r="L155"/>
      <c r="M155"/>
      <c r="N155"/>
      <c r="O155"/>
    </row>
    <row r="156" spans="11:15" ht="12.75">
      <c r="K156"/>
      <c r="L156"/>
      <c r="M156"/>
      <c r="N156"/>
      <c r="O156"/>
    </row>
    <row r="157" spans="11:15" ht="12.75">
      <c r="K157"/>
      <c r="L157"/>
      <c r="M157"/>
      <c r="N157"/>
      <c r="O157"/>
    </row>
    <row r="158" spans="11:15" ht="12.75">
      <c r="K158"/>
      <c r="L158"/>
      <c r="M158"/>
      <c r="N158"/>
      <c r="O158"/>
    </row>
    <row r="159" spans="11:15" ht="12.75">
      <c r="K159"/>
      <c r="L159"/>
      <c r="M159"/>
      <c r="N159"/>
      <c r="O159"/>
    </row>
    <row r="160" spans="11:15" ht="12.75">
      <c r="K160"/>
      <c r="L160"/>
      <c r="M160"/>
      <c r="N160"/>
      <c r="O160"/>
    </row>
    <row r="161" spans="11:15" ht="12.75">
      <c r="K161"/>
      <c r="L161"/>
      <c r="M161"/>
      <c r="N161"/>
      <c r="O161"/>
    </row>
    <row r="162" spans="11:15" ht="12.75">
      <c r="K162"/>
      <c r="L162"/>
      <c r="M162"/>
      <c r="N162"/>
      <c r="O162"/>
    </row>
    <row r="163" spans="11:15" ht="12.75">
      <c r="K163"/>
      <c r="L163"/>
      <c r="M163"/>
      <c r="N163"/>
      <c r="O163"/>
    </row>
    <row r="164" spans="11:15" ht="12.75">
      <c r="K164"/>
      <c r="L164"/>
      <c r="M164"/>
      <c r="N164"/>
      <c r="O164"/>
    </row>
    <row r="165" spans="11:15" ht="12.75">
      <c r="K165"/>
      <c r="L165"/>
      <c r="M165"/>
      <c r="N165"/>
      <c r="O165"/>
    </row>
    <row r="166" spans="11:15" ht="12.75">
      <c r="K166"/>
      <c r="L166"/>
      <c r="M166"/>
      <c r="N166"/>
      <c r="O166"/>
    </row>
    <row r="167" spans="11:15" ht="12.75">
      <c r="K167"/>
      <c r="L167"/>
      <c r="M167"/>
      <c r="N167"/>
      <c r="O167"/>
    </row>
    <row r="168" spans="11:15" ht="12.75">
      <c r="K168"/>
      <c r="L168"/>
      <c r="M168"/>
      <c r="N168"/>
      <c r="O168"/>
    </row>
    <row r="169" spans="11:15" ht="12.75">
      <c r="K169"/>
      <c r="L169"/>
      <c r="M169"/>
      <c r="N169"/>
      <c r="O169"/>
    </row>
    <row r="170" spans="11:15" ht="12.75">
      <c r="K170"/>
      <c r="L170"/>
      <c r="M170"/>
      <c r="N170"/>
      <c r="O170"/>
    </row>
    <row r="171" spans="11:15" ht="12.75">
      <c r="K171"/>
      <c r="L171"/>
      <c r="M171"/>
      <c r="N171"/>
      <c r="O171"/>
    </row>
    <row r="172" spans="11:15" ht="12.75">
      <c r="K172"/>
      <c r="L172"/>
      <c r="M172"/>
      <c r="N172"/>
      <c r="O172"/>
    </row>
    <row r="173" spans="11:15" ht="12.75">
      <c r="K173"/>
      <c r="L173"/>
      <c r="M173"/>
      <c r="N173"/>
      <c r="O173"/>
    </row>
    <row r="174" spans="11:15" ht="12.75">
      <c r="K174"/>
      <c r="L174"/>
      <c r="M174"/>
      <c r="N174"/>
      <c r="O174"/>
    </row>
    <row r="175" spans="11:15" ht="12.75">
      <c r="K175"/>
      <c r="L175"/>
      <c r="M175"/>
      <c r="N175"/>
      <c r="O175"/>
    </row>
    <row r="176" spans="11:15" ht="12.75">
      <c r="K176"/>
      <c r="L176"/>
      <c r="M176"/>
      <c r="N176"/>
      <c r="O176"/>
    </row>
    <row r="177" spans="11:15" ht="12.75">
      <c r="K177"/>
      <c r="L177"/>
      <c r="M177"/>
      <c r="N177"/>
      <c r="O177"/>
    </row>
    <row r="178" spans="11:15" ht="12.75">
      <c r="K178"/>
      <c r="L178"/>
      <c r="M178"/>
      <c r="N178"/>
      <c r="O178"/>
    </row>
    <row r="179" spans="11:15" ht="12.75">
      <c r="K179"/>
      <c r="L179"/>
      <c r="M179"/>
      <c r="N179"/>
      <c r="O179"/>
    </row>
    <row r="180" spans="11:15" ht="12.75">
      <c r="K180"/>
      <c r="L180"/>
      <c r="M180"/>
      <c r="N180"/>
      <c r="O180"/>
    </row>
    <row r="181" spans="11:15" ht="12.75">
      <c r="K181"/>
      <c r="L181"/>
      <c r="M181"/>
      <c r="N181"/>
      <c r="O181"/>
    </row>
    <row r="182" spans="11:15" ht="12.75">
      <c r="K182"/>
      <c r="L182"/>
      <c r="M182"/>
      <c r="N182"/>
      <c r="O182"/>
    </row>
    <row r="183" spans="11:15" ht="12.75">
      <c r="K183"/>
      <c r="L183"/>
      <c r="M183"/>
      <c r="N183"/>
      <c r="O183"/>
    </row>
    <row r="184" spans="11:15" ht="12.75">
      <c r="K184"/>
      <c r="L184"/>
      <c r="M184"/>
      <c r="N184"/>
      <c r="O184"/>
    </row>
    <row r="185" spans="11:15" ht="12.75">
      <c r="K185"/>
      <c r="L185"/>
      <c r="M185"/>
      <c r="N185"/>
      <c r="O185"/>
    </row>
    <row r="186" spans="11:15" ht="12.75">
      <c r="K186"/>
      <c r="L186"/>
      <c r="M186"/>
      <c r="N186"/>
      <c r="O186"/>
    </row>
    <row r="187" spans="11:15" ht="12.75">
      <c r="K187"/>
      <c r="L187"/>
      <c r="M187"/>
      <c r="N187"/>
      <c r="O187"/>
    </row>
    <row r="188" spans="11:15" ht="12.75">
      <c r="K188"/>
      <c r="L188"/>
      <c r="M188"/>
      <c r="N188"/>
      <c r="O188"/>
    </row>
    <row r="189" spans="11:15" ht="12.75">
      <c r="K189"/>
      <c r="L189"/>
      <c r="M189"/>
      <c r="N189"/>
      <c r="O189"/>
    </row>
    <row r="190" spans="11:15" ht="12.75">
      <c r="K190"/>
      <c r="L190"/>
      <c r="M190"/>
      <c r="N190"/>
      <c r="O190"/>
    </row>
    <row r="191" spans="11:15" ht="12.75">
      <c r="K191"/>
      <c r="L191"/>
      <c r="M191"/>
      <c r="N191"/>
      <c r="O191"/>
    </row>
    <row r="192" spans="11:15" ht="12.75">
      <c r="K192"/>
      <c r="L192"/>
      <c r="M192"/>
      <c r="N192"/>
      <c r="O192"/>
    </row>
    <row r="193" spans="11:15" ht="12.75">
      <c r="K193"/>
      <c r="L193"/>
      <c r="M193"/>
      <c r="N193"/>
      <c r="O193"/>
    </row>
    <row r="194" spans="11:15" ht="12.75">
      <c r="K194"/>
      <c r="L194"/>
      <c r="M194"/>
      <c r="N194"/>
      <c r="O194"/>
    </row>
    <row r="195" spans="11:15" ht="12.75">
      <c r="K195"/>
      <c r="L195"/>
      <c r="M195"/>
      <c r="N195"/>
      <c r="O195"/>
    </row>
    <row r="196" spans="11:15" ht="12.75">
      <c r="K196"/>
      <c r="L196"/>
      <c r="M196"/>
      <c r="N196"/>
      <c r="O196"/>
    </row>
    <row r="197" spans="11:15" ht="12.75">
      <c r="K197"/>
      <c r="L197"/>
      <c r="M197"/>
      <c r="N197"/>
      <c r="O197"/>
    </row>
    <row r="198" spans="11:15" ht="12.75">
      <c r="K198"/>
      <c r="L198"/>
      <c r="M198"/>
      <c r="N198"/>
      <c r="O198"/>
    </row>
    <row r="199" spans="11:15" ht="12.75">
      <c r="K199"/>
      <c r="L199"/>
      <c r="M199"/>
      <c r="N199"/>
      <c r="O199"/>
    </row>
    <row r="200" spans="11:15" ht="12.75">
      <c r="K200"/>
      <c r="L200"/>
      <c r="M200"/>
      <c r="N200"/>
      <c r="O200"/>
    </row>
    <row r="201" spans="11:15" ht="12.75">
      <c r="K201"/>
      <c r="L201"/>
      <c r="M201"/>
      <c r="N201"/>
      <c r="O201"/>
    </row>
    <row r="202" spans="11:15" ht="12.75">
      <c r="K202"/>
      <c r="L202"/>
      <c r="M202"/>
      <c r="N202"/>
      <c r="O202"/>
    </row>
    <row r="203" spans="11:15" ht="12.75">
      <c r="K203"/>
      <c r="L203"/>
      <c r="M203"/>
      <c r="N203"/>
      <c r="O203"/>
    </row>
    <row r="204" spans="11:15" ht="12.75">
      <c r="K204"/>
      <c r="L204"/>
      <c r="M204"/>
      <c r="N204"/>
      <c r="O204"/>
    </row>
    <row r="205" spans="11:15" ht="12.75">
      <c r="K205"/>
      <c r="L205"/>
      <c r="M205"/>
      <c r="N205"/>
      <c r="O205"/>
    </row>
    <row r="206" spans="11:15" ht="12.75">
      <c r="K206"/>
      <c r="L206"/>
      <c r="M206"/>
      <c r="N206"/>
      <c r="O206"/>
    </row>
    <row r="207" spans="11:15" ht="12.75">
      <c r="K207"/>
      <c r="L207"/>
      <c r="M207"/>
      <c r="N207"/>
      <c r="O207"/>
    </row>
    <row r="208" spans="11:15" ht="12.75">
      <c r="K208"/>
      <c r="L208"/>
      <c r="M208"/>
      <c r="N208"/>
      <c r="O208"/>
    </row>
    <row r="209" spans="11:15" ht="12.75">
      <c r="K209"/>
      <c r="L209"/>
      <c r="M209"/>
      <c r="N209"/>
      <c r="O209"/>
    </row>
    <row r="210" spans="11:15" ht="12.75">
      <c r="K210"/>
      <c r="L210"/>
      <c r="M210"/>
      <c r="N210"/>
      <c r="O210"/>
    </row>
    <row r="211" spans="11:15" ht="12.75">
      <c r="K211"/>
      <c r="L211"/>
      <c r="M211"/>
      <c r="N211"/>
      <c r="O211"/>
    </row>
    <row r="212" spans="11:15" ht="12.75">
      <c r="K212"/>
      <c r="L212"/>
      <c r="M212"/>
      <c r="N212"/>
      <c r="O212"/>
    </row>
    <row r="213" spans="11:15" ht="12.75">
      <c r="K213"/>
      <c r="L213"/>
      <c r="M213"/>
      <c r="N213"/>
      <c r="O213"/>
    </row>
    <row r="214" spans="11:15" ht="12.75">
      <c r="K214"/>
      <c r="L214"/>
      <c r="M214"/>
      <c r="N214"/>
      <c r="O214"/>
    </row>
    <row r="215" spans="11:15" ht="12.75">
      <c r="K215"/>
      <c r="L215"/>
      <c r="M215"/>
      <c r="N215"/>
      <c r="O215"/>
    </row>
    <row r="216" spans="11:15" ht="12.75">
      <c r="K216"/>
      <c r="L216"/>
      <c r="M216"/>
      <c r="N216"/>
      <c r="O216"/>
    </row>
    <row r="217" spans="11:15" ht="12.75">
      <c r="K217"/>
      <c r="L217"/>
      <c r="M217"/>
      <c r="N217"/>
      <c r="O217"/>
    </row>
    <row r="218" spans="11:15" ht="12.75">
      <c r="K218"/>
      <c r="L218"/>
      <c r="M218"/>
      <c r="N218"/>
      <c r="O218"/>
    </row>
    <row r="219" spans="11:15" ht="12.75">
      <c r="K219"/>
      <c r="L219"/>
      <c r="M219"/>
      <c r="N219"/>
      <c r="O219"/>
    </row>
    <row r="220" spans="11:15" ht="12.75">
      <c r="K220"/>
      <c r="L220"/>
      <c r="M220"/>
      <c r="N220"/>
      <c r="O220"/>
    </row>
    <row r="221" spans="11:15" ht="12.75">
      <c r="K221"/>
      <c r="L221"/>
      <c r="M221"/>
      <c r="N221"/>
      <c r="O221"/>
    </row>
    <row r="222" spans="11:15" ht="12.75">
      <c r="K222"/>
      <c r="L222"/>
      <c r="M222"/>
      <c r="N222"/>
      <c r="O222"/>
    </row>
    <row r="223" spans="11:15" ht="12.75">
      <c r="K223"/>
      <c r="L223"/>
      <c r="M223"/>
      <c r="N223"/>
      <c r="O223"/>
    </row>
    <row r="224" spans="11:15" ht="12.75">
      <c r="K224"/>
      <c r="L224"/>
      <c r="M224"/>
      <c r="N224"/>
      <c r="O224"/>
    </row>
    <row r="225" spans="11:15" ht="12.75">
      <c r="K225"/>
      <c r="L225"/>
      <c r="M225"/>
      <c r="N225"/>
      <c r="O225"/>
    </row>
    <row r="226" spans="11:15" ht="12.75">
      <c r="K226"/>
      <c r="L226"/>
      <c r="M226"/>
      <c r="N226"/>
      <c r="O226"/>
    </row>
    <row r="227" spans="11:15" ht="12.75">
      <c r="K227"/>
      <c r="L227"/>
      <c r="M227"/>
      <c r="N227"/>
      <c r="O227"/>
    </row>
    <row r="228" spans="11:15" ht="12.75">
      <c r="K228"/>
      <c r="L228"/>
      <c r="M228"/>
      <c r="N228"/>
      <c r="O228"/>
    </row>
    <row r="229" spans="11:15" ht="12.75">
      <c r="K229"/>
      <c r="L229"/>
      <c r="M229"/>
      <c r="N229"/>
      <c r="O229"/>
    </row>
    <row r="230" spans="11:15" ht="12.75">
      <c r="K230"/>
      <c r="L230"/>
      <c r="M230"/>
      <c r="N230"/>
      <c r="O230"/>
    </row>
    <row r="231" spans="11:15" ht="12.75">
      <c r="K231"/>
      <c r="L231"/>
      <c r="M231"/>
      <c r="N231"/>
      <c r="O231"/>
    </row>
    <row r="232" spans="11:15" ht="12.75">
      <c r="K232"/>
      <c r="L232"/>
      <c r="M232"/>
      <c r="N232"/>
      <c r="O232"/>
    </row>
    <row r="233" spans="11:15" ht="12.75">
      <c r="K233"/>
      <c r="L233"/>
      <c r="M233"/>
      <c r="N233"/>
      <c r="O233"/>
    </row>
    <row r="234" spans="11:15" ht="12.75">
      <c r="K234"/>
      <c r="L234"/>
      <c r="M234"/>
      <c r="N234"/>
      <c r="O234"/>
    </row>
    <row r="235" spans="11:15" ht="12.75">
      <c r="K235"/>
      <c r="L235"/>
      <c r="M235"/>
      <c r="N235"/>
      <c r="O235"/>
    </row>
    <row r="236" spans="11:15" ht="12.75">
      <c r="K236"/>
      <c r="L236"/>
      <c r="M236"/>
      <c r="N236"/>
      <c r="O236"/>
    </row>
    <row r="237" spans="11:15" ht="12.75">
      <c r="K237"/>
      <c r="L237"/>
      <c r="M237"/>
      <c r="N237"/>
      <c r="O237"/>
    </row>
    <row r="238" spans="11:15" ht="12.75">
      <c r="K238"/>
      <c r="L238"/>
      <c r="M238"/>
      <c r="N238"/>
      <c r="O238"/>
    </row>
    <row r="239" spans="11:15" ht="12.75">
      <c r="K239"/>
      <c r="L239"/>
      <c r="M239"/>
      <c r="N239"/>
      <c r="O239"/>
    </row>
    <row r="240" spans="11:15" ht="12.75">
      <c r="K240"/>
      <c r="L240"/>
      <c r="M240"/>
      <c r="N240"/>
      <c r="O240"/>
    </row>
    <row r="241" spans="11:15" ht="12.75">
      <c r="K241"/>
      <c r="L241"/>
      <c r="M241"/>
      <c r="N241"/>
      <c r="O241"/>
    </row>
    <row r="242" spans="11:15" ht="12.75">
      <c r="K242"/>
      <c r="L242"/>
      <c r="M242"/>
      <c r="N242"/>
      <c r="O242"/>
    </row>
    <row r="243" spans="11:15" ht="12.75">
      <c r="K243"/>
      <c r="L243"/>
      <c r="M243"/>
      <c r="N243"/>
      <c r="O243"/>
    </row>
    <row r="244" spans="11:15" ht="12.75">
      <c r="K244"/>
      <c r="L244"/>
      <c r="M244"/>
      <c r="N244"/>
      <c r="O244"/>
    </row>
    <row r="245" spans="11:15" ht="12.75">
      <c r="K245"/>
      <c r="L245"/>
      <c r="M245"/>
      <c r="N245"/>
      <c r="O245"/>
    </row>
    <row r="246" spans="11:15" ht="12.75">
      <c r="K246"/>
      <c r="L246"/>
      <c r="M246"/>
      <c r="N246"/>
      <c r="O246"/>
    </row>
    <row r="247" spans="11:15" ht="12.75">
      <c r="K247"/>
      <c r="L247"/>
      <c r="M247"/>
      <c r="N247"/>
      <c r="O247"/>
    </row>
    <row r="248" spans="11:15" ht="12.75">
      <c r="K248"/>
      <c r="L248"/>
      <c r="M248"/>
      <c r="N248"/>
      <c r="O248"/>
    </row>
    <row r="249" spans="11:15" ht="12.75">
      <c r="K249"/>
      <c r="L249"/>
      <c r="M249"/>
      <c r="N249"/>
      <c r="O249"/>
    </row>
    <row r="250" spans="11:15" ht="12.75">
      <c r="K250"/>
      <c r="L250"/>
      <c r="M250"/>
      <c r="N250"/>
      <c r="O250"/>
    </row>
    <row r="251" spans="11:15" ht="12.75">
      <c r="K251"/>
      <c r="L251"/>
      <c r="M251"/>
      <c r="N251"/>
      <c r="O251"/>
    </row>
    <row r="252" spans="11:15" ht="12.75">
      <c r="K252"/>
      <c r="L252"/>
      <c r="M252"/>
      <c r="N252"/>
      <c r="O252"/>
    </row>
    <row r="253" spans="11:15" ht="12.75">
      <c r="K253"/>
      <c r="L253"/>
      <c r="M253"/>
      <c r="N253"/>
      <c r="O253"/>
    </row>
    <row r="254" spans="11:15" ht="12.75">
      <c r="K254"/>
      <c r="L254"/>
      <c r="M254"/>
      <c r="N254"/>
      <c r="O254"/>
    </row>
    <row r="255" spans="11:15" ht="12.75">
      <c r="K255"/>
      <c r="L255"/>
      <c r="M255"/>
      <c r="N255"/>
      <c r="O255"/>
    </row>
    <row r="256" spans="11:15" ht="12.75">
      <c r="K256"/>
      <c r="L256"/>
      <c r="M256"/>
      <c r="N256"/>
      <c r="O256"/>
    </row>
    <row r="257" spans="11:15" ht="12.75">
      <c r="K257"/>
      <c r="L257"/>
      <c r="M257"/>
      <c r="N257"/>
      <c r="O257"/>
    </row>
    <row r="258" spans="11:15" ht="12.75">
      <c r="K258"/>
      <c r="L258"/>
      <c r="M258"/>
      <c r="N258"/>
      <c r="O258"/>
    </row>
    <row r="259" spans="11:15" ht="12.75">
      <c r="K259"/>
      <c r="L259"/>
      <c r="M259"/>
      <c r="N259"/>
      <c r="O259"/>
    </row>
    <row r="260" spans="11:15" ht="12.75">
      <c r="K260"/>
      <c r="L260"/>
      <c r="M260"/>
      <c r="N260"/>
      <c r="O260"/>
    </row>
    <row r="261" spans="11:15" ht="12.75">
      <c r="K261"/>
      <c r="L261"/>
      <c r="M261"/>
      <c r="N261"/>
      <c r="O261"/>
    </row>
    <row r="262" spans="11:15" ht="12.75">
      <c r="K262"/>
      <c r="L262"/>
      <c r="M262"/>
      <c r="N262"/>
      <c r="O262"/>
    </row>
    <row r="263" spans="11:15" ht="12.75">
      <c r="K263"/>
      <c r="L263"/>
      <c r="M263"/>
      <c r="N263"/>
      <c r="O263"/>
    </row>
    <row r="264" spans="11:15" ht="12.75">
      <c r="K264"/>
      <c r="L264"/>
      <c r="M264"/>
      <c r="N264"/>
      <c r="O264"/>
    </row>
    <row r="265" spans="11:15" ht="12.75">
      <c r="K265"/>
      <c r="L265"/>
      <c r="M265"/>
      <c r="N265"/>
      <c r="O265"/>
    </row>
    <row r="266" spans="11:15" ht="12.75">
      <c r="K266"/>
      <c r="L266"/>
      <c r="M266"/>
      <c r="N266"/>
      <c r="O266"/>
    </row>
    <row r="267" spans="11:15" ht="12.75">
      <c r="K267"/>
      <c r="L267"/>
      <c r="M267"/>
      <c r="N267"/>
      <c r="O267"/>
    </row>
    <row r="268" spans="11:15" ht="12.75">
      <c r="K268"/>
      <c r="L268"/>
      <c r="M268"/>
      <c r="N268"/>
      <c r="O268"/>
    </row>
    <row r="269" spans="11:15" ht="12.75">
      <c r="K269"/>
      <c r="L269"/>
      <c r="M269"/>
      <c r="N269"/>
      <c r="O269"/>
    </row>
    <row r="270" spans="11:15" ht="12.75">
      <c r="K270"/>
      <c r="L270"/>
      <c r="M270"/>
      <c r="N270"/>
      <c r="O270"/>
    </row>
    <row r="271" spans="11:15" ht="12.75">
      <c r="K271"/>
      <c r="L271"/>
      <c r="M271"/>
      <c r="N271"/>
      <c r="O271"/>
    </row>
    <row r="272" spans="11:15" ht="12.75">
      <c r="K272"/>
      <c r="L272"/>
      <c r="M272"/>
      <c r="N272"/>
      <c r="O272"/>
    </row>
    <row r="273" spans="11:15" ht="12.75">
      <c r="K273"/>
      <c r="L273"/>
      <c r="M273"/>
      <c r="N273"/>
      <c r="O273"/>
    </row>
    <row r="274" spans="11:15" ht="12.75">
      <c r="K274"/>
      <c r="L274"/>
      <c r="M274"/>
      <c r="N274"/>
      <c r="O274"/>
    </row>
    <row r="275" spans="11:15" ht="12.75">
      <c r="K275"/>
      <c r="L275"/>
      <c r="M275"/>
      <c r="N275"/>
      <c r="O275"/>
    </row>
    <row r="276" spans="11:15" ht="12.75">
      <c r="K276"/>
      <c r="L276"/>
      <c r="M276"/>
      <c r="N276"/>
      <c r="O276"/>
    </row>
    <row r="277" spans="11:15" ht="12.75">
      <c r="K277"/>
      <c r="L277"/>
      <c r="M277"/>
      <c r="N277"/>
      <c r="O277"/>
    </row>
    <row r="278" spans="11:15" ht="12.75">
      <c r="K278"/>
      <c r="L278"/>
      <c r="M278"/>
      <c r="N278"/>
      <c r="O278"/>
    </row>
    <row r="279" spans="11:15" ht="12.75">
      <c r="K279"/>
      <c r="L279"/>
      <c r="M279"/>
      <c r="N279"/>
      <c r="O279"/>
    </row>
    <row r="280" spans="11:15" ht="12.75">
      <c r="K280"/>
      <c r="L280"/>
      <c r="M280"/>
      <c r="N280"/>
      <c r="O280"/>
    </row>
    <row r="281" spans="11:15" ht="12.75">
      <c r="K281"/>
      <c r="L281"/>
      <c r="M281"/>
      <c r="N281"/>
      <c r="O281"/>
    </row>
    <row r="282" spans="11:15" ht="12.75">
      <c r="K282"/>
      <c r="L282"/>
      <c r="M282"/>
      <c r="N282"/>
      <c r="O282"/>
    </row>
    <row r="283" spans="11:15" ht="12.75">
      <c r="K283"/>
      <c r="L283"/>
      <c r="M283"/>
      <c r="N283"/>
      <c r="O283"/>
    </row>
    <row r="284" spans="11:15" ht="12.75">
      <c r="K284"/>
      <c r="L284"/>
      <c r="M284"/>
      <c r="N284"/>
      <c r="O284"/>
    </row>
    <row r="285" spans="11:15" ht="12.75">
      <c r="K285"/>
      <c r="L285"/>
      <c r="M285"/>
      <c r="N285"/>
      <c r="O285"/>
    </row>
    <row r="286" spans="11:15" ht="12.75">
      <c r="K286"/>
      <c r="L286"/>
      <c r="M286"/>
      <c r="N286"/>
      <c r="O286"/>
    </row>
    <row r="287" spans="11:15" ht="12.75">
      <c r="K287"/>
      <c r="L287"/>
      <c r="M287"/>
      <c r="N287"/>
      <c r="O287"/>
    </row>
    <row r="288" spans="11:15" ht="12.75">
      <c r="K288"/>
      <c r="L288"/>
      <c r="M288"/>
      <c r="N288"/>
      <c r="O288"/>
    </row>
    <row r="289" spans="11:15" ht="12.75">
      <c r="K289"/>
      <c r="L289"/>
      <c r="M289"/>
      <c r="N289"/>
      <c r="O289"/>
    </row>
    <row r="290" spans="11:15" ht="12.75">
      <c r="K290"/>
      <c r="L290"/>
      <c r="M290"/>
      <c r="N290"/>
      <c r="O290"/>
    </row>
    <row r="291" spans="11:15" ht="12.75">
      <c r="K291"/>
      <c r="L291"/>
      <c r="M291"/>
      <c r="N291"/>
      <c r="O291"/>
    </row>
    <row r="292" spans="11:15" ht="12.75">
      <c r="K292"/>
      <c r="L292"/>
      <c r="M292"/>
      <c r="N292"/>
      <c r="O292"/>
    </row>
    <row r="293" spans="11:15" ht="12.75">
      <c r="K293"/>
      <c r="L293"/>
      <c r="M293"/>
      <c r="N293"/>
      <c r="O293"/>
    </row>
    <row r="294" spans="11:15" ht="12.75">
      <c r="K294"/>
      <c r="L294"/>
      <c r="M294"/>
      <c r="N294"/>
      <c r="O294"/>
    </row>
    <row r="295" spans="11:15" ht="12.75">
      <c r="K295"/>
      <c r="L295"/>
      <c r="M295"/>
      <c r="N295"/>
      <c r="O295"/>
    </row>
    <row r="296" spans="11:15" ht="12.75">
      <c r="K296"/>
      <c r="L296"/>
      <c r="M296"/>
      <c r="N296"/>
      <c r="O296"/>
    </row>
  </sheetData>
  <mergeCells count="14">
    <mergeCell ref="U1:Y2"/>
    <mergeCell ref="A42:D42"/>
    <mergeCell ref="F42:I42"/>
    <mergeCell ref="K42:N42"/>
    <mergeCell ref="P42:S42"/>
    <mergeCell ref="U42:X42"/>
    <mergeCell ref="A1:E2"/>
    <mergeCell ref="F1:J2"/>
    <mergeCell ref="K1:O2"/>
    <mergeCell ref="P1:T2"/>
    <mergeCell ref="A43:D43"/>
    <mergeCell ref="F43:I43"/>
    <mergeCell ref="A44:D44"/>
    <mergeCell ref="F44:I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workbookViewId="0" topLeftCell="G1">
      <selection activeCell="C9" sqref="C9"/>
    </sheetView>
  </sheetViews>
  <sheetFormatPr defaultColWidth="9.140625" defaultRowHeight="12.75"/>
  <cols>
    <col min="1" max="1" width="40.421875" style="29" hidden="1" customWidth="1"/>
    <col min="2" max="2" width="10.421875" style="29" hidden="1" customWidth="1"/>
    <col min="3" max="3" width="15.00390625" style="29" hidden="1" customWidth="1"/>
    <col min="4" max="4" width="13.7109375" style="29" hidden="1" customWidth="1"/>
    <col min="5" max="5" width="11.28125" style="29" hidden="1" customWidth="1"/>
    <col min="6" max="6" width="12.421875" style="29" hidden="1" customWidth="1"/>
    <col min="7" max="7" width="40.8515625" style="29" customWidth="1"/>
    <col min="8" max="8" width="8.140625" style="29" customWidth="1"/>
    <col min="9" max="9" width="11.7109375" style="29" customWidth="1"/>
    <col min="10" max="10" width="9.00390625" style="29" customWidth="1"/>
    <col min="11" max="11" width="11.140625" style="29" customWidth="1"/>
    <col min="12" max="12" width="11.8515625" style="29" customWidth="1"/>
    <col min="13" max="16384" width="9.140625" style="29" customWidth="1"/>
  </cols>
  <sheetData>
    <row r="1" spans="3:10" ht="12.75">
      <c r="C1" s="1"/>
      <c r="D1" s="1"/>
      <c r="I1" s="1"/>
      <c r="J1" s="1"/>
    </row>
    <row r="2" spans="1:12" ht="12.75">
      <c r="A2" s="1" t="s">
        <v>91</v>
      </c>
      <c r="C2" s="1"/>
      <c r="D2" s="1"/>
      <c r="E2" s="1"/>
      <c r="F2" s="41" t="s">
        <v>92</v>
      </c>
      <c r="G2" s="1" t="s">
        <v>91</v>
      </c>
      <c r="I2" s="1"/>
      <c r="J2" s="1"/>
      <c r="K2" s="1"/>
      <c r="L2" s="42" t="s">
        <v>92</v>
      </c>
    </row>
    <row r="3" spans="1:12" ht="15.75">
      <c r="A3" s="43" t="s">
        <v>93</v>
      </c>
      <c r="G3" s="292" t="s">
        <v>94</v>
      </c>
      <c r="H3" s="292"/>
      <c r="I3" s="292"/>
      <c r="J3" s="292"/>
      <c r="K3" s="292"/>
      <c r="L3" s="292"/>
    </row>
    <row r="4" spans="1:12" ht="15.75">
      <c r="A4" s="43" t="s">
        <v>95</v>
      </c>
      <c r="G4" s="292" t="s">
        <v>96</v>
      </c>
      <c r="H4" s="292"/>
      <c r="I4" s="292"/>
      <c r="J4" s="292"/>
      <c r="K4" s="292"/>
      <c r="L4" s="292"/>
    </row>
    <row r="7" spans="6:12" ht="12">
      <c r="F7" s="44"/>
      <c r="L7" s="44"/>
    </row>
    <row r="8" spans="4:12" ht="12.75">
      <c r="D8" s="1"/>
      <c r="F8" s="39" t="s">
        <v>97</v>
      </c>
      <c r="J8" s="1"/>
      <c r="L8" s="45" t="s">
        <v>97</v>
      </c>
    </row>
    <row r="9" spans="1:12" ht="60" customHeight="1">
      <c r="A9" s="46" t="s">
        <v>5</v>
      </c>
      <c r="B9" s="47" t="s">
        <v>98</v>
      </c>
      <c r="C9" s="47" t="s">
        <v>6</v>
      </c>
      <c r="D9" s="47" t="s">
        <v>7</v>
      </c>
      <c r="E9" s="47" t="s">
        <v>99</v>
      </c>
      <c r="F9" s="47" t="s">
        <v>100</v>
      </c>
      <c r="G9" s="46" t="s">
        <v>5</v>
      </c>
      <c r="H9" s="47" t="s">
        <v>98</v>
      </c>
      <c r="I9" s="47" t="s">
        <v>6</v>
      </c>
      <c r="J9" s="47" t="s">
        <v>7</v>
      </c>
      <c r="K9" s="47" t="s">
        <v>99</v>
      </c>
      <c r="L9" s="47" t="s">
        <v>100</v>
      </c>
    </row>
    <row r="10" spans="1:12" ht="12" customHeight="1">
      <c r="A10" s="48">
        <v>1</v>
      </c>
      <c r="B10" s="48">
        <v>2</v>
      </c>
      <c r="C10" s="7">
        <v>3</v>
      </c>
      <c r="D10" s="7">
        <v>4</v>
      </c>
      <c r="E10" s="7">
        <v>5</v>
      </c>
      <c r="F10" s="49">
        <v>6</v>
      </c>
      <c r="G10" s="48">
        <v>1</v>
      </c>
      <c r="H10" s="48">
        <v>2</v>
      </c>
      <c r="I10" s="7">
        <v>3</v>
      </c>
      <c r="J10" s="7">
        <v>4</v>
      </c>
      <c r="K10" s="7">
        <v>5</v>
      </c>
      <c r="L10" s="49">
        <v>6</v>
      </c>
    </row>
    <row r="11" spans="1:12" ht="18" customHeight="1">
      <c r="A11" s="50" t="s">
        <v>101</v>
      </c>
      <c r="B11" s="51"/>
      <c r="C11" s="52">
        <f>SUM(C12:C25)</f>
        <v>862712993</v>
      </c>
      <c r="D11" s="52">
        <f>SUM(D12:D25)</f>
        <v>517577237</v>
      </c>
      <c r="E11" s="53">
        <f>IF(ISERROR(D11/C11)," ",(D11/C11))</f>
        <v>0.599941395573719</v>
      </c>
      <c r="F11" s="52">
        <f>SUM(F12:F25)</f>
        <v>5938495</v>
      </c>
      <c r="G11" s="50" t="s">
        <v>101</v>
      </c>
      <c r="H11" s="51"/>
      <c r="I11" s="54">
        <f>SUM(I12:I25)</f>
        <v>862713</v>
      </c>
      <c r="J11" s="54">
        <f>SUM(J12:J25)</f>
        <v>517577</v>
      </c>
      <c r="K11" s="13">
        <f>IF(ISERROR(J11/I11)," ",(J11/I11))</f>
        <v>0.5999411159910654</v>
      </c>
      <c r="L11" s="54">
        <f>SUM(L12:L25)</f>
        <v>5938</v>
      </c>
    </row>
    <row r="12" spans="1:12" ht="18" customHeight="1">
      <c r="A12" s="55" t="s">
        <v>102</v>
      </c>
      <c r="B12" s="56">
        <v>1</v>
      </c>
      <c r="C12" s="57">
        <v>122568</v>
      </c>
      <c r="D12" s="57">
        <v>13617</v>
      </c>
      <c r="E12" s="58">
        <f aca="true" t="shared" si="0" ref="E12:E25">IF(ISERROR(D12/C12)," ",(D12/C12))</f>
        <v>0.11109751321715293</v>
      </c>
      <c r="F12" s="59">
        <f>455630+49844+142919+1989367+440758+15597</f>
        <v>3094115</v>
      </c>
      <c r="G12" s="60" t="s">
        <v>102</v>
      </c>
      <c r="H12" s="61">
        <v>1</v>
      </c>
      <c r="I12" s="62">
        <f>ROUND(C12/1000,0)</f>
        <v>123</v>
      </c>
      <c r="J12" s="62">
        <f>ROUND(D12/1000,0)-1</f>
        <v>13</v>
      </c>
      <c r="K12" s="20">
        <f aca="true" t="shared" si="1" ref="K12:K25">IF(ISERROR(J12/I12)," ",(J12/I12))</f>
        <v>0.10569105691056911</v>
      </c>
      <c r="L12" s="62">
        <f>ROUND(F12/1000,0)</f>
        <v>3094</v>
      </c>
    </row>
    <row r="13" spans="1:12" ht="18.75" customHeight="1">
      <c r="A13" s="22" t="s">
        <v>103</v>
      </c>
      <c r="B13" s="56">
        <v>2</v>
      </c>
      <c r="C13" s="57"/>
      <c r="D13" s="57"/>
      <c r="E13" s="58" t="str">
        <f t="shared" si="0"/>
        <v> </v>
      </c>
      <c r="F13" s="22">
        <f>116911+19478</f>
        <v>136389</v>
      </c>
      <c r="G13" s="21" t="s">
        <v>103</v>
      </c>
      <c r="H13" s="61">
        <v>2</v>
      </c>
      <c r="I13" s="62">
        <f aca="true" t="shared" si="2" ref="I13:J25">ROUND(C13/1000,0)</f>
        <v>0</v>
      </c>
      <c r="J13" s="62">
        <f t="shared" si="2"/>
        <v>0</v>
      </c>
      <c r="K13" s="20" t="str">
        <f t="shared" si="1"/>
        <v> </v>
      </c>
      <c r="L13" s="62">
        <f>ROUND(F13/1000,0)</f>
        <v>136</v>
      </c>
    </row>
    <row r="14" spans="1:12" ht="17.25" customHeight="1">
      <c r="A14" s="22" t="s">
        <v>104</v>
      </c>
      <c r="B14" s="56">
        <v>3</v>
      </c>
      <c r="C14" s="57"/>
      <c r="D14" s="57"/>
      <c r="E14" s="58" t="str">
        <f t="shared" si="0"/>
        <v> </v>
      </c>
      <c r="F14" s="22">
        <f>170792+17997</f>
        <v>188789</v>
      </c>
      <c r="G14" s="21" t="s">
        <v>104</v>
      </c>
      <c r="H14" s="61">
        <v>3</v>
      </c>
      <c r="I14" s="62">
        <f t="shared" si="2"/>
        <v>0</v>
      </c>
      <c r="J14" s="62">
        <f t="shared" si="2"/>
        <v>0</v>
      </c>
      <c r="K14" s="20" t="str">
        <f t="shared" si="1"/>
        <v> </v>
      </c>
      <c r="L14" s="62">
        <f>ROUND(F14/1000,0)</f>
        <v>189</v>
      </c>
    </row>
    <row r="15" spans="1:12" ht="16.5" customHeight="1">
      <c r="A15" s="22" t="s">
        <v>105</v>
      </c>
      <c r="B15" s="56">
        <v>4</v>
      </c>
      <c r="C15" s="57">
        <f>262480+3750750</f>
        <v>4013230</v>
      </c>
      <c r="D15" s="57">
        <f>1520992</f>
        <v>1520992</v>
      </c>
      <c r="E15" s="58">
        <f t="shared" si="0"/>
        <v>0.3789944757713861</v>
      </c>
      <c r="F15" s="22">
        <f>1183798+168015</f>
        <v>1351813</v>
      </c>
      <c r="G15" s="21" t="s">
        <v>106</v>
      </c>
      <c r="H15" s="61">
        <v>4</v>
      </c>
      <c r="I15" s="62">
        <f t="shared" si="2"/>
        <v>4013</v>
      </c>
      <c r="J15" s="62">
        <f>ROUND(D15/1000,0)+1</f>
        <v>1522</v>
      </c>
      <c r="K15" s="20">
        <f t="shared" si="1"/>
        <v>0.3792673810117119</v>
      </c>
      <c r="L15" s="62">
        <f>ROUND(F15/1000,0)</f>
        <v>1352</v>
      </c>
    </row>
    <row r="16" spans="1:12" ht="18.75" customHeight="1">
      <c r="A16" s="22" t="s">
        <v>107</v>
      </c>
      <c r="B16" s="56">
        <v>5</v>
      </c>
      <c r="C16" s="57">
        <v>143111169</v>
      </c>
      <c r="D16" s="57">
        <v>87525475</v>
      </c>
      <c r="E16" s="58">
        <f t="shared" si="0"/>
        <v>0.6115908046282538</v>
      </c>
      <c r="F16" s="22">
        <f>120179</f>
        <v>120179</v>
      </c>
      <c r="G16" s="21" t="s">
        <v>107</v>
      </c>
      <c r="H16" s="61">
        <v>5</v>
      </c>
      <c r="I16" s="62">
        <f t="shared" si="2"/>
        <v>143111</v>
      </c>
      <c r="J16" s="62">
        <f>ROUND(D16/1000,0)</f>
        <v>87525</v>
      </c>
      <c r="K16" s="20">
        <f t="shared" si="1"/>
        <v>0.6115882077548197</v>
      </c>
      <c r="L16" s="62">
        <f aca="true" t="shared" si="3" ref="L16:L25">ROUND(F16/1000,0)</f>
        <v>120</v>
      </c>
    </row>
    <row r="17" spans="1:12" ht="18" customHeight="1">
      <c r="A17" s="22" t="s">
        <v>108</v>
      </c>
      <c r="B17" s="56">
        <v>6</v>
      </c>
      <c r="C17" s="57">
        <v>523210392</v>
      </c>
      <c r="D17" s="57">
        <f>359855248-10525332</f>
        <v>349329916</v>
      </c>
      <c r="E17" s="58">
        <f t="shared" si="0"/>
        <v>0.6676662416139472</v>
      </c>
      <c r="F17" s="22">
        <f>18559+282968</f>
        <v>301527</v>
      </c>
      <c r="G17" s="21" t="s">
        <v>108</v>
      </c>
      <c r="H17" s="61">
        <v>6</v>
      </c>
      <c r="I17" s="62">
        <f t="shared" si="2"/>
        <v>523210</v>
      </c>
      <c r="J17" s="62">
        <f t="shared" si="2"/>
        <v>349330</v>
      </c>
      <c r="K17" s="20">
        <f t="shared" si="1"/>
        <v>0.6676669023910093</v>
      </c>
      <c r="L17" s="62">
        <f>ROUND(F17/1000,0)-1</f>
        <v>301</v>
      </c>
    </row>
    <row r="18" spans="1:12" ht="24" customHeight="1">
      <c r="A18" s="23" t="s">
        <v>109</v>
      </c>
      <c r="B18" s="56">
        <v>7</v>
      </c>
      <c r="C18" s="57">
        <v>9102520</v>
      </c>
      <c r="D18" s="57">
        <v>5865022</v>
      </c>
      <c r="E18" s="58">
        <f t="shared" si="0"/>
        <v>0.6443294823850978</v>
      </c>
      <c r="F18" s="22">
        <f>52663</f>
        <v>52663</v>
      </c>
      <c r="G18" s="63" t="s">
        <v>109</v>
      </c>
      <c r="H18" s="61">
        <v>7</v>
      </c>
      <c r="I18" s="62">
        <f t="shared" si="2"/>
        <v>9103</v>
      </c>
      <c r="J18" s="62">
        <f t="shared" si="2"/>
        <v>5865</v>
      </c>
      <c r="K18" s="20">
        <f t="shared" si="1"/>
        <v>0.6442930901900472</v>
      </c>
      <c r="L18" s="62">
        <f t="shared" si="3"/>
        <v>53</v>
      </c>
    </row>
    <row r="19" spans="1:12" ht="15.75" customHeight="1">
      <c r="A19" s="22" t="s">
        <v>110</v>
      </c>
      <c r="B19" s="56">
        <v>8</v>
      </c>
      <c r="C19" s="57">
        <v>5043726</v>
      </c>
      <c r="D19" s="57">
        <v>3315462</v>
      </c>
      <c r="E19" s="58">
        <f t="shared" si="0"/>
        <v>0.6573437970262461</v>
      </c>
      <c r="F19" s="22">
        <f>303640+7418</f>
        <v>311058</v>
      </c>
      <c r="G19" s="21" t="s">
        <v>110</v>
      </c>
      <c r="H19" s="61">
        <v>8</v>
      </c>
      <c r="I19" s="62">
        <f t="shared" si="2"/>
        <v>5044</v>
      </c>
      <c r="J19" s="62">
        <f t="shared" si="2"/>
        <v>3315</v>
      </c>
      <c r="K19" s="20">
        <f t="shared" si="1"/>
        <v>0.6572164948453608</v>
      </c>
      <c r="L19" s="62">
        <f t="shared" si="3"/>
        <v>311</v>
      </c>
    </row>
    <row r="20" spans="1:12" ht="20.25" customHeight="1">
      <c r="A20" s="22" t="s">
        <v>111</v>
      </c>
      <c r="B20" s="56">
        <v>9</v>
      </c>
      <c r="C20" s="57"/>
      <c r="D20" s="57"/>
      <c r="E20" s="58" t="str">
        <f t="shared" si="0"/>
        <v> </v>
      </c>
      <c r="F20" s="22"/>
      <c r="G20" s="21" t="s">
        <v>111</v>
      </c>
      <c r="H20" s="61">
        <v>9</v>
      </c>
      <c r="I20" s="62">
        <f t="shared" si="2"/>
        <v>0</v>
      </c>
      <c r="J20" s="62">
        <f t="shared" si="2"/>
        <v>0</v>
      </c>
      <c r="K20" s="20" t="str">
        <f t="shared" si="1"/>
        <v> </v>
      </c>
      <c r="L20" s="62">
        <f t="shared" si="3"/>
        <v>0</v>
      </c>
    </row>
    <row r="21" spans="1:12" ht="24.75" customHeight="1">
      <c r="A21" s="23" t="s">
        <v>112</v>
      </c>
      <c r="B21" s="56">
        <v>10</v>
      </c>
      <c r="C21" s="57">
        <v>23784500</v>
      </c>
      <c r="D21" s="57">
        <v>13645942</v>
      </c>
      <c r="E21" s="58">
        <f t="shared" si="0"/>
        <v>0.5737325569173201</v>
      </c>
      <c r="F21" s="22">
        <f>44512+133851</f>
        <v>178363</v>
      </c>
      <c r="G21" s="63" t="s">
        <v>112</v>
      </c>
      <c r="H21" s="61">
        <v>10</v>
      </c>
      <c r="I21" s="62">
        <f>ROUND(C21/1000,0)-1</f>
        <v>23784</v>
      </c>
      <c r="J21" s="62">
        <f t="shared" si="2"/>
        <v>13646</v>
      </c>
      <c r="K21" s="20">
        <f t="shared" si="1"/>
        <v>0.5737470568449378</v>
      </c>
      <c r="L21" s="62">
        <f t="shared" si="3"/>
        <v>178</v>
      </c>
    </row>
    <row r="22" spans="1:12" ht="27.75" customHeight="1">
      <c r="A22" s="23" t="s">
        <v>113</v>
      </c>
      <c r="B22" s="56">
        <v>11</v>
      </c>
      <c r="C22" s="57"/>
      <c r="D22" s="57"/>
      <c r="E22" s="58" t="str">
        <f t="shared" si="0"/>
        <v> </v>
      </c>
      <c r="F22" s="22"/>
      <c r="G22" s="63" t="s">
        <v>113</v>
      </c>
      <c r="H22" s="61">
        <v>11</v>
      </c>
      <c r="I22" s="62">
        <f t="shared" si="2"/>
        <v>0</v>
      </c>
      <c r="J22" s="62">
        <f t="shared" si="2"/>
        <v>0</v>
      </c>
      <c r="K22" s="20" t="str">
        <f t="shared" si="1"/>
        <v> </v>
      </c>
      <c r="L22" s="62">
        <f t="shared" si="3"/>
        <v>0</v>
      </c>
    </row>
    <row r="23" spans="1:12" ht="18" customHeight="1">
      <c r="A23" s="22" t="s">
        <v>114</v>
      </c>
      <c r="B23" s="56">
        <v>12</v>
      </c>
      <c r="C23" s="57">
        <v>105241801</v>
      </c>
      <c r="D23" s="57">
        <f>48504557+1498196</f>
        <v>50002753</v>
      </c>
      <c r="E23" s="58">
        <f t="shared" si="0"/>
        <v>0.4751225513520051</v>
      </c>
      <c r="F23" s="22"/>
      <c r="G23" s="21" t="s">
        <v>114</v>
      </c>
      <c r="H23" s="61">
        <v>12</v>
      </c>
      <c r="I23" s="62">
        <f t="shared" si="2"/>
        <v>105242</v>
      </c>
      <c r="J23" s="62">
        <f t="shared" si="2"/>
        <v>50003</v>
      </c>
      <c r="K23" s="20">
        <f t="shared" si="1"/>
        <v>0.47512399992398474</v>
      </c>
      <c r="L23" s="62">
        <f t="shared" si="3"/>
        <v>0</v>
      </c>
    </row>
    <row r="24" spans="1:12" ht="18.75" customHeight="1">
      <c r="A24" s="22" t="s">
        <v>115</v>
      </c>
      <c r="B24" s="56">
        <v>13</v>
      </c>
      <c r="C24" s="57">
        <v>49083087</v>
      </c>
      <c r="D24" s="57">
        <f>6304629+53429</f>
        <v>6358058</v>
      </c>
      <c r="E24" s="58">
        <f t="shared" si="0"/>
        <v>0.1295366365200298</v>
      </c>
      <c r="F24" s="22">
        <f>5151+11864</f>
        <v>17015</v>
      </c>
      <c r="G24" s="21" t="s">
        <v>115</v>
      </c>
      <c r="H24" s="61">
        <v>13</v>
      </c>
      <c r="I24" s="62">
        <f t="shared" si="2"/>
        <v>49083</v>
      </c>
      <c r="J24" s="62">
        <f t="shared" si="2"/>
        <v>6358</v>
      </c>
      <c r="K24" s="20">
        <f t="shared" si="1"/>
        <v>0.12953568445286556</v>
      </c>
      <c r="L24" s="62">
        <f t="shared" si="3"/>
        <v>17</v>
      </c>
    </row>
    <row r="25" spans="1:12" ht="24" customHeight="1">
      <c r="A25" s="23" t="s">
        <v>116</v>
      </c>
      <c r="B25" s="56">
        <v>14</v>
      </c>
      <c r="C25" s="57"/>
      <c r="D25" s="57"/>
      <c r="E25" s="58" t="str">
        <f t="shared" si="0"/>
        <v> </v>
      </c>
      <c r="F25" s="22">
        <f>186584</f>
        <v>186584</v>
      </c>
      <c r="G25" s="63" t="s">
        <v>116</v>
      </c>
      <c r="H25" s="61">
        <v>14</v>
      </c>
      <c r="I25" s="62">
        <f t="shared" si="2"/>
        <v>0</v>
      </c>
      <c r="J25" s="62">
        <f t="shared" si="2"/>
        <v>0</v>
      </c>
      <c r="K25" s="20" t="str">
        <f t="shared" si="1"/>
        <v> </v>
      </c>
      <c r="L25" s="62">
        <f t="shared" si="3"/>
        <v>187</v>
      </c>
    </row>
    <row r="26" spans="2:11" ht="12.75">
      <c r="B26" s="64"/>
      <c r="C26" s="65"/>
      <c r="D26" s="65"/>
      <c r="E26" s="66"/>
      <c r="H26" s="64"/>
      <c r="I26" s="65"/>
      <c r="J26" s="65"/>
      <c r="K26" s="66"/>
    </row>
    <row r="27" spans="1:11" ht="14.25">
      <c r="A27" s="67"/>
      <c r="B27" s="68"/>
      <c r="C27" s="65"/>
      <c r="D27" s="65"/>
      <c r="E27" s="66"/>
      <c r="G27" s="67"/>
      <c r="H27" s="68"/>
      <c r="I27" s="65"/>
      <c r="J27" s="65"/>
      <c r="K27" s="66"/>
    </row>
    <row r="28" spans="1:11" ht="14.25">
      <c r="A28" s="67"/>
      <c r="B28" s="68"/>
      <c r="C28" s="65"/>
      <c r="D28" s="65"/>
      <c r="E28" s="66"/>
      <c r="G28" s="67"/>
      <c r="H28" s="68"/>
      <c r="I28" s="65"/>
      <c r="J28" s="65"/>
      <c r="K28" s="66"/>
    </row>
    <row r="29" spans="1:11" ht="14.25">
      <c r="A29" s="67"/>
      <c r="B29" s="68"/>
      <c r="C29" s="65"/>
      <c r="D29" s="65"/>
      <c r="E29" s="66"/>
      <c r="G29" s="29" t="s">
        <v>117</v>
      </c>
      <c r="H29" s="68"/>
      <c r="I29" s="65"/>
      <c r="J29" s="65"/>
      <c r="K29" s="66"/>
    </row>
    <row r="30" spans="1:11" ht="14.25">
      <c r="A30" s="67"/>
      <c r="B30" s="68"/>
      <c r="C30" s="65"/>
      <c r="D30" s="65"/>
      <c r="E30" s="66"/>
      <c r="G30" s="67"/>
      <c r="H30" s="68"/>
      <c r="I30" s="65"/>
      <c r="J30" s="65"/>
      <c r="K30" s="66"/>
    </row>
    <row r="31" spans="1:11" ht="14.25">
      <c r="A31" s="67"/>
      <c r="B31" s="68"/>
      <c r="C31" s="65"/>
      <c r="D31" s="65"/>
      <c r="E31" s="66"/>
      <c r="G31" s="67"/>
      <c r="H31" s="68"/>
      <c r="I31" s="65"/>
      <c r="J31" s="65"/>
      <c r="K31" s="66"/>
    </row>
    <row r="32" spans="1:11" ht="14.25">
      <c r="A32" s="67"/>
      <c r="B32" s="68"/>
      <c r="C32" s="65"/>
      <c r="D32" s="65"/>
      <c r="E32" s="66"/>
      <c r="G32" s="67"/>
      <c r="H32" s="68"/>
      <c r="I32" s="65"/>
      <c r="J32" s="65"/>
      <c r="K32" s="66"/>
    </row>
    <row r="33" spans="1:11" ht="14.25">
      <c r="A33" s="67"/>
      <c r="B33" s="68"/>
      <c r="C33" s="65"/>
      <c r="D33" s="65"/>
      <c r="E33" s="66"/>
      <c r="G33" s="67"/>
      <c r="H33" s="68"/>
      <c r="I33" s="65"/>
      <c r="J33" s="65"/>
      <c r="K33" s="66"/>
    </row>
    <row r="34" spans="1:11" ht="15.75" customHeight="1">
      <c r="A34" s="29" t="s">
        <v>118</v>
      </c>
      <c r="B34" s="64"/>
      <c r="C34" s="69" t="s">
        <v>119</v>
      </c>
      <c r="D34" s="69"/>
      <c r="E34" s="66"/>
      <c r="G34" s="29" t="s">
        <v>118</v>
      </c>
      <c r="H34" s="64"/>
      <c r="I34" s="69" t="s">
        <v>120</v>
      </c>
      <c r="J34" s="69"/>
      <c r="K34" s="66"/>
    </row>
    <row r="35" spans="2:11" ht="12">
      <c r="B35" s="64"/>
      <c r="C35" s="69"/>
      <c r="D35" s="69"/>
      <c r="E35" s="66"/>
      <c r="H35" s="64"/>
      <c r="I35" s="69"/>
      <c r="J35" s="69"/>
      <c r="K35" s="66"/>
    </row>
    <row r="36" spans="3:11" ht="15.75" customHeight="1">
      <c r="C36" s="69"/>
      <c r="D36" s="69"/>
      <c r="E36" s="70"/>
      <c r="I36" s="69"/>
      <c r="J36" s="69"/>
      <c r="K36" s="70"/>
    </row>
    <row r="37" spans="3:11" ht="12.75">
      <c r="C37" s="65"/>
      <c r="D37" s="65"/>
      <c r="E37" s="66"/>
      <c r="I37" s="65"/>
      <c r="J37" s="65"/>
      <c r="K37" s="66"/>
    </row>
    <row r="38" spans="3:11" ht="12.75">
      <c r="C38" s="65"/>
      <c r="D38" s="65"/>
      <c r="E38" s="66"/>
      <c r="I38" s="65"/>
      <c r="J38" s="65"/>
      <c r="K38" s="66"/>
    </row>
    <row r="39" spans="3:11" ht="12.75">
      <c r="C39" s="65"/>
      <c r="D39" s="65"/>
      <c r="E39" s="66"/>
      <c r="I39" s="65"/>
      <c r="J39" s="65"/>
      <c r="K39" s="66"/>
    </row>
    <row r="40" spans="1:11" ht="12.75">
      <c r="A40" s="29" t="s">
        <v>121</v>
      </c>
      <c r="C40" s="65"/>
      <c r="D40" s="65"/>
      <c r="E40" s="66"/>
      <c r="G40" s="29" t="s">
        <v>121</v>
      </c>
      <c r="I40" s="65"/>
      <c r="J40" s="65"/>
      <c r="K40" s="66"/>
    </row>
    <row r="41" spans="1:11" ht="12.75">
      <c r="A41" s="29" t="s">
        <v>122</v>
      </c>
      <c r="C41" s="65"/>
      <c r="D41" s="65"/>
      <c r="E41" s="66"/>
      <c r="G41" s="29" t="s">
        <v>90</v>
      </c>
      <c r="I41" s="65"/>
      <c r="J41" s="65"/>
      <c r="K41" s="66"/>
    </row>
    <row r="42" spans="3:11" ht="12.75">
      <c r="C42" s="65"/>
      <c r="D42" s="65"/>
      <c r="E42" s="66"/>
      <c r="I42" s="65"/>
      <c r="J42" s="65"/>
      <c r="K42" s="66"/>
    </row>
    <row r="43" spans="3:11" ht="12.75">
      <c r="C43" s="65"/>
      <c r="D43" s="65"/>
      <c r="E43" s="66"/>
      <c r="I43" s="65"/>
      <c r="J43" s="65"/>
      <c r="K43" s="66"/>
    </row>
    <row r="44" spans="3:11" ht="12.75">
      <c r="C44" s="65"/>
      <c r="D44" s="65"/>
      <c r="E44" s="66"/>
      <c r="I44" s="65"/>
      <c r="J44" s="65"/>
      <c r="K44" s="66"/>
    </row>
    <row r="45" spans="1:11" ht="14.25">
      <c r="A45" s="67"/>
      <c r="B45" s="67"/>
      <c r="C45" s="65"/>
      <c r="D45" s="65"/>
      <c r="E45" s="66"/>
      <c r="G45" s="67"/>
      <c r="H45" s="67"/>
      <c r="I45" s="65"/>
      <c r="J45" s="65"/>
      <c r="K45" s="66"/>
    </row>
    <row r="46" spans="3:11" ht="12.75">
      <c r="C46" s="65"/>
      <c r="D46" s="65"/>
      <c r="E46" s="66"/>
      <c r="I46" s="65"/>
      <c r="J46" s="65"/>
      <c r="K46" s="66"/>
    </row>
    <row r="47" spans="3:11" ht="12.75">
      <c r="C47" s="65"/>
      <c r="D47" s="65"/>
      <c r="E47" s="66"/>
      <c r="I47" s="65"/>
      <c r="J47" s="65"/>
      <c r="K47" s="66"/>
    </row>
    <row r="48" spans="3:11" ht="12.75">
      <c r="C48" s="65"/>
      <c r="D48" s="65"/>
      <c r="E48" s="66"/>
      <c r="I48" s="65"/>
      <c r="J48" s="65"/>
      <c r="K48" s="66"/>
    </row>
    <row r="49" spans="3:11" ht="12.75">
      <c r="C49" s="65"/>
      <c r="D49" s="65"/>
      <c r="E49" s="66"/>
      <c r="I49" s="65"/>
      <c r="J49" s="65"/>
      <c r="K49" s="66"/>
    </row>
    <row r="50" spans="3:11" ht="12.75">
      <c r="C50" s="65"/>
      <c r="D50" s="65"/>
      <c r="E50" s="66"/>
      <c r="I50" s="65"/>
      <c r="J50" s="65"/>
      <c r="K50" s="66"/>
    </row>
    <row r="51" spans="3:11" ht="12.75">
      <c r="C51" s="69"/>
      <c r="D51" s="65"/>
      <c r="E51" s="66"/>
      <c r="I51" s="69"/>
      <c r="J51" s="65"/>
      <c r="K51" s="66"/>
    </row>
    <row r="52" spans="3:11" ht="12.75">
      <c r="C52" s="69"/>
      <c r="D52" s="65"/>
      <c r="E52" s="66"/>
      <c r="I52" s="69"/>
      <c r="J52" s="65"/>
      <c r="K52" s="66"/>
    </row>
    <row r="53" spans="3:11" ht="12.75">
      <c r="C53" s="69"/>
      <c r="D53" s="65"/>
      <c r="E53" s="66"/>
      <c r="I53" s="69"/>
      <c r="J53" s="65"/>
      <c r="K53" s="66"/>
    </row>
    <row r="54" spans="3:11" ht="12.75">
      <c r="C54" s="69"/>
      <c r="D54" s="1"/>
      <c r="E54" s="66"/>
      <c r="I54" s="69"/>
      <c r="J54" s="1"/>
      <c r="K54" s="66"/>
    </row>
    <row r="55" spans="3:11" ht="12.75">
      <c r="C55" s="69"/>
      <c r="D55" s="1"/>
      <c r="E55" s="66"/>
      <c r="I55" s="69"/>
      <c r="J55" s="1"/>
      <c r="K55" s="66"/>
    </row>
    <row r="56" spans="3:11" ht="12.75">
      <c r="C56" s="69"/>
      <c r="D56" s="1"/>
      <c r="E56" s="66"/>
      <c r="I56" s="69"/>
      <c r="J56" s="1"/>
      <c r="K56" s="66"/>
    </row>
    <row r="57" spans="3:11" ht="12.75">
      <c r="C57" s="69"/>
      <c r="D57" s="1"/>
      <c r="E57" s="66"/>
      <c r="I57" s="69"/>
      <c r="J57" s="1"/>
      <c r="K57" s="66"/>
    </row>
    <row r="58" spans="3:11" ht="12.75">
      <c r="C58" s="69"/>
      <c r="D58" s="1"/>
      <c r="E58" s="66"/>
      <c r="I58" s="69"/>
      <c r="J58" s="1"/>
      <c r="K58" s="66"/>
    </row>
    <row r="59" spans="3:11" ht="12.75">
      <c r="C59" s="69"/>
      <c r="D59" s="1"/>
      <c r="E59" s="66"/>
      <c r="I59" s="69"/>
      <c r="J59" s="1"/>
      <c r="K59" s="66"/>
    </row>
    <row r="60" spans="3:11" ht="12.75">
      <c r="C60" s="69"/>
      <c r="D60" s="1"/>
      <c r="E60" s="66"/>
      <c r="I60" s="69"/>
      <c r="J60" s="1"/>
      <c r="K60" s="66"/>
    </row>
    <row r="61" spans="3:11" ht="12.75">
      <c r="C61" s="69"/>
      <c r="D61" s="1"/>
      <c r="E61" s="66"/>
      <c r="I61" s="69"/>
      <c r="J61" s="1"/>
      <c r="K61" s="66"/>
    </row>
    <row r="62" spans="3:11" ht="12.75">
      <c r="C62" s="69"/>
      <c r="D62" s="1"/>
      <c r="E62" s="66"/>
      <c r="I62" s="69"/>
      <c r="J62" s="1"/>
      <c r="K62" s="66"/>
    </row>
    <row r="63" spans="3:11" ht="12.75">
      <c r="C63" s="69"/>
      <c r="D63" s="1"/>
      <c r="E63" s="66"/>
      <c r="I63" s="69"/>
      <c r="J63" s="1"/>
      <c r="K63" s="66"/>
    </row>
    <row r="64" spans="3:11" ht="12.75">
      <c r="C64" s="69"/>
      <c r="D64" s="1"/>
      <c r="E64" s="66"/>
      <c r="I64" s="69"/>
      <c r="J64" s="1"/>
      <c r="K64" s="66"/>
    </row>
    <row r="65" spans="3:11" ht="12.75">
      <c r="C65" s="69"/>
      <c r="D65" s="1"/>
      <c r="E65" s="66"/>
      <c r="I65" s="69"/>
      <c r="J65" s="1"/>
      <c r="K65" s="66"/>
    </row>
    <row r="66" spans="3:11" ht="12.75">
      <c r="C66" s="69"/>
      <c r="D66" s="1"/>
      <c r="E66" s="66"/>
      <c r="I66" s="69"/>
      <c r="J66" s="1"/>
      <c r="K66" s="66"/>
    </row>
    <row r="67" spans="3:11" ht="12.75">
      <c r="C67" s="69"/>
      <c r="D67" s="1"/>
      <c r="E67" s="66"/>
      <c r="I67" s="69"/>
      <c r="J67" s="1"/>
      <c r="K67" s="66"/>
    </row>
    <row r="68" spans="3:11" ht="12.75">
      <c r="C68" s="69"/>
      <c r="D68" s="1"/>
      <c r="E68" s="66"/>
      <c r="I68" s="69"/>
      <c r="J68" s="1"/>
      <c r="K68" s="66"/>
    </row>
    <row r="69" spans="3:11" ht="12.75">
      <c r="C69" s="69"/>
      <c r="D69" s="1"/>
      <c r="E69" s="66"/>
      <c r="I69" s="69"/>
      <c r="J69" s="1"/>
      <c r="K69" s="66"/>
    </row>
    <row r="70" spans="3:11" ht="12.75">
      <c r="C70" s="69"/>
      <c r="D70" s="1"/>
      <c r="E70" s="66"/>
      <c r="I70" s="69"/>
      <c r="J70" s="1"/>
      <c r="K70" s="66"/>
    </row>
    <row r="71" spans="3:11" ht="12.75">
      <c r="C71" s="69"/>
      <c r="D71" s="1"/>
      <c r="E71" s="66"/>
      <c r="I71" s="69"/>
      <c r="J71" s="1"/>
      <c r="K71" s="66"/>
    </row>
    <row r="72" spans="3:11" ht="12.75">
      <c r="C72" s="69"/>
      <c r="D72" s="1"/>
      <c r="E72" s="66"/>
      <c r="I72" s="69"/>
      <c r="J72" s="1"/>
      <c r="K72" s="66"/>
    </row>
    <row r="73" spans="3:11" ht="12.75">
      <c r="C73" s="69"/>
      <c r="D73" s="1"/>
      <c r="E73" s="66"/>
      <c r="I73" s="69"/>
      <c r="J73" s="1"/>
      <c r="K73" s="66"/>
    </row>
    <row r="74" spans="3:11" ht="12">
      <c r="C74" s="69"/>
      <c r="E74" s="66"/>
      <c r="I74" s="69"/>
      <c r="K74" s="66"/>
    </row>
    <row r="75" spans="3:11" ht="12">
      <c r="C75" s="69"/>
      <c r="E75" s="66"/>
      <c r="I75" s="69"/>
      <c r="K75" s="66"/>
    </row>
    <row r="76" spans="3:11" ht="12">
      <c r="C76" s="69"/>
      <c r="E76" s="66"/>
      <c r="I76" s="69"/>
      <c r="K76" s="66"/>
    </row>
    <row r="77" spans="3:11" ht="12">
      <c r="C77" s="69"/>
      <c r="E77" s="66"/>
      <c r="I77" s="69"/>
      <c r="K77" s="66"/>
    </row>
    <row r="78" spans="3:11" ht="12">
      <c r="C78" s="69"/>
      <c r="E78" s="66"/>
      <c r="I78" s="69"/>
      <c r="K78" s="66"/>
    </row>
    <row r="79" spans="3:11" ht="12">
      <c r="C79" s="69"/>
      <c r="E79" s="66"/>
      <c r="I79" s="69"/>
      <c r="K79" s="66"/>
    </row>
    <row r="80" spans="3:11" ht="12">
      <c r="C80" s="69"/>
      <c r="E80" s="66"/>
      <c r="I80" s="69"/>
      <c r="K80" s="66"/>
    </row>
    <row r="81" spans="2:10" ht="12">
      <c r="B81" s="69"/>
      <c r="D81" s="66"/>
      <c r="H81" s="69"/>
      <c r="J81" s="66"/>
    </row>
    <row r="82" spans="2:10" ht="12">
      <c r="B82" s="69"/>
      <c r="D82" s="66"/>
      <c r="H82" s="69"/>
      <c r="J82" s="66"/>
    </row>
    <row r="83" spans="2:10" ht="12">
      <c r="B83" s="69"/>
      <c r="D83" s="66"/>
      <c r="H83" s="69"/>
      <c r="J83" s="66"/>
    </row>
    <row r="84" spans="2:10" ht="12">
      <c r="B84" s="69"/>
      <c r="D84" s="66"/>
      <c r="H84" s="69"/>
      <c r="J84" s="66"/>
    </row>
    <row r="85" spans="2:10" ht="12">
      <c r="B85" s="69"/>
      <c r="D85" s="66"/>
      <c r="H85" s="69"/>
      <c r="J85" s="66"/>
    </row>
    <row r="86" spans="2:10" ht="12">
      <c r="B86" s="69"/>
      <c r="D86" s="66"/>
      <c r="H86" s="69"/>
      <c r="J86" s="66"/>
    </row>
    <row r="87" spans="2:10" ht="12">
      <c r="B87" s="69"/>
      <c r="D87" s="66"/>
      <c r="H87" s="69"/>
      <c r="J87" s="66"/>
    </row>
    <row r="88" spans="2:10" ht="12">
      <c r="B88" s="69"/>
      <c r="D88" s="66"/>
      <c r="H88" s="69"/>
      <c r="J88" s="66"/>
    </row>
    <row r="89" spans="2:10" ht="12">
      <c r="B89" s="69"/>
      <c r="D89" s="66"/>
      <c r="H89" s="69"/>
      <c r="J89" s="66"/>
    </row>
    <row r="90" spans="2:10" ht="12">
      <c r="B90" s="69"/>
      <c r="D90" s="66"/>
      <c r="H90" s="69"/>
      <c r="J90" s="66"/>
    </row>
    <row r="91" spans="2:10" ht="12">
      <c r="B91" s="69"/>
      <c r="D91" s="66"/>
      <c r="H91" s="69"/>
      <c r="J91" s="66"/>
    </row>
    <row r="92" spans="2:10" ht="12">
      <c r="B92" s="69"/>
      <c r="D92" s="66"/>
      <c r="H92" s="69"/>
      <c r="J92" s="66"/>
    </row>
    <row r="93" spans="2:10" ht="12">
      <c r="B93" s="69"/>
      <c r="D93" s="66"/>
      <c r="H93" s="69"/>
      <c r="J93" s="66"/>
    </row>
    <row r="94" spans="2:10" ht="12">
      <c r="B94" s="69"/>
      <c r="D94" s="66"/>
      <c r="H94" s="69"/>
      <c r="J94" s="66"/>
    </row>
    <row r="95" spans="2:10" ht="12">
      <c r="B95" s="69"/>
      <c r="D95" s="66"/>
      <c r="H95" s="69"/>
      <c r="J95" s="66"/>
    </row>
    <row r="96" spans="2:10" ht="12">
      <c r="B96" s="69"/>
      <c r="D96" s="66"/>
      <c r="H96" s="69"/>
      <c r="J96" s="66"/>
    </row>
    <row r="97" spans="2:10" ht="12">
      <c r="B97" s="69"/>
      <c r="D97" s="66"/>
      <c r="H97" s="69"/>
      <c r="J97" s="66"/>
    </row>
    <row r="98" spans="2:10" ht="12">
      <c r="B98" s="69"/>
      <c r="D98" s="66"/>
      <c r="H98" s="69"/>
      <c r="J98" s="66"/>
    </row>
    <row r="99" spans="2:10" ht="12">
      <c r="B99" s="69"/>
      <c r="D99" s="66"/>
      <c r="H99" s="69"/>
      <c r="J99" s="66"/>
    </row>
    <row r="100" spans="2:10" ht="12">
      <c r="B100" s="69"/>
      <c r="D100" s="66"/>
      <c r="H100" s="69"/>
      <c r="J100" s="66"/>
    </row>
    <row r="101" spans="2:8" ht="12">
      <c r="B101" s="69"/>
      <c r="H101" s="69"/>
    </row>
    <row r="102" spans="2:8" ht="12">
      <c r="B102" s="69"/>
      <c r="H102" s="69"/>
    </row>
    <row r="103" spans="2:8" ht="12">
      <c r="B103" s="69"/>
      <c r="H103" s="69"/>
    </row>
    <row r="104" spans="2:8" ht="12">
      <c r="B104" s="69"/>
      <c r="H104" s="69"/>
    </row>
    <row r="105" spans="2:8" ht="12">
      <c r="B105" s="69"/>
      <c r="H105" s="69"/>
    </row>
    <row r="106" spans="2:8" ht="12">
      <c r="B106" s="69"/>
      <c r="H106" s="69"/>
    </row>
    <row r="107" spans="2:8" ht="12">
      <c r="B107" s="69"/>
      <c r="H107" s="69"/>
    </row>
    <row r="108" spans="2:8" ht="12">
      <c r="B108" s="69"/>
      <c r="H108" s="69"/>
    </row>
    <row r="109" spans="2:8" ht="12">
      <c r="B109" s="69"/>
      <c r="H109" s="69"/>
    </row>
    <row r="236" spans="1:12" ht="12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2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2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2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2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2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2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2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2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1:12" ht="12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1:12" ht="1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1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12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1:12" ht="1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1:12" ht="12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1:12" ht="12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1:12" ht="12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ht="12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  <row r="257" spans="1:12" ht="12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</row>
    <row r="258" spans="1:12" ht="12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</row>
    <row r="259" spans="1:12" ht="12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</row>
    <row r="260" spans="1:12" ht="12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</row>
    <row r="261" spans="1:12" ht="12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</row>
    <row r="262" spans="1:12" ht="1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</row>
  </sheetData>
  <mergeCells count="2">
    <mergeCell ref="G3:L3"/>
    <mergeCell ref="G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">
      <selection activeCell="A23" sqref="A23"/>
    </sheetView>
  </sheetViews>
  <sheetFormatPr defaultColWidth="9.140625" defaultRowHeight="12.75"/>
  <cols>
    <col min="1" max="1" width="58.57421875" style="296" customWidth="1"/>
    <col min="2" max="2" width="9.8515625" style="296" customWidth="1"/>
    <col min="3" max="3" width="11.00390625" style="296" customWidth="1"/>
    <col min="4" max="4" width="10.421875" style="296" customWidth="1"/>
    <col min="5" max="5" width="11.140625" style="296" customWidth="1"/>
    <col min="6" max="16384" width="8.00390625" style="296" customWidth="1"/>
  </cols>
  <sheetData>
    <row r="1" spans="1:5" ht="12.75">
      <c r="A1" s="294" t="s">
        <v>1</v>
      </c>
      <c r="B1" s="294"/>
      <c r="C1" s="294"/>
      <c r="D1" s="294"/>
      <c r="E1" s="295" t="s">
        <v>444</v>
      </c>
    </row>
    <row r="2" spans="1:5" ht="12.75">
      <c r="A2" s="297"/>
      <c r="B2" s="297"/>
      <c r="C2" s="297"/>
      <c r="D2" s="297"/>
      <c r="E2" s="297"/>
    </row>
    <row r="3" spans="1:5" ht="18">
      <c r="A3" s="298" t="s">
        <v>445</v>
      </c>
      <c r="B3" s="299"/>
      <c r="C3" s="294"/>
      <c r="D3" s="294"/>
      <c r="E3" s="294"/>
    </row>
    <row r="4" spans="1:5" ht="18">
      <c r="A4" s="298" t="s">
        <v>446</v>
      </c>
      <c r="B4" s="299"/>
      <c r="C4" s="294"/>
      <c r="D4" s="294"/>
      <c r="E4" s="294"/>
    </row>
    <row r="5" spans="1:5" ht="18">
      <c r="A5" s="299"/>
      <c r="B5" s="299"/>
      <c r="C5" s="294"/>
      <c r="D5" s="300"/>
      <c r="E5" s="300" t="s">
        <v>4</v>
      </c>
    </row>
    <row r="6" spans="1:5" ht="35.25" customHeight="1">
      <c r="A6" s="301" t="s">
        <v>5</v>
      </c>
      <c r="B6" s="301" t="s">
        <v>447</v>
      </c>
      <c r="C6" s="301" t="s">
        <v>7</v>
      </c>
      <c r="D6" s="301" t="s">
        <v>8</v>
      </c>
      <c r="E6" s="301" t="s">
        <v>130</v>
      </c>
    </row>
    <row r="7" spans="1:5" s="302" customFormat="1" ht="12.75" customHeight="1">
      <c r="A7" s="301">
        <v>1</v>
      </c>
      <c r="B7" s="301">
        <v>2</v>
      </c>
      <c r="C7" s="301">
        <v>3</v>
      </c>
      <c r="D7" s="301">
        <v>4</v>
      </c>
      <c r="E7" s="301">
        <v>5</v>
      </c>
    </row>
    <row r="8" spans="1:5" ht="16.5" customHeight="1">
      <c r="A8" s="303" t="s">
        <v>448</v>
      </c>
      <c r="B8" s="304">
        <f>B16+B20</f>
        <v>397728</v>
      </c>
      <c r="C8" s="304">
        <f>C16+C20</f>
        <v>271539</v>
      </c>
      <c r="D8" s="305">
        <f aca="true" t="shared" si="0" ref="D8:D24">C8/B8*100</f>
        <v>68.27</v>
      </c>
      <c r="E8" s="304">
        <f>E16+E20</f>
        <v>30617</v>
      </c>
    </row>
    <row r="9" spans="1:5" ht="12">
      <c r="A9" s="306" t="s">
        <v>449</v>
      </c>
      <c r="B9" s="304">
        <f>SUM(B10:B13)</f>
        <v>386817</v>
      </c>
      <c r="C9" s="304">
        <f>SUM(C10:C13)</f>
        <v>262860</v>
      </c>
      <c r="D9" s="305">
        <f t="shared" si="0"/>
        <v>67.95</v>
      </c>
      <c r="E9" s="304">
        <f>SUM(E10:E13)</f>
        <v>29299</v>
      </c>
    </row>
    <row r="10" spans="1:5" ht="12">
      <c r="A10" s="306" t="s">
        <v>450</v>
      </c>
      <c r="B10" s="304">
        <v>214438</v>
      </c>
      <c r="C10" s="304">
        <v>147106</v>
      </c>
      <c r="D10" s="305">
        <f t="shared" si="0"/>
        <v>68.6</v>
      </c>
      <c r="E10" s="304">
        <v>18117</v>
      </c>
    </row>
    <row r="11" spans="1:5" ht="12">
      <c r="A11" s="306" t="s">
        <v>451</v>
      </c>
      <c r="B11" s="304">
        <v>17964</v>
      </c>
      <c r="C11" s="304">
        <v>11590</v>
      </c>
      <c r="D11" s="305">
        <f t="shared" si="0"/>
        <v>64.52</v>
      </c>
      <c r="E11" s="304">
        <v>1120</v>
      </c>
    </row>
    <row r="12" spans="1:5" ht="12">
      <c r="A12" s="306" t="s">
        <v>452</v>
      </c>
      <c r="B12" s="304">
        <v>24804</v>
      </c>
      <c r="C12" s="304">
        <v>16740</v>
      </c>
      <c r="D12" s="305">
        <f t="shared" si="0"/>
        <v>67.49</v>
      </c>
      <c r="E12" s="304">
        <v>2063</v>
      </c>
    </row>
    <row r="13" spans="1:5" ht="12">
      <c r="A13" s="306" t="s">
        <v>453</v>
      </c>
      <c r="B13" s="304">
        <v>129611</v>
      </c>
      <c r="C13" s="304">
        <v>87424</v>
      </c>
      <c r="D13" s="305">
        <f t="shared" si="0"/>
        <v>67.45</v>
      </c>
      <c r="E13" s="304">
        <v>7999</v>
      </c>
    </row>
    <row r="14" spans="1:5" ht="12">
      <c r="A14" s="307" t="s">
        <v>454</v>
      </c>
      <c r="B14" s="304">
        <v>6095</v>
      </c>
      <c r="C14" s="304">
        <v>3470</v>
      </c>
      <c r="D14" s="305">
        <f t="shared" si="0"/>
        <v>56.93</v>
      </c>
      <c r="E14" s="304">
        <v>577</v>
      </c>
    </row>
    <row r="15" spans="1:5" ht="22.5">
      <c r="A15" s="307" t="s">
        <v>455</v>
      </c>
      <c r="B15" s="304">
        <v>24052</v>
      </c>
      <c r="C15" s="304">
        <v>15805</v>
      </c>
      <c r="D15" s="305">
        <f t="shared" si="0"/>
        <v>65.71</v>
      </c>
      <c r="E15" s="304">
        <v>2049</v>
      </c>
    </row>
    <row r="16" spans="1:5" ht="19.5" customHeight="1">
      <c r="A16" s="303" t="s">
        <v>456</v>
      </c>
      <c r="B16" s="304">
        <f>B9-B15-B14</f>
        <v>356670</v>
      </c>
      <c r="C16" s="304">
        <f>C9-C15-C14</f>
        <v>243585</v>
      </c>
      <c r="D16" s="305">
        <f t="shared" si="0"/>
        <v>68.29</v>
      </c>
      <c r="E16" s="304">
        <f>E9-E15-E14</f>
        <v>26673</v>
      </c>
    </row>
    <row r="17" spans="1:5" ht="12">
      <c r="A17" s="306" t="s">
        <v>457</v>
      </c>
      <c r="B17" s="304">
        <f>SUM(B18:B19)</f>
        <v>41058</v>
      </c>
      <c r="C17" s="304">
        <f>SUM(C18:C19)</f>
        <v>27954</v>
      </c>
      <c r="D17" s="305">
        <f t="shared" si="0"/>
        <v>68.08</v>
      </c>
      <c r="E17" s="304">
        <f>SUM(E18:E19)</f>
        <v>3944</v>
      </c>
    </row>
    <row r="18" spans="1:5" ht="12">
      <c r="A18" s="306" t="s">
        <v>458</v>
      </c>
      <c r="B18" s="304">
        <v>36936</v>
      </c>
      <c r="C18" s="304">
        <v>23637</v>
      </c>
      <c r="D18" s="305">
        <f t="shared" si="0"/>
        <v>63.99</v>
      </c>
      <c r="E18" s="304">
        <v>3063</v>
      </c>
    </row>
    <row r="19" spans="1:5" ht="12">
      <c r="A19" s="306" t="s">
        <v>459</v>
      </c>
      <c r="B19" s="304">
        <v>4122</v>
      </c>
      <c r="C19" s="304">
        <v>4317</v>
      </c>
      <c r="D19" s="305">
        <f t="shared" si="0"/>
        <v>104.73</v>
      </c>
      <c r="E19" s="304">
        <v>881</v>
      </c>
    </row>
    <row r="20" spans="1:5" ht="23.25" customHeight="1">
      <c r="A20" s="303" t="s">
        <v>460</v>
      </c>
      <c r="B20" s="304">
        <v>41058</v>
      </c>
      <c r="C20" s="304">
        <v>27954</v>
      </c>
      <c r="D20" s="305">
        <f t="shared" si="0"/>
        <v>68.08</v>
      </c>
      <c r="E20" s="304">
        <v>3944</v>
      </c>
    </row>
    <row r="21" spans="1:5" ht="35.25" customHeight="1">
      <c r="A21" s="303" t="s">
        <v>461</v>
      </c>
      <c r="B21" s="304">
        <f>SUM(B22:B24)</f>
        <v>409606</v>
      </c>
      <c r="C21" s="304">
        <f>SUM(C22:C24)</f>
        <v>268419</v>
      </c>
      <c r="D21" s="305">
        <f t="shared" si="0"/>
        <v>65.53</v>
      </c>
      <c r="E21" s="304">
        <f>SUM(E22:E24)</f>
        <v>30444</v>
      </c>
    </row>
    <row r="22" spans="1:5" ht="34.5" customHeight="1">
      <c r="A22" s="308" t="s">
        <v>462</v>
      </c>
      <c r="B22" s="304">
        <f aca="true" t="shared" si="1" ref="B22:C24">B34+B43</f>
        <v>359639</v>
      </c>
      <c r="C22" s="304">
        <f t="shared" si="1"/>
        <v>225443</v>
      </c>
      <c r="D22" s="305">
        <f t="shared" si="0"/>
        <v>62.69</v>
      </c>
      <c r="E22" s="304">
        <f>E34+E43</f>
        <v>22994</v>
      </c>
    </row>
    <row r="23" spans="1:5" ht="30.75" customHeight="1">
      <c r="A23" s="308" t="s">
        <v>463</v>
      </c>
      <c r="B23" s="304">
        <f t="shared" si="1"/>
        <v>31927</v>
      </c>
      <c r="C23" s="304">
        <f t="shared" si="1"/>
        <v>17678</v>
      </c>
      <c r="D23" s="305">
        <f t="shared" si="0"/>
        <v>55.37</v>
      </c>
      <c r="E23" s="304">
        <f>E35+E44</f>
        <v>2913</v>
      </c>
    </row>
    <row r="24" spans="1:5" ht="31.5" customHeight="1">
      <c r="A24" s="308" t="s">
        <v>464</v>
      </c>
      <c r="B24" s="304">
        <f t="shared" si="1"/>
        <v>18040</v>
      </c>
      <c r="C24" s="304">
        <f t="shared" si="1"/>
        <v>25298</v>
      </c>
      <c r="D24" s="305">
        <f t="shared" si="0"/>
        <v>140.23</v>
      </c>
      <c r="E24" s="304">
        <f>E36+E45</f>
        <v>4537</v>
      </c>
    </row>
    <row r="25" spans="1:5" ht="59.25" customHeight="1">
      <c r="A25" s="303" t="s">
        <v>465</v>
      </c>
      <c r="B25" s="304">
        <f>B8-B21</f>
        <v>-11878</v>
      </c>
      <c r="C25" s="304">
        <f>C8-C21</f>
        <v>3120</v>
      </c>
      <c r="D25" s="304"/>
      <c r="E25" s="304">
        <f>E8-E21</f>
        <v>173</v>
      </c>
    </row>
    <row r="26" spans="1:5" ht="30" customHeight="1">
      <c r="A26" s="303" t="s">
        <v>466</v>
      </c>
      <c r="B26" s="304">
        <f>B38+B47</f>
        <v>-5742</v>
      </c>
      <c r="C26" s="304">
        <f>C38+C47</f>
        <v>481</v>
      </c>
      <c r="D26" s="304"/>
      <c r="E26" s="304">
        <f>E38+E47</f>
        <v>358</v>
      </c>
    </row>
    <row r="27" spans="1:5" ht="38.25" customHeight="1">
      <c r="A27" s="303" t="s">
        <v>467</v>
      </c>
      <c r="B27" s="304">
        <f>B21+B26</f>
        <v>403864</v>
      </c>
      <c r="C27" s="304">
        <f>C21+C26</f>
        <v>268900</v>
      </c>
      <c r="D27" s="305">
        <f>C27/B27*100</f>
        <v>66.58</v>
      </c>
      <c r="E27" s="304">
        <f>E21+E26</f>
        <v>30802</v>
      </c>
    </row>
    <row r="28" spans="1:5" ht="41.25" customHeight="1">
      <c r="A28" s="303" t="s">
        <v>468</v>
      </c>
      <c r="B28" s="304">
        <f>SUM(B25-B26)</f>
        <v>-6136</v>
      </c>
      <c r="C28" s="304">
        <f>SUM(C25-C26)</f>
        <v>2639</v>
      </c>
      <c r="D28" s="304"/>
      <c r="E28" s="304">
        <f>SUM(E25-E26)</f>
        <v>-185</v>
      </c>
    </row>
    <row r="29" spans="1:5" ht="18.75" customHeight="1">
      <c r="A29" s="309" t="s">
        <v>469</v>
      </c>
      <c r="B29" s="304">
        <f>SUM(B32+B35+B36)</f>
        <v>385769</v>
      </c>
      <c r="C29" s="304">
        <f>SUM(C32+C35+C36)</f>
        <v>258214</v>
      </c>
      <c r="D29" s="305">
        <f aca="true" t="shared" si="2" ref="D29:D36">C29/B29*100</f>
        <v>66.93</v>
      </c>
      <c r="E29" s="304">
        <f>SUM(E32+E35+E36)</f>
        <v>28616</v>
      </c>
    </row>
    <row r="30" spans="1:5" ht="12">
      <c r="A30" s="307" t="s">
        <v>470</v>
      </c>
      <c r="B30" s="304">
        <v>30147</v>
      </c>
      <c r="C30" s="304">
        <v>19275</v>
      </c>
      <c r="D30" s="305">
        <f t="shared" si="2"/>
        <v>63.94</v>
      </c>
      <c r="E30" s="304">
        <v>2626</v>
      </c>
    </row>
    <row r="31" spans="1:5" ht="17.25" customHeight="1">
      <c r="A31" s="309" t="s">
        <v>471</v>
      </c>
      <c r="B31" s="304">
        <f>SUM(B29-B30)</f>
        <v>355622</v>
      </c>
      <c r="C31" s="304">
        <f>SUM(C29-C30)</f>
        <v>238939</v>
      </c>
      <c r="D31" s="305">
        <f t="shared" si="2"/>
        <v>67.19</v>
      </c>
      <c r="E31" s="304">
        <f>SUM(E29-E30)</f>
        <v>25990</v>
      </c>
    </row>
    <row r="32" spans="1:5" ht="15.75" customHeight="1">
      <c r="A32" s="310" t="s">
        <v>472</v>
      </c>
      <c r="B32" s="304">
        <v>351932</v>
      </c>
      <c r="C32" s="304">
        <v>223136</v>
      </c>
      <c r="D32" s="305">
        <f t="shared" si="2"/>
        <v>63.4</v>
      </c>
      <c r="E32" s="304">
        <v>22500</v>
      </c>
    </row>
    <row r="33" spans="1:5" ht="12">
      <c r="A33" s="307" t="s">
        <v>470</v>
      </c>
      <c r="B33" s="304">
        <v>30147</v>
      </c>
      <c r="C33" s="304">
        <v>19275</v>
      </c>
      <c r="D33" s="305">
        <f t="shared" si="2"/>
        <v>63.94</v>
      </c>
      <c r="E33" s="304">
        <v>2626</v>
      </c>
    </row>
    <row r="34" spans="1:5" ht="12">
      <c r="A34" s="310" t="s">
        <v>473</v>
      </c>
      <c r="B34" s="304">
        <f>B32-B33</f>
        <v>321785</v>
      </c>
      <c r="C34" s="304">
        <f>C32-C33</f>
        <v>203861</v>
      </c>
      <c r="D34" s="305">
        <f t="shared" si="2"/>
        <v>63.35</v>
      </c>
      <c r="E34" s="304">
        <f>E32-E33</f>
        <v>19874</v>
      </c>
    </row>
    <row r="35" spans="1:5" ht="12">
      <c r="A35" s="310" t="s">
        <v>474</v>
      </c>
      <c r="B35" s="304">
        <v>18203</v>
      </c>
      <c r="C35" s="304">
        <v>11272</v>
      </c>
      <c r="D35" s="305">
        <f t="shared" si="2"/>
        <v>61.92</v>
      </c>
      <c r="E35" s="304">
        <v>1600</v>
      </c>
    </row>
    <row r="36" spans="1:5" ht="12">
      <c r="A36" s="310" t="s">
        <v>475</v>
      </c>
      <c r="B36" s="304">
        <v>15634</v>
      </c>
      <c r="C36" s="304">
        <v>23806</v>
      </c>
      <c r="D36" s="305">
        <f t="shared" si="2"/>
        <v>152.27</v>
      </c>
      <c r="E36" s="304">
        <v>4516</v>
      </c>
    </row>
    <row r="37" spans="1:5" s="311" customFormat="1" ht="42" customHeight="1">
      <c r="A37" s="303" t="s">
        <v>476</v>
      </c>
      <c r="B37" s="304">
        <f>B16-B31</f>
        <v>1048</v>
      </c>
      <c r="C37" s="304">
        <f>C16-C31</f>
        <v>4646</v>
      </c>
      <c r="D37" s="305"/>
      <c r="E37" s="304">
        <f>E16-E31</f>
        <v>683</v>
      </c>
    </row>
    <row r="38" spans="1:5" s="311" customFormat="1" ht="27" customHeight="1">
      <c r="A38" s="309" t="s">
        <v>477</v>
      </c>
      <c r="B38" s="304">
        <f>B39-B40</f>
        <v>-141</v>
      </c>
      <c r="C38" s="304">
        <f>C39-C40</f>
        <v>787</v>
      </c>
      <c r="D38" s="304"/>
      <c r="E38" s="304">
        <f>E39-E40</f>
        <v>-22</v>
      </c>
    </row>
    <row r="39" spans="1:5" s="311" customFormat="1" ht="15.75" customHeight="1">
      <c r="A39" s="310" t="s">
        <v>478</v>
      </c>
      <c r="B39" s="304">
        <v>788</v>
      </c>
      <c r="C39" s="304">
        <v>1173</v>
      </c>
      <c r="D39" s="304"/>
      <c r="E39" s="304">
        <v>32</v>
      </c>
    </row>
    <row r="40" spans="1:5" s="311" customFormat="1" ht="18" customHeight="1">
      <c r="A40" s="310" t="s">
        <v>479</v>
      </c>
      <c r="B40" s="304">
        <v>929</v>
      </c>
      <c r="C40" s="304">
        <v>386</v>
      </c>
      <c r="D40" s="304"/>
      <c r="E40" s="304">
        <v>54</v>
      </c>
    </row>
    <row r="41" spans="1:5" s="311" customFormat="1" ht="38.25" customHeight="1">
      <c r="A41" s="303" t="s">
        <v>480</v>
      </c>
      <c r="B41" s="304">
        <f>SUM(B37-B38)</f>
        <v>1189</v>
      </c>
      <c r="C41" s="304">
        <f>SUM(C37-C38)</f>
        <v>3859</v>
      </c>
      <c r="D41" s="305"/>
      <c r="E41" s="304">
        <f>SUM(E37-E38)</f>
        <v>705</v>
      </c>
    </row>
    <row r="42" spans="1:5" s="311" customFormat="1" ht="23.25" customHeight="1">
      <c r="A42" s="309" t="s">
        <v>481</v>
      </c>
      <c r="B42" s="304">
        <f>SUM(B43:B45)</f>
        <v>53984</v>
      </c>
      <c r="C42" s="304">
        <f>SUM(C43:C45)</f>
        <v>29480</v>
      </c>
      <c r="D42" s="305">
        <f>C42/B42*100</f>
        <v>54.61</v>
      </c>
      <c r="E42" s="304">
        <f>SUM(E43:E45)</f>
        <v>4454</v>
      </c>
    </row>
    <row r="43" spans="1:5" s="311" customFormat="1" ht="12">
      <c r="A43" s="310" t="s">
        <v>482</v>
      </c>
      <c r="B43" s="304">
        <v>37854</v>
      </c>
      <c r="C43" s="304">
        <v>21582</v>
      </c>
      <c r="D43" s="305">
        <f>C43/B43*100</f>
        <v>57.01</v>
      </c>
      <c r="E43" s="304">
        <v>3120</v>
      </c>
    </row>
    <row r="44" spans="1:5" s="311" customFormat="1" ht="12">
      <c r="A44" s="310" t="s">
        <v>483</v>
      </c>
      <c r="B44" s="304">
        <v>13724</v>
      </c>
      <c r="C44" s="304">
        <v>6406</v>
      </c>
      <c r="D44" s="305">
        <f>C44/B44*100</f>
        <v>46.68</v>
      </c>
      <c r="E44" s="304">
        <v>1313</v>
      </c>
    </row>
    <row r="45" spans="1:5" s="311" customFormat="1" ht="12">
      <c r="A45" s="310" t="s">
        <v>484</v>
      </c>
      <c r="B45" s="304">
        <v>2406</v>
      </c>
      <c r="C45" s="304">
        <v>1492</v>
      </c>
      <c r="D45" s="305">
        <f>C45/B45*100</f>
        <v>62.01</v>
      </c>
      <c r="E45" s="304">
        <v>21</v>
      </c>
    </row>
    <row r="46" spans="1:14" s="311" customFormat="1" ht="46.5" customHeight="1">
      <c r="A46" s="303" t="s">
        <v>485</v>
      </c>
      <c r="B46" s="304">
        <f>SUM(B20-B42)</f>
        <v>-12926</v>
      </c>
      <c r="C46" s="304">
        <f>SUM(C20-C42)</f>
        <v>-1526</v>
      </c>
      <c r="D46" s="304"/>
      <c r="E46" s="304">
        <f>SUM(E20-E42)</f>
        <v>-510</v>
      </c>
      <c r="N46" s="297"/>
    </row>
    <row r="47" spans="1:5" s="311" customFormat="1" ht="18.75" customHeight="1">
      <c r="A47" s="309" t="s">
        <v>486</v>
      </c>
      <c r="B47" s="304">
        <f>B48-B49</f>
        <v>-5601</v>
      </c>
      <c r="C47" s="304">
        <f>C48-C49</f>
        <v>-306</v>
      </c>
      <c r="D47" s="304"/>
      <c r="E47" s="304">
        <f>E48-E49</f>
        <v>380</v>
      </c>
    </row>
    <row r="48" spans="1:5" s="311" customFormat="1" ht="12">
      <c r="A48" s="310" t="s">
        <v>487</v>
      </c>
      <c r="B48" s="304">
        <v>1463</v>
      </c>
      <c r="C48" s="304">
        <v>2598</v>
      </c>
      <c r="D48" s="304"/>
      <c r="E48" s="304">
        <v>419</v>
      </c>
    </row>
    <row r="49" spans="1:5" s="311" customFormat="1" ht="12">
      <c r="A49" s="310" t="s">
        <v>488</v>
      </c>
      <c r="B49" s="304">
        <v>7064</v>
      </c>
      <c r="C49" s="304">
        <v>2904</v>
      </c>
      <c r="E49" s="304">
        <v>39</v>
      </c>
    </row>
    <row r="50" spans="1:5" s="311" customFormat="1" ht="46.5" customHeight="1">
      <c r="A50" s="303" t="s">
        <v>489</v>
      </c>
      <c r="B50" s="304">
        <f>SUM(B46-B47)</f>
        <v>-7325</v>
      </c>
      <c r="C50" s="304">
        <f>SUM(C46-C47)</f>
        <v>-1220</v>
      </c>
      <c r="E50" s="304">
        <f>SUM(E46-E47)</f>
        <v>-890</v>
      </c>
    </row>
    <row r="51" s="297" customFormat="1" ht="12.75">
      <c r="A51" s="312"/>
    </row>
    <row r="52" s="297" customFormat="1" ht="12.75">
      <c r="A52" s="312"/>
    </row>
    <row r="53" s="297" customFormat="1" ht="12.75">
      <c r="A53" s="312"/>
    </row>
    <row r="54" s="297" customFormat="1" ht="12.75">
      <c r="A54" s="312"/>
    </row>
    <row r="55" s="297" customFormat="1" ht="12.75">
      <c r="A55" s="312"/>
    </row>
    <row r="56" s="297" customFormat="1" ht="12.75">
      <c r="A56" s="312"/>
    </row>
    <row r="57" spans="1:4" s="297" customFormat="1" ht="12.75">
      <c r="A57" s="313" t="s">
        <v>490</v>
      </c>
      <c r="B57" s="314"/>
      <c r="C57" s="315"/>
      <c r="D57" s="315" t="s">
        <v>491</v>
      </c>
    </row>
    <row r="58" s="297" customFormat="1" ht="12.75">
      <c r="A58" s="312"/>
    </row>
    <row r="59" s="297" customFormat="1" ht="12.75">
      <c r="A59" s="312"/>
    </row>
    <row r="60" s="297" customFormat="1" ht="12.75">
      <c r="A60" s="312"/>
    </row>
    <row r="61" s="297" customFormat="1" ht="12.75">
      <c r="A61" s="312"/>
    </row>
    <row r="62" s="297" customFormat="1" ht="12.75">
      <c r="A62" s="312"/>
    </row>
    <row r="63" s="297" customFormat="1" ht="12.75">
      <c r="A63" s="312"/>
    </row>
    <row r="64" s="297" customFormat="1" ht="12.75">
      <c r="A64" s="312"/>
    </row>
    <row r="65" s="297" customFormat="1" ht="12.75">
      <c r="A65" s="312"/>
    </row>
    <row r="66" s="297" customFormat="1" ht="12.75">
      <c r="A66" s="312"/>
    </row>
    <row r="67" s="297" customFormat="1" ht="12.75">
      <c r="A67" s="312"/>
    </row>
    <row r="68" s="297" customFormat="1" ht="12.75">
      <c r="A68" s="312"/>
    </row>
    <row r="69" s="297" customFormat="1" ht="12.75">
      <c r="A69" s="316" t="s">
        <v>492</v>
      </c>
    </row>
    <row r="70" s="297" customFormat="1" ht="12.75">
      <c r="A70" s="316" t="s">
        <v>493</v>
      </c>
    </row>
    <row r="71" s="297" customFormat="1" ht="12.75"/>
    <row r="72" s="297" customFormat="1" ht="12.75">
      <c r="A72" s="312"/>
    </row>
    <row r="73" s="297" customFormat="1" ht="12.75">
      <c r="A73" s="312"/>
    </row>
    <row r="74" s="297" customFormat="1" ht="12.75">
      <c r="A74" s="312"/>
    </row>
    <row r="75" s="297" customFormat="1" ht="12.75">
      <c r="A75" s="312"/>
    </row>
    <row r="76" s="297" customFormat="1" ht="12.75">
      <c r="A76" s="312"/>
    </row>
    <row r="77" s="297" customFormat="1" ht="12.75">
      <c r="A77" s="312"/>
    </row>
    <row r="78" s="297" customFormat="1" ht="12.75">
      <c r="A78" s="312"/>
    </row>
    <row r="79" ht="11.25">
      <c r="A79" s="317"/>
    </row>
    <row r="80" ht="11.25">
      <c r="A80" s="317"/>
    </row>
    <row r="81" ht="11.25">
      <c r="A81" s="317"/>
    </row>
    <row r="82" ht="11.25">
      <c r="A82" s="317"/>
    </row>
    <row r="83" ht="11.25">
      <c r="A83" s="317"/>
    </row>
    <row r="84" ht="11.25">
      <c r="A84" s="317"/>
    </row>
    <row r="85" ht="11.25">
      <c r="A85" s="317"/>
    </row>
    <row r="86" ht="11.25">
      <c r="A86" s="317"/>
    </row>
    <row r="87" ht="11.25">
      <c r="A87" s="317"/>
    </row>
    <row r="88" ht="11.25">
      <c r="A88" s="317"/>
    </row>
    <row r="89" ht="11.25">
      <c r="A89" s="317"/>
    </row>
    <row r="90" ht="11.25">
      <c r="A90" s="317"/>
    </row>
    <row r="91" ht="11.25">
      <c r="A91" s="317"/>
    </row>
    <row r="92" ht="11.25">
      <c r="A92" s="317"/>
    </row>
    <row r="93" ht="11.25">
      <c r="A93" s="317"/>
    </row>
    <row r="94" ht="11.25">
      <c r="A94" s="317"/>
    </row>
    <row r="95" ht="11.25">
      <c r="A95" s="317"/>
    </row>
    <row r="96" ht="11.25">
      <c r="A96" s="317"/>
    </row>
    <row r="97" ht="11.25">
      <c r="A97" s="317"/>
    </row>
    <row r="98" ht="11.25">
      <c r="A98" s="317"/>
    </row>
    <row r="99" ht="11.25">
      <c r="A99" s="317"/>
    </row>
    <row r="100" ht="11.25">
      <c r="A100" s="317"/>
    </row>
    <row r="101" ht="11.25">
      <c r="A101" s="317"/>
    </row>
    <row r="102" ht="11.25">
      <c r="A102" s="317"/>
    </row>
    <row r="103" ht="11.25">
      <c r="A103" s="317"/>
    </row>
    <row r="104" ht="11.25">
      <c r="A104" s="317"/>
    </row>
    <row r="105" ht="11.25">
      <c r="A105" s="317"/>
    </row>
    <row r="106" ht="11.25">
      <c r="A106" s="317"/>
    </row>
    <row r="107" ht="11.25">
      <c r="A107" s="317"/>
    </row>
    <row r="108" ht="11.25">
      <c r="A108" s="317"/>
    </row>
    <row r="109" ht="11.25">
      <c r="A109" s="317"/>
    </row>
    <row r="110" ht="11.25">
      <c r="A110" s="317"/>
    </row>
    <row r="111" ht="11.25">
      <c r="A111" s="317"/>
    </row>
    <row r="112" ht="11.25">
      <c r="A112" s="317"/>
    </row>
    <row r="113" ht="11.25">
      <c r="A113" s="317"/>
    </row>
    <row r="114" ht="11.25">
      <c r="A114" s="317"/>
    </row>
    <row r="115" ht="11.25">
      <c r="A115" s="317"/>
    </row>
    <row r="116" ht="11.25">
      <c r="A116" s="317"/>
    </row>
    <row r="117" ht="11.25">
      <c r="A117" s="317"/>
    </row>
    <row r="118" ht="11.25">
      <c r="A118" s="317"/>
    </row>
    <row r="119" ht="11.25">
      <c r="A119" s="317"/>
    </row>
    <row r="120" ht="11.25">
      <c r="A120" s="317"/>
    </row>
    <row r="121" ht="11.25">
      <c r="A121" s="317"/>
    </row>
    <row r="122" ht="11.25">
      <c r="A122" s="317"/>
    </row>
    <row r="123" ht="11.25">
      <c r="A123" s="317"/>
    </row>
    <row r="124" ht="11.25">
      <c r="A124" s="317"/>
    </row>
    <row r="125" ht="11.25">
      <c r="A125" s="317"/>
    </row>
  </sheetData>
  <printOptions/>
  <pageMargins left="0.4" right="0.31" top="0.5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7">
      <selection activeCell="A23" sqref="A23"/>
    </sheetView>
  </sheetViews>
  <sheetFormatPr defaultColWidth="9.140625" defaultRowHeight="12.75"/>
  <cols>
    <col min="1" max="1" width="37.57421875" style="324" customWidth="1"/>
    <col min="2" max="5" width="12.7109375" style="296" customWidth="1"/>
    <col min="6" max="16384" width="7.421875" style="296" customWidth="1"/>
  </cols>
  <sheetData>
    <row r="1" spans="1:5" ht="12.75">
      <c r="A1" s="318" t="s">
        <v>494</v>
      </c>
      <c r="B1" s="318"/>
      <c r="C1" s="294"/>
      <c r="D1" s="294"/>
      <c r="E1" s="294" t="s">
        <v>495</v>
      </c>
    </row>
    <row r="2" spans="1:7" s="294" customFormat="1" ht="12.75">
      <c r="A2" s="318"/>
      <c r="B2" s="318"/>
      <c r="E2" s="319"/>
      <c r="G2" s="318" t="s">
        <v>496</v>
      </c>
    </row>
    <row r="4" spans="1:6" s="323" customFormat="1" ht="15.75">
      <c r="A4" s="320" t="s">
        <v>497</v>
      </c>
      <c r="B4" s="321"/>
      <c r="C4" s="322"/>
      <c r="D4" s="322"/>
      <c r="E4" s="322"/>
      <c r="F4" s="322"/>
    </row>
    <row r="5" spans="1:6" s="323" customFormat="1" ht="15.75">
      <c r="A5" s="320" t="s">
        <v>498</v>
      </c>
      <c r="B5" s="321"/>
      <c r="C5" s="322"/>
      <c r="D5" s="322"/>
      <c r="E5" s="322"/>
      <c r="F5" s="322"/>
    </row>
    <row r="6" spans="2:4" ht="11.25">
      <c r="B6" s="325"/>
      <c r="C6" s="325"/>
      <c r="D6" s="325"/>
    </row>
    <row r="7" spans="3:9" ht="12.75" customHeight="1">
      <c r="C7" s="325"/>
      <c r="D7" s="325"/>
      <c r="E7" s="325"/>
      <c r="F7" s="300"/>
      <c r="G7" s="300"/>
      <c r="H7" s="300"/>
      <c r="I7" s="300"/>
    </row>
    <row r="8" spans="1:5" s="300" customFormat="1" ht="12.75" customHeight="1">
      <c r="A8" s="326"/>
      <c r="B8" s="326"/>
      <c r="C8" s="327"/>
      <c r="D8" s="327"/>
      <c r="E8" s="327" t="s">
        <v>97</v>
      </c>
    </row>
    <row r="9" spans="1:8" s="300" customFormat="1" ht="40.5" customHeight="1">
      <c r="A9" s="328" t="s">
        <v>5</v>
      </c>
      <c r="B9" s="329" t="s">
        <v>447</v>
      </c>
      <c r="C9" s="329" t="s">
        <v>7</v>
      </c>
      <c r="D9" s="329" t="s">
        <v>499</v>
      </c>
      <c r="E9" s="329" t="s">
        <v>130</v>
      </c>
      <c r="F9" s="297"/>
      <c r="G9" s="297"/>
      <c r="H9" s="297"/>
    </row>
    <row r="10" spans="1:8" s="300" customFormat="1" ht="12.75">
      <c r="A10" s="330" t="s">
        <v>500</v>
      </c>
      <c r="B10" s="330">
        <v>2</v>
      </c>
      <c r="C10" s="330">
        <v>3</v>
      </c>
      <c r="D10" s="330">
        <v>4</v>
      </c>
      <c r="E10" s="330">
        <v>5</v>
      </c>
      <c r="F10" s="297"/>
      <c r="G10" s="297"/>
      <c r="H10" s="297"/>
    </row>
    <row r="11" spans="1:6" s="297" customFormat="1" ht="12.75">
      <c r="A11" s="331" t="s">
        <v>501</v>
      </c>
      <c r="B11" s="332">
        <v>386817</v>
      </c>
      <c r="C11" s="332">
        <v>262860</v>
      </c>
      <c r="D11" s="333">
        <f aca="true" t="shared" si="0" ref="D11:D39">C11/B11*100</f>
        <v>67.95</v>
      </c>
      <c r="E11" s="332">
        <v>29299</v>
      </c>
      <c r="F11" s="296"/>
    </row>
    <row r="12" spans="1:7" ht="25.5">
      <c r="A12" s="334" t="s">
        <v>502</v>
      </c>
      <c r="B12" s="332">
        <v>257206</v>
      </c>
      <c r="C12" s="332">
        <v>175436</v>
      </c>
      <c r="D12" s="333">
        <f t="shared" si="0"/>
        <v>68.21</v>
      </c>
      <c r="E12" s="332">
        <v>21300</v>
      </c>
      <c r="F12" s="297"/>
      <c r="G12" s="297"/>
    </row>
    <row r="13" spans="1:5" s="297" customFormat="1" ht="12.75">
      <c r="A13" s="335" t="s">
        <v>503</v>
      </c>
      <c r="B13" s="332">
        <v>214438</v>
      </c>
      <c r="C13" s="332">
        <v>147106</v>
      </c>
      <c r="D13" s="333">
        <f t="shared" si="0"/>
        <v>68.6</v>
      </c>
      <c r="E13" s="332">
        <v>18117</v>
      </c>
    </row>
    <row r="14" spans="1:6" s="297" customFormat="1" ht="12.75">
      <c r="A14" s="336" t="s">
        <v>182</v>
      </c>
      <c r="B14" s="332">
        <v>213726</v>
      </c>
      <c r="C14" s="332">
        <v>146427</v>
      </c>
      <c r="D14" s="333">
        <f t="shared" si="0"/>
        <v>68.51</v>
      </c>
      <c r="E14" s="332">
        <v>18113</v>
      </c>
      <c r="F14" s="296"/>
    </row>
    <row r="15" spans="1:6" s="300" customFormat="1" ht="12">
      <c r="A15" s="337" t="s">
        <v>504</v>
      </c>
      <c r="B15" s="332">
        <v>174208</v>
      </c>
      <c r="C15" s="332">
        <v>113778</v>
      </c>
      <c r="D15" s="333">
        <f t="shared" si="0"/>
        <v>65.31</v>
      </c>
      <c r="E15" s="332">
        <v>13501</v>
      </c>
      <c r="F15" s="296"/>
    </row>
    <row r="16" spans="1:6" s="300" customFormat="1" ht="12">
      <c r="A16" s="337" t="s">
        <v>505</v>
      </c>
      <c r="B16" s="332">
        <v>21064</v>
      </c>
      <c r="C16" s="332">
        <v>14061</v>
      </c>
      <c r="D16" s="333">
        <f t="shared" si="0"/>
        <v>66.75</v>
      </c>
      <c r="E16" s="332">
        <v>2792</v>
      </c>
      <c r="F16" s="296"/>
    </row>
    <row r="17" spans="1:6" s="300" customFormat="1" ht="12">
      <c r="A17" s="337" t="s">
        <v>506</v>
      </c>
      <c r="B17" s="332">
        <v>17657</v>
      </c>
      <c r="C17" s="332">
        <v>17315</v>
      </c>
      <c r="D17" s="333">
        <f t="shared" si="0"/>
        <v>98.06</v>
      </c>
      <c r="E17" s="332">
        <v>1737</v>
      </c>
      <c r="F17" s="296"/>
    </row>
    <row r="18" spans="1:6" s="300" customFormat="1" ht="12">
      <c r="A18" s="337" t="s">
        <v>507</v>
      </c>
      <c r="B18" s="332">
        <v>797</v>
      </c>
      <c r="C18" s="332">
        <v>1273</v>
      </c>
      <c r="D18" s="333">
        <f t="shared" si="0"/>
        <v>159.72</v>
      </c>
      <c r="E18" s="332">
        <v>83</v>
      </c>
      <c r="F18" s="296"/>
    </row>
    <row r="19" spans="1:6" s="297" customFormat="1" ht="12.75">
      <c r="A19" s="336" t="s">
        <v>184</v>
      </c>
      <c r="B19" s="332">
        <v>712</v>
      </c>
      <c r="C19" s="332">
        <v>679</v>
      </c>
      <c r="D19" s="333">
        <f t="shared" si="0"/>
        <v>95.37</v>
      </c>
      <c r="E19" s="332">
        <v>4</v>
      </c>
      <c r="F19" s="296"/>
    </row>
    <row r="20" spans="1:5" ht="12">
      <c r="A20" s="337" t="s">
        <v>508</v>
      </c>
      <c r="B20" s="332">
        <v>712</v>
      </c>
      <c r="C20" s="332">
        <v>679</v>
      </c>
      <c r="D20" s="333">
        <f t="shared" si="0"/>
        <v>95.37</v>
      </c>
      <c r="E20" s="332">
        <v>4</v>
      </c>
    </row>
    <row r="21" spans="1:5" s="297" customFormat="1" ht="12.75">
      <c r="A21" s="335" t="s">
        <v>509</v>
      </c>
      <c r="B21" s="332">
        <v>17964</v>
      </c>
      <c r="C21" s="332">
        <v>11590</v>
      </c>
      <c r="D21" s="333">
        <f t="shared" si="0"/>
        <v>64.52</v>
      </c>
      <c r="E21" s="332">
        <v>1120</v>
      </c>
    </row>
    <row r="22" spans="1:7" ht="12.75">
      <c r="A22" s="337" t="s">
        <v>510</v>
      </c>
      <c r="B22" s="332">
        <v>398</v>
      </c>
      <c r="C22" s="332">
        <v>239</v>
      </c>
      <c r="D22" s="333">
        <f t="shared" si="0"/>
        <v>60.05</v>
      </c>
      <c r="E22" s="332">
        <v>3</v>
      </c>
      <c r="F22" s="297"/>
      <c r="G22" s="297"/>
    </row>
    <row r="23" spans="1:7" ht="12.75">
      <c r="A23" s="337" t="s">
        <v>511</v>
      </c>
      <c r="B23" s="332">
        <v>3181</v>
      </c>
      <c r="C23" s="332">
        <v>2449</v>
      </c>
      <c r="D23" s="333">
        <f t="shared" si="0"/>
        <v>76.99</v>
      </c>
      <c r="E23" s="332">
        <v>199</v>
      </c>
      <c r="F23" s="297"/>
      <c r="G23" s="297"/>
    </row>
    <row r="24" spans="1:7" ht="12.75">
      <c r="A24" s="337" t="s">
        <v>512</v>
      </c>
      <c r="B24" s="332">
        <v>281</v>
      </c>
      <c r="C24" s="332">
        <v>158</v>
      </c>
      <c r="D24" s="333">
        <f t="shared" si="0"/>
        <v>56.23</v>
      </c>
      <c r="E24" s="332">
        <v>10</v>
      </c>
      <c r="F24" s="297"/>
      <c r="G24" s="297"/>
    </row>
    <row r="25" spans="1:7" ht="12.75">
      <c r="A25" s="337" t="s">
        <v>513</v>
      </c>
      <c r="B25" s="332">
        <v>13305</v>
      </c>
      <c r="C25" s="332">
        <v>8383</v>
      </c>
      <c r="D25" s="333">
        <f t="shared" si="0"/>
        <v>63.01</v>
      </c>
      <c r="E25" s="332">
        <v>898</v>
      </c>
      <c r="F25" s="297"/>
      <c r="G25" s="297"/>
    </row>
    <row r="26" spans="1:7" ht="22.5">
      <c r="A26" s="338" t="s">
        <v>514</v>
      </c>
      <c r="B26" s="332">
        <v>711</v>
      </c>
      <c r="C26" s="332">
        <v>300</v>
      </c>
      <c r="D26" s="333">
        <f t="shared" si="0"/>
        <v>42.19</v>
      </c>
      <c r="E26" s="332">
        <v>28</v>
      </c>
      <c r="F26" s="297"/>
      <c r="G26" s="297"/>
    </row>
    <row r="27" spans="1:7" ht="12.75">
      <c r="A27" s="337" t="s">
        <v>515</v>
      </c>
      <c r="B27" s="332">
        <v>88</v>
      </c>
      <c r="C27" s="332">
        <v>61</v>
      </c>
      <c r="D27" s="333">
        <f t="shared" si="0"/>
        <v>69.32</v>
      </c>
      <c r="E27" s="332">
        <v>-18</v>
      </c>
      <c r="F27" s="297"/>
      <c r="G27" s="297"/>
    </row>
    <row r="28" spans="1:7" ht="38.25">
      <c r="A28" s="339" t="s">
        <v>516</v>
      </c>
      <c r="B28" s="332">
        <v>24804</v>
      </c>
      <c r="C28" s="332">
        <v>16740</v>
      </c>
      <c r="D28" s="333">
        <f t="shared" si="0"/>
        <v>67.49</v>
      </c>
      <c r="E28" s="332">
        <v>2063</v>
      </c>
      <c r="F28" s="297"/>
      <c r="G28" s="297"/>
    </row>
    <row r="29" spans="1:7" ht="12.75">
      <c r="A29" s="335" t="s">
        <v>517</v>
      </c>
      <c r="B29" s="332">
        <v>129611</v>
      </c>
      <c r="C29" s="332">
        <v>87424</v>
      </c>
      <c r="D29" s="333">
        <f t="shared" si="0"/>
        <v>67.45</v>
      </c>
      <c r="E29" s="332">
        <v>7999</v>
      </c>
      <c r="F29" s="297"/>
      <c r="G29" s="297"/>
    </row>
    <row r="30" spans="1:7" ht="12.75">
      <c r="A30" s="340" t="s">
        <v>518</v>
      </c>
      <c r="B30" s="332">
        <v>6095</v>
      </c>
      <c r="C30" s="332">
        <v>3470</v>
      </c>
      <c r="D30" s="333">
        <f t="shared" si="0"/>
        <v>56.93</v>
      </c>
      <c r="E30" s="332">
        <v>577</v>
      </c>
      <c r="F30" s="297"/>
      <c r="G30" s="297"/>
    </row>
    <row r="31" spans="1:7" ht="22.5">
      <c r="A31" s="338" t="s">
        <v>519</v>
      </c>
      <c r="B31" s="332">
        <v>4987</v>
      </c>
      <c r="C31" s="332">
        <v>2706</v>
      </c>
      <c r="D31" s="333">
        <f t="shared" si="0"/>
        <v>54.26</v>
      </c>
      <c r="E31" s="332">
        <v>461</v>
      </c>
      <c r="F31" s="297"/>
      <c r="G31" s="297"/>
    </row>
    <row r="32" spans="1:7" ht="22.5">
      <c r="A32" s="338" t="s">
        <v>520</v>
      </c>
      <c r="B32" s="332">
        <v>239</v>
      </c>
      <c r="C32" s="332">
        <v>157</v>
      </c>
      <c r="D32" s="333">
        <f t="shared" si="0"/>
        <v>65.69</v>
      </c>
      <c r="E32" s="332">
        <v>31</v>
      </c>
      <c r="F32" s="297"/>
      <c r="G32" s="297"/>
    </row>
    <row r="33" spans="1:7" ht="12.75">
      <c r="A33" s="337" t="s">
        <v>521</v>
      </c>
      <c r="B33" s="332">
        <v>869</v>
      </c>
      <c r="C33" s="332">
        <v>607</v>
      </c>
      <c r="D33" s="333">
        <f t="shared" si="0"/>
        <v>69.85</v>
      </c>
      <c r="E33" s="332">
        <v>85</v>
      </c>
      <c r="F33" s="297"/>
      <c r="G33" s="297"/>
    </row>
    <row r="34" spans="1:7" ht="12.75">
      <c r="A34" s="340" t="s">
        <v>522</v>
      </c>
      <c r="B34" s="332">
        <v>92717</v>
      </c>
      <c r="C34" s="332">
        <v>63171</v>
      </c>
      <c r="D34" s="333">
        <f t="shared" si="0"/>
        <v>68.13</v>
      </c>
      <c r="E34" s="332">
        <v>4787</v>
      </c>
      <c r="F34" s="297"/>
      <c r="G34" s="297"/>
    </row>
    <row r="35" spans="1:7" ht="12.75">
      <c r="A35" s="337" t="s">
        <v>523</v>
      </c>
      <c r="B35" s="332">
        <v>30</v>
      </c>
      <c r="C35" s="332">
        <v>56</v>
      </c>
      <c r="D35" s="333">
        <f t="shared" si="0"/>
        <v>186.67</v>
      </c>
      <c r="E35" s="332">
        <v>3</v>
      </c>
      <c r="F35" s="297"/>
      <c r="G35" s="297"/>
    </row>
    <row r="36" spans="1:5" ht="12">
      <c r="A36" s="337" t="s">
        <v>524</v>
      </c>
      <c r="B36" s="332">
        <v>30</v>
      </c>
      <c r="C36" s="332">
        <v>44</v>
      </c>
      <c r="D36" s="333">
        <f t="shared" si="0"/>
        <v>146.67</v>
      </c>
      <c r="E36" s="332">
        <v>2</v>
      </c>
    </row>
    <row r="37" spans="1:5" ht="12">
      <c r="A37" s="337" t="s">
        <v>525</v>
      </c>
      <c r="B37" s="332">
        <v>92687</v>
      </c>
      <c r="C37" s="332">
        <v>63115</v>
      </c>
      <c r="D37" s="333">
        <f t="shared" si="0"/>
        <v>68.09</v>
      </c>
      <c r="E37" s="332">
        <v>4784</v>
      </c>
    </row>
    <row r="38" spans="1:5" ht="22.5">
      <c r="A38" s="341" t="s">
        <v>526</v>
      </c>
      <c r="B38" s="332">
        <v>30151</v>
      </c>
      <c r="C38" s="332">
        <v>20114</v>
      </c>
      <c r="D38" s="333">
        <f t="shared" si="0"/>
        <v>66.71</v>
      </c>
      <c r="E38" s="332">
        <v>2506</v>
      </c>
    </row>
    <row r="39" spans="1:5" ht="12">
      <c r="A39" s="337" t="s">
        <v>523</v>
      </c>
      <c r="B39" s="332">
        <v>30151</v>
      </c>
      <c r="C39" s="332">
        <v>20114</v>
      </c>
      <c r="D39" s="333">
        <f t="shared" si="0"/>
        <v>66.71</v>
      </c>
      <c r="E39" s="332">
        <v>2506</v>
      </c>
    </row>
    <row r="40" spans="1:5" ht="12">
      <c r="A40" s="337" t="s">
        <v>527</v>
      </c>
      <c r="B40" s="332"/>
      <c r="C40" s="332"/>
      <c r="D40" s="333"/>
      <c r="E40" s="332"/>
    </row>
    <row r="41" spans="1:5" ht="22.5">
      <c r="A41" s="338" t="s">
        <v>528</v>
      </c>
      <c r="B41" s="332"/>
      <c r="C41" s="332"/>
      <c r="D41" s="333"/>
      <c r="E41" s="332"/>
    </row>
    <row r="42" spans="1:5" ht="12">
      <c r="A42" s="340" t="s">
        <v>529</v>
      </c>
      <c r="B42" s="332">
        <v>648</v>
      </c>
      <c r="C42" s="332">
        <v>669</v>
      </c>
      <c r="D42" s="333">
        <f>C42/B42*100</f>
        <v>103.24</v>
      </c>
      <c r="E42" s="332">
        <v>129</v>
      </c>
    </row>
    <row r="43" spans="1:5" ht="12">
      <c r="A43" s="342" t="s">
        <v>530</v>
      </c>
      <c r="B43" s="343"/>
      <c r="C43" s="343"/>
      <c r="D43" s="344"/>
      <c r="E43" s="345"/>
    </row>
    <row r="44" spans="1:5" ht="12.75">
      <c r="A44" s="342" t="s">
        <v>531</v>
      </c>
      <c r="B44" s="346"/>
      <c r="C44" s="346"/>
      <c r="D44" s="346"/>
      <c r="E44" s="345"/>
    </row>
    <row r="45" spans="1:5" ht="12.75">
      <c r="A45" s="342"/>
      <c r="B45" s="346"/>
      <c r="C45" s="346"/>
      <c r="D45" s="346"/>
      <c r="E45" s="345"/>
    </row>
    <row r="46" spans="1:5" ht="12">
      <c r="A46" s="347" t="s">
        <v>532</v>
      </c>
      <c r="B46" s="347"/>
      <c r="C46" s="348"/>
      <c r="D46" s="348"/>
      <c r="E46" s="315" t="s">
        <v>491</v>
      </c>
    </row>
    <row r="47" spans="1:4" ht="12.75">
      <c r="A47" s="346"/>
      <c r="B47" s="344"/>
      <c r="C47" s="344"/>
      <c r="D47" s="344"/>
    </row>
    <row r="48" spans="1:4" ht="12.75">
      <c r="A48" s="346"/>
      <c r="B48" s="344"/>
      <c r="C48" s="344"/>
      <c r="D48" s="344"/>
    </row>
    <row r="49" spans="1:4" ht="12.75">
      <c r="A49" s="346"/>
      <c r="B49" s="344"/>
      <c r="C49" s="344"/>
      <c r="D49" s="344"/>
    </row>
    <row r="50" spans="1:5" ht="12">
      <c r="A50" s="347"/>
      <c r="B50" s="347"/>
      <c r="C50" s="343"/>
      <c r="D50" s="343"/>
      <c r="E50" s="315"/>
    </row>
    <row r="51" spans="1:4" ht="12.75">
      <c r="A51" s="346"/>
      <c r="B51" s="344"/>
      <c r="C51" s="344"/>
      <c r="D51" s="344"/>
    </row>
    <row r="52" spans="1:4" s="344" customFormat="1" ht="12">
      <c r="A52" s="349"/>
      <c r="B52" s="345"/>
      <c r="C52" s="343"/>
      <c r="D52" s="343"/>
    </row>
    <row r="53" spans="1:5" s="351" customFormat="1" ht="15.75" customHeight="1">
      <c r="A53" s="347"/>
      <c r="B53" s="347"/>
      <c r="C53" s="350"/>
      <c r="D53" s="296"/>
      <c r="E53" s="315"/>
    </row>
    <row r="54" spans="1:4" ht="12.75">
      <c r="A54" s="346"/>
      <c r="B54" s="344"/>
      <c r="C54" s="344"/>
      <c r="D54" s="344"/>
    </row>
    <row r="55" spans="1:4" s="344" customFormat="1" ht="13.5" customHeight="1">
      <c r="A55" s="352"/>
      <c r="C55" s="350"/>
      <c r="D55" s="296"/>
    </row>
    <row r="56" spans="1:4" ht="12.75">
      <c r="A56" s="346"/>
      <c r="B56" s="344"/>
      <c r="C56" s="344"/>
      <c r="D56" s="344"/>
    </row>
    <row r="57" spans="1:4" s="344" customFormat="1" ht="11.25">
      <c r="A57" s="352"/>
      <c r="C57" s="350"/>
      <c r="D57" s="296"/>
    </row>
    <row r="58" spans="1:4" ht="13.5" customHeight="1">
      <c r="A58" s="346"/>
      <c r="B58" s="344"/>
      <c r="C58" s="344"/>
      <c r="D58" s="344"/>
    </row>
    <row r="59" spans="1:3" ht="12">
      <c r="A59" s="347"/>
      <c r="B59" s="353"/>
      <c r="C59" s="350"/>
    </row>
    <row r="60" spans="1:3" ht="12">
      <c r="A60" s="347"/>
      <c r="B60" s="353"/>
      <c r="C60" s="300"/>
    </row>
    <row r="62" spans="1:3" ht="12">
      <c r="A62" s="326"/>
      <c r="B62" s="353"/>
      <c r="C62" s="351"/>
    </row>
    <row r="63" spans="1:3" ht="12">
      <c r="A63" s="347"/>
      <c r="B63" s="353"/>
      <c r="C63" s="351"/>
    </row>
  </sheetData>
  <printOptions/>
  <pageMargins left="0.75" right="0.75" top="0.34" bottom="0.34" header="0.33" footer="0.35"/>
  <pageSetup orientation="portrait" r:id="rId1"/>
  <headerFooter alignWithMargins="0">
    <oddFooter>&amp;L&amp;"Arial,Regular"&amp;8
 Valsts kase / Pārskatu  departaments
 15.09.99.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23" sqref="A23"/>
    </sheetView>
  </sheetViews>
  <sheetFormatPr defaultColWidth="9.140625" defaultRowHeight="12.75"/>
  <cols>
    <col min="1" max="1" width="41.00390625" style="324" customWidth="1"/>
    <col min="2" max="2" width="13.140625" style="379" customWidth="1"/>
    <col min="3" max="5" width="13.140625" style="296" customWidth="1"/>
    <col min="6" max="6" width="11.28125" style="296" customWidth="1"/>
    <col min="7" max="16384" width="8.00390625" style="296" customWidth="1"/>
  </cols>
  <sheetData>
    <row r="1" spans="1:6" ht="12.75">
      <c r="A1" s="318" t="s">
        <v>533</v>
      </c>
      <c r="B1" s="318"/>
      <c r="C1" s="294"/>
      <c r="D1" s="294"/>
      <c r="E1" s="294" t="s">
        <v>534</v>
      </c>
      <c r="F1" s="346" t="s">
        <v>535</v>
      </c>
    </row>
    <row r="2" spans="1:6" ht="12.75">
      <c r="A2" s="318"/>
      <c r="B2" s="318"/>
      <c r="C2" s="294"/>
      <c r="D2" s="294"/>
      <c r="E2" s="294"/>
      <c r="F2" s="346"/>
    </row>
    <row r="3" spans="1:6" ht="12.75">
      <c r="A3" s="318"/>
      <c r="B3" s="318"/>
      <c r="C3" s="294"/>
      <c r="D3" s="294"/>
      <c r="E3" s="294"/>
      <c r="F3" s="346"/>
    </row>
    <row r="4" spans="1:5" s="300" customFormat="1" ht="11.25">
      <c r="A4" s="354"/>
      <c r="B4" s="354"/>
      <c r="C4" s="327"/>
      <c r="D4" s="327"/>
      <c r="E4" s="327"/>
    </row>
    <row r="5" spans="1:6" ht="15.75">
      <c r="A5" s="320" t="s">
        <v>536</v>
      </c>
      <c r="B5" s="321"/>
      <c r="C5" s="322"/>
      <c r="D5" s="322"/>
      <c r="E5" s="322"/>
      <c r="F5" s="322"/>
    </row>
    <row r="6" spans="1:6" s="323" customFormat="1" ht="15.75">
      <c r="A6" s="320" t="s">
        <v>498</v>
      </c>
      <c r="B6" s="321"/>
      <c r="C6" s="322"/>
      <c r="D6" s="322"/>
      <c r="E6" s="322"/>
      <c r="F6" s="322"/>
    </row>
    <row r="7" spans="1:6" s="323" customFormat="1" ht="15">
      <c r="A7" s="324"/>
      <c r="B7" s="355"/>
      <c r="C7" s="325"/>
      <c r="D7" s="325"/>
      <c r="E7" s="325"/>
      <c r="F7" s="296"/>
    </row>
    <row r="8" spans="1:6" ht="11.25">
      <c r="A8" s="326"/>
      <c r="B8" s="356"/>
      <c r="C8" s="300"/>
      <c r="D8" s="327" t="s">
        <v>537</v>
      </c>
      <c r="E8" s="327"/>
      <c r="F8" s="357"/>
    </row>
    <row r="9" spans="1:5" s="300" customFormat="1" ht="43.5" customHeight="1">
      <c r="A9" s="358" t="s">
        <v>5</v>
      </c>
      <c r="B9" s="359" t="s">
        <v>447</v>
      </c>
      <c r="C9" s="359" t="s">
        <v>7</v>
      </c>
      <c r="D9" s="359" t="s">
        <v>499</v>
      </c>
      <c r="E9" s="360" t="s">
        <v>331</v>
      </c>
    </row>
    <row r="10" spans="1:5" ht="11.25">
      <c r="A10" s="361" t="s">
        <v>500</v>
      </c>
      <c r="B10" s="330" t="s">
        <v>538</v>
      </c>
      <c r="C10" s="330" t="s">
        <v>539</v>
      </c>
      <c r="D10" s="330" t="s">
        <v>540</v>
      </c>
      <c r="E10" s="362" t="s">
        <v>541</v>
      </c>
    </row>
    <row r="11" spans="1:5" ht="12.75">
      <c r="A11" s="363" t="s">
        <v>542</v>
      </c>
      <c r="B11" s="332">
        <v>385629</v>
      </c>
      <c r="C11" s="332">
        <v>259001</v>
      </c>
      <c r="D11" s="333">
        <f aca="true" t="shared" si="0" ref="D11:D36">C11/B11*100</f>
        <v>67.16</v>
      </c>
      <c r="E11" s="364">
        <v>28594</v>
      </c>
    </row>
    <row r="12" spans="1:5" s="297" customFormat="1" ht="12.75">
      <c r="A12" s="365" t="s">
        <v>543</v>
      </c>
      <c r="B12" s="332">
        <v>355198</v>
      </c>
      <c r="C12" s="332">
        <v>239590</v>
      </c>
      <c r="D12" s="333">
        <f t="shared" si="0"/>
        <v>67.45</v>
      </c>
      <c r="E12" s="364">
        <v>25944</v>
      </c>
    </row>
    <row r="13" spans="1:5" s="351" customFormat="1" ht="12">
      <c r="A13" s="366" t="s">
        <v>544</v>
      </c>
      <c r="B13" s="332">
        <v>46214</v>
      </c>
      <c r="C13" s="332">
        <v>29198</v>
      </c>
      <c r="D13" s="333">
        <f t="shared" si="0"/>
        <v>63.18</v>
      </c>
      <c r="E13" s="364">
        <v>3506</v>
      </c>
    </row>
    <row r="14" spans="1:5" s="351" customFormat="1" ht="12">
      <c r="A14" s="366" t="s">
        <v>103</v>
      </c>
      <c r="B14" s="332">
        <v>186</v>
      </c>
      <c r="C14" s="332">
        <v>106</v>
      </c>
      <c r="D14" s="333">
        <f t="shared" si="0"/>
        <v>56.99</v>
      </c>
      <c r="E14" s="364">
        <v>14</v>
      </c>
    </row>
    <row r="15" spans="1:5" s="351" customFormat="1" ht="12">
      <c r="A15" s="366" t="s">
        <v>104</v>
      </c>
      <c r="B15" s="332">
        <v>6087</v>
      </c>
      <c r="C15" s="332">
        <v>3887</v>
      </c>
      <c r="D15" s="333">
        <f t="shared" si="0"/>
        <v>63.86</v>
      </c>
      <c r="E15" s="364">
        <v>465</v>
      </c>
    </row>
    <row r="16" spans="1:9" s="351" customFormat="1" ht="12">
      <c r="A16" s="366" t="s">
        <v>169</v>
      </c>
      <c r="B16" s="332">
        <v>179897</v>
      </c>
      <c r="C16" s="332">
        <v>118080</v>
      </c>
      <c r="D16" s="333">
        <f t="shared" si="0"/>
        <v>65.64</v>
      </c>
      <c r="E16" s="364">
        <v>9997</v>
      </c>
      <c r="I16" s="351" t="s">
        <v>535</v>
      </c>
    </row>
    <row r="17" spans="1:5" s="351" customFormat="1" ht="12">
      <c r="A17" s="366" t="s">
        <v>107</v>
      </c>
      <c r="B17" s="332">
        <v>4373</v>
      </c>
      <c r="C17" s="332">
        <v>4835</v>
      </c>
      <c r="D17" s="333">
        <f t="shared" si="0"/>
        <v>110.56</v>
      </c>
      <c r="E17" s="364">
        <v>420</v>
      </c>
    </row>
    <row r="18" spans="1:5" s="351" customFormat="1" ht="12">
      <c r="A18" s="366" t="s">
        <v>108</v>
      </c>
      <c r="B18" s="332">
        <v>32644</v>
      </c>
      <c r="C18" s="332">
        <v>20599</v>
      </c>
      <c r="D18" s="333">
        <f t="shared" si="0"/>
        <v>63.1</v>
      </c>
      <c r="E18" s="364">
        <v>2494</v>
      </c>
    </row>
    <row r="19" spans="1:5" s="351" customFormat="1" ht="12">
      <c r="A19" s="366" t="s">
        <v>109</v>
      </c>
      <c r="B19" s="332">
        <v>47392</v>
      </c>
      <c r="C19" s="332">
        <v>36887</v>
      </c>
      <c r="D19" s="333">
        <f t="shared" si="0"/>
        <v>77.83</v>
      </c>
      <c r="E19" s="364">
        <v>6569</v>
      </c>
    </row>
    <row r="20" spans="1:5" s="351" customFormat="1" ht="12">
      <c r="A20" s="366" t="s">
        <v>545</v>
      </c>
      <c r="B20" s="332">
        <v>21009</v>
      </c>
      <c r="C20" s="332">
        <v>14726</v>
      </c>
      <c r="D20" s="333">
        <f t="shared" si="0"/>
        <v>70.09</v>
      </c>
      <c r="E20" s="364">
        <v>1096</v>
      </c>
    </row>
    <row r="21" spans="1:5" s="351" customFormat="1" ht="12">
      <c r="A21" s="366" t="s">
        <v>111</v>
      </c>
      <c r="B21" s="332">
        <v>3070</v>
      </c>
      <c r="C21" s="332">
        <v>1315</v>
      </c>
      <c r="D21" s="333">
        <f t="shared" si="0"/>
        <v>42.83</v>
      </c>
      <c r="E21" s="364">
        <v>242</v>
      </c>
    </row>
    <row r="22" spans="1:5" s="351" customFormat="1" ht="12">
      <c r="A22" s="366" t="s">
        <v>546</v>
      </c>
      <c r="B22" s="332">
        <v>385</v>
      </c>
      <c r="C22" s="332">
        <v>230</v>
      </c>
      <c r="D22" s="333">
        <f t="shared" si="0"/>
        <v>59.74</v>
      </c>
      <c r="E22" s="364">
        <v>21</v>
      </c>
    </row>
    <row r="23" spans="1:5" s="351" customFormat="1" ht="22.5">
      <c r="A23" s="366" t="s">
        <v>113</v>
      </c>
      <c r="B23" s="332">
        <v>201</v>
      </c>
      <c r="C23" s="332">
        <v>261</v>
      </c>
      <c r="D23" s="333">
        <f t="shared" si="0"/>
        <v>129.85</v>
      </c>
      <c r="E23" s="364">
        <v>1</v>
      </c>
    </row>
    <row r="24" spans="1:5" s="351" customFormat="1" ht="12">
      <c r="A24" s="366" t="s">
        <v>547</v>
      </c>
      <c r="B24" s="332">
        <v>6871</v>
      </c>
      <c r="C24" s="332">
        <v>6553</v>
      </c>
      <c r="D24" s="333">
        <f t="shared" si="0"/>
        <v>95.37</v>
      </c>
      <c r="E24" s="364">
        <v>704</v>
      </c>
    </row>
    <row r="25" spans="1:5" s="351" customFormat="1" ht="12">
      <c r="A25" s="366" t="s">
        <v>115</v>
      </c>
      <c r="B25" s="332">
        <v>841</v>
      </c>
      <c r="C25" s="332">
        <v>512</v>
      </c>
      <c r="D25" s="333">
        <f t="shared" si="0"/>
        <v>60.88</v>
      </c>
      <c r="E25" s="364">
        <v>63</v>
      </c>
    </row>
    <row r="26" spans="1:5" s="351" customFormat="1" ht="12">
      <c r="A26" s="366" t="s">
        <v>548</v>
      </c>
      <c r="B26" s="332">
        <v>2063</v>
      </c>
      <c r="C26" s="332">
        <v>1252</v>
      </c>
      <c r="D26" s="333">
        <f t="shared" si="0"/>
        <v>60.69</v>
      </c>
      <c r="E26" s="364">
        <v>185</v>
      </c>
    </row>
    <row r="27" spans="1:5" s="351" customFormat="1" ht="12">
      <c r="A27" s="366" t="s">
        <v>549</v>
      </c>
      <c r="B27" s="332">
        <v>242</v>
      </c>
      <c r="C27" s="332">
        <v>197</v>
      </c>
      <c r="D27" s="333">
        <f t="shared" si="0"/>
        <v>81.4</v>
      </c>
      <c r="E27" s="364">
        <v>112</v>
      </c>
    </row>
    <row r="28" spans="1:5" s="351" customFormat="1" ht="12">
      <c r="A28" s="366" t="s">
        <v>550</v>
      </c>
      <c r="B28" s="332">
        <v>1539</v>
      </c>
      <c r="C28" s="332">
        <v>3</v>
      </c>
      <c r="D28" s="333">
        <f t="shared" si="0"/>
        <v>0.19</v>
      </c>
      <c r="E28" s="364">
        <v>-7</v>
      </c>
    </row>
    <row r="29" spans="1:5" s="351" customFormat="1" ht="12">
      <c r="A29" s="366" t="s">
        <v>551</v>
      </c>
      <c r="B29" s="332">
        <v>2184</v>
      </c>
      <c r="C29" s="332">
        <v>949</v>
      </c>
      <c r="D29" s="333">
        <f t="shared" si="0"/>
        <v>43.45</v>
      </c>
      <c r="E29" s="364">
        <v>62</v>
      </c>
    </row>
    <row r="30" spans="1:5" s="351" customFormat="1" ht="12.75" customHeight="1">
      <c r="A30" s="365" t="s">
        <v>552</v>
      </c>
      <c r="B30" s="332">
        <v>30430</v>
      </c>
      <c r="C30" s="332">
        <v>19411</v>
      </c>
      <c r="D30" s="333">
        <f t="shared" si="0"/>
        <v>63.79</v>
      </c>
      <c r="E30" s="364">
        <v>2650</v>
      </c>
    </row>
    <row r="31" spans="1:5" s="351" customFormat="1" ht="12">
      <c r="A31" s="367" t="s">
        <v>518</v>
      </c>
      <c r="B31" s="332">
        <v>6378</v>
      </c>
      <c r="C31" s="332">
        <v>3606</v>
      </c>
      <c r="D31" s="333">
        <f t="shared" si="0"/>
        <v>56.54</v>
      </c>
      <c r="E31" s="364">
        <v>601</v>
      </c>
    </row>
    <row r="32" spans="1:5" s="351" customFormat="1" ht="22.5">
      <c r="A32" s="368" t="s">
        <v>553</v>
      </c>
      <c r="B32" s="332">
        <v>5541</v>
      </c>
      <c r="C32" s="332">
        <v>3039</v>
      </c>
      <c r="D32" s="333">
        <f t="shared" si="0"/>
        <v>54.85</v>
      </c>
      <c r="E32" s="364">
        <v>498</v>
      </c>
    </row>
    <row r="33" spans="1:5" s="351" customFormat="1" ht="22.5">
      <c r="A33" s="368" t="s">
        <v>554</v>
      </c>
      <c r="B33" s="332">
        <v>354</v>
      </c>
      <c r="C33" s="332">
        <v>208</v>
      </c>
      <c r="D33" s="333">
        <f t="shared" si="0"/>
        <v>58.76</v>
      </c>
      <c r="E33" s="364">
        <v>33</v>
      </c>
    </row>
    <row r="34" spans="1:5" s="351" customFormat="1" ht="12">
      <c r="A34" s="368" t="s">
        <v>521</v>
      </c>
      <c r="B34" s="332">
        <v>483</v>
      </c>
      <c r="C34" s="332">
        <v>359</v>
      </c>
      <c r="D34" s="333">
        <f t="shared" si="0"/>
        <v>74.33</v>
      </c>
      <c r="E34" s="364">
        <v>70</v>
      </c>
    </row>
    <row r="35" spans="1:5" s="351" customFormat="1" ht="22.5">
      <c r="A35" s="367" t="s">
        <v>555</v>
      </c>
      <c r="B35" s="332">
        <v>24052</v>
      </c>
      <c r="C35" s="332">
        <v>15805</v>
      </c>
      <c r="D35" s="333">
        <f t="shared" si="0"/>
        <v>65.71</v>
      </c>
      <c r="E35" s="364">
        <v>2049</v>
      </c>
    </row>
    <row r="36" spans="1:5" s="351" customFormat="1" ht="12">
      <c r="A36" s="368" t="s">
        <v>556</v>
      </c>
      <c r="B36" s="332">
        <v>24052</v>
      </c>
      <c r="C36" s="332">
        <v>15805</v>
      </c>
      <c r="D36" s="333">
        <f t="shared" si="0"/>
        <v>65.71</v>
      </c>
      <c r="E36" s="364">
        <v>2049</v>
      </c>
    </row>
    <row r="37" spans="1:5" s="313" customFormat="1" ht="12">
      <c r="A37" s="369" t="s">
        <v>557</v>
      </c>
      <c r="B37" s="370"/>
      <c r="C37" s="370"/>
      <c r="D37" s="370"/>
      <c r="E37" s="371"/>
    </row>
    <row r="38" spans="1:8" s="351" customFormat="1" ht="12">
      <c r="A38" s="300" t="s">
        <v>558</v>
      </c>
      <c r="E38" s="296"/>
      <c r="F38" s="296"/>
      <c r="G38" s="296"/>
      <c r="H38" s="296"/>
    </row>
    <row r="39" spans="1:8" s="351" customFormat="1" ht="12">
      <c r="A39" s="372"/>
      <c r="B39" s="373"/>
      <c r="C39" s="374"/>
      <c r="D39" s="374"/>
      <c r="E39" s="296"/>
      <c r="F39" s="296"/>
      <c r="G39" s="296"/>
      <c r="H39" s="296"/>
    </row>
    <row r="40" spans="1:8" s="351" customFormat="1" ht="12">
      <c r="A40" s="372"/>
      <c r="B40" s="373"/>
      <c r="C40" s="374"/>
      <c r="D40" s="374"/>
      <c r="E40" s="296"/>
      <c r="F40" s="296"/>
      <c r="G40" s="296"/>
      <c r="H40" s="296"/>
    </row>
    <row r="41" spans="1:8" s="351" customFormat="1" ht="12">
      <c r="A41" s="347"/>
      <c r="B41" s="375"/>
      <c r="E41" s="296"/>
      <c r="F41" s="296"/>
      <c r="G41" s="296"/>
      <c r="H41" s="296"/>
    </row>
    <row r="42" spans="1:8" s="351" customFormat="1" ht="12">
      <c r="A42" s="347" t="s">
        <v>532</v>
      </c>
      <c r="B42" s="347"/>
      <c r="C42" s="376"/>
      <c r="D42" s="376"/>
      <c r="E42" s="377" t="s">
        <v>559</v>
      </c>
      <c r="F42" s="296"/>
      <c r="G42" s="296"/>
      <c r="H42" s="296"/>
    </row>
    <row r="43" spans="1:8" s="351" customFormat="1" ht="12">
      <c r="A43" s="347"/>
      <c r="B43" s="347"/>
      <c r="C43" s="378"/>
      <c r="D43" s="378"/>
      <c r="E43" s="296"/>
      <c r="F43" s="296"/>
      <c r="G43" s="296"/>
      <c r="H43" s="296"/>
    </row>
    <row r="44" spans="1:8" s="351" customFormat="1" ht="12">
      <c r="A44" s="347"/>
      <c r="B44" s="375"/>
      <c r="E44" s="296"/>
      <c r="F44" s="296"/>
      <c r="G44" s="296"/>
      <c r="H44" s="296"/>
    </row>
    <row r="45" spans="1:8" s="351" customFormat="1" ht="12">
      <c r="A45" s="347"/>
      <c r="B45" s="347"/>
      <c r="C45" s="378"/>
      <c r="D45" s="378"/>
      <c r="E45" s="296"/>
      <c r="F45" s="296"/>
      <c r="G45" s="296"/>
      <c r="H45" s="296"/>
    </row>
    <row r="46" spans="1:8" s="351" customFormat="1" ht="12">
      <c r="A46" s="347"/>
      <c r="B46" s="347"/>
      <c r="C46" s="378"/>
      <c r="E46" s="296"/>
      <c r="F46" s="296"/>
      <c r="G46" s="296"/>
      <c r="H46" s="296"/>
    </row>
    <row r="47" spans="1:4" ht="12">
      <c r="A47" s="347"/>
      <c r="B47" s="324"/>
      <c r="C47" s="353"/>
      <c r="D47" s="378"/>
    </row>
    <row r="65" spans="7:8" ht="11.25">
      <c r="G65" s="296">
        <v>0</v>
      </c>
      <c r="H65" s="296">
        <v>0</v>
      </c>
    </row>
  </sheetData>
  <printOptions/>
  <pageMargins left="0.75" right="0.46" top="1" bottom="1" header="0.5" footer="0.5"/>
  <pageSetup orientation="portrait" r:id="rId1"/>
  <headerFooter alignWithMargins="0">
    <oddFooter>&amp;L&amp;"Arial,Regular"&amp;8Valsts kase / Pārskatu departaments
 15.09.99.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23" sqref="A23"/>
    </sheetView>
  </sheetViews>
  <sheetFormatPr defaultColWidth="9.140625" defaultRowHeight="12.75"/>
  <cols>
    <col min="1" max="1" width="40.57421875" style="324" customWidth="1"/>
    <col min="2" max="5" width="12.28125" style="296" customWidth="1"/>
    <col min="6" max="16384" width="8.00390625" style="296" customWidth="1"/>
  </cols>
  <sheetData>
    <row r="1" spans="1:5" s="300" customFormat="1" ht="12.75">
      <c r="A1" s="318" t="s">
        <v>560</v>
      </c>
      <c r="B1" s="294"/>
      <c r="C1" s="294"/>
      <c r="D1" s="294"/>
      <c r="E1" s="294" t="s">
        <v>561</v>
      </c>
    </row>
    <row r="2" spans="1:6" s="297" customFormat="1" ht="12.75">
      <c r="A2" s="318"/>
      <c r="B2" s="294"/>
      <c r="C2" s="294"/>
      <c r="D2" s="294"/>
      <c r="E2" s="380"/>
      <c r="F2" s="346"/>
    </row>
    <row r="3" spans="1:5" s="300" customFormat="1" ht="11.25">
      <c r="A3" s="326"/>
      <c r="D3" s="327"/>
      <c r="E3" s="327"/>
    </row>
    <row r="4" spans="1:5" s="323" customFormat="1" ht="15.75">
      <c r="A4" s="320" t="s">
        <v>562</v>
      </c>
      <c r="B4" s="322"/>
      <c r="C4" s="322"/>
      <c r="D4" s="322"/>
      <c r="E4" s="322"/>
    </row>
    <row r="5" spans="1:5" s="323" customFormat="1" ht="15.75">
      <c r="A5" s="320" t="s">
        <v>498</v>
      </c>
      <c r="B5" s="322"/>
      <c r="C5" s="322"/>
      <c r="D5" s="322"/>
      <c r="E5" s="322"/>
    </row>
    <row r="6" spans="1:4" ht="15">
      <c r="A6" s="381"/>
      <c r="B6" s="325"/>
      <c r="C6" s="325"/>
      <c r="D6" s="325"/>
    </row>
    <row r="7" spans="1:4" ht="15">
      <c r="A7" s="381"/>
      <c r="B7" s="325"/>
      <c r="C7" s="325"/>
      <c r="D7" s="325"/>
    </row>
    <row r="8" spans="1:5" s="300" customFormat="1" ht="11.25" customHeight="1">
      <c r="A8" s="326"/>
      <c r="C8" s="327" t="s">
        <v>563</v>
      </c>
      <c r="D8" s="327"/>
      <c r="E8" s="327"/>
    </row>
    <row r="9" spans="1:5" s="300" customFormat="1" ht="33.75" customHeight="1">
      <c r="A9" s="358" t="s">
        <v>5</v>
      </c>
      <c r="B9" s="359" t="s">
        <v>447</v>
      </c>
      <c r="C9" s="359" t="s">
        <v>7</v>
      </c>
      <c r="D9" s="359" t="s">
        <v>499</v>
      </c>
      <c r="E9" s="360" t="s">
        <v>331</v>
      </c>
    </row>
    <row r="10" spans="1:5" s="297" customFormat="1" ht="12.75" customHeight="1">
      <c r="A10" s="361" t="s">
        <v>500</v>
      </c>
      <c r="B10" s="330" t="s">
        <v>538</v>
      </c>
      <c r="C10" s="330" t="s">
        <v>539</v>
      </c>
      <c r="D10" s="330" t="s">
        <v>540</v>
      </c>
      <c r="E10" s="362" t="s">
        <v>541</v>
      </c>
    </row>
    <row r="11" spans="1:5" s="297" customFormat="1" ht="12.75" customHeight="1">
      <c r="A11" s="363" t="s">
        <v>363</v>
      </c>
      <c r="B11" s="332">
        <v>386817</v>
      </c>
      <c r="C11" s="332">
        <v>262860</v>
      </c>
      <c r="D11" s="333">
        <f aca="true" t="shared" si="0" ref="D11:D40">C11/B11*100</f>
        <v>67.95</v>
      </c>
      <c r="E11" s="364">
        <v>29299</v>
      </c>
    </row>
    <row r="12" spans="1:5" s="297" customFormat="1" ht="12.75">
      <c r="A12" s="363" t="s">
        <v>564</v>
      </c>
      <c r="B12" s="332">
        <f>SUM(B13+B32)</f>
        <v>385769</v>
      </c>
      <c r="C12" s="332">
        <v>258214</v>
      </c>
      <c r="D12" s="333">
        <f t="shared" si="0"/>
        <v>66.93</v>
      </c>
      <c r="E12" s="364">
        <v>28616</v>
      </c>
    </row>
    <row r="13" spans="1:5" s="344" customFormat="1" ht="11.25" customHeight="1">
      <c r="A13" s="365" t="s">
        <v>366</v>
      </c>
      <c r="B13" s="332">
        <v>351932</v>
      </c>
      <c r="C13" s="332">
        <v>223136</v>
      </c>
      <c r="D13" s="333">
        <f t="shared" si="0"/>
        <v>63.4</v>
      </c>
      <c r="E13" s="364">
        <v>22500</v>
      </c>
    </row>
    <row r="14" spans="1:5" s="344" customFormat="1" ht="11.25" customHeight="1">
      <c r="A14" s="382" t="s">
        <v>138</v>
      </c>
      <c r="B14" s="332">
        <v>288547</v>
      </c>
      <c r="C14" s="332">
        <v>183355</v>
      </c>
      <c r="D14" s="333">
        <f t="shared" si="0"/>
        <v>63.54</v>
      </c>
      <c r="E14" s="364">
        <v>17957</v>
      </c>
    </row>
    <row r="15" spans="1:5" s="344" customFormat="1" ht="11.25" customHeight="1" hidden="1">
      <c r="A15" s="368" t="s">
        <v>565</v>
      </c>
      <c r="B15" s="332">
        <v>5812</v>
      </c>
      <c r="C15" s="332">
        <v>3318</v>
      </c>
      <c r="D15" s="333">
        <f t="shared" si="0"/>
        <v>57.09</v>
      </c>
      <c r="E15" s="364">
        <v>1008</v>
      </c>
    </row>
    <row r="16" spans="1:5" ht="12">
      <c r="A16" s="368" t="s">
        <v>566</v>
      </c>
      <c r="B16" s="332">
        <v>139293</v>
      </c>
      <c r="C16" s="332">
        <v>89508</v>
      </c>
      <c r="D16" s="333">
        <f t="shared" si="0"/>
        <v>64.26</v>
      </c>
      <c r="E16" s="364">
        <v>7979</v>
      </c>
    </row>
    <row r="17" spans="1:5" ht="12">
      <c r="A17" s="368" t="s">
        <v>567</v>
      </c>
      <c r="B17" s="332">
        <v>39267</v>
      </c>
      <c r="C17" s="332">
        <v>24457</v>
      </c>
      <c r="D17" s="333">
        <f t="shared" si="0"/>
        <v>62.28</v>
      </c>
      <c r="E17" s="364">
        <v>2790</v>
      </c>
    </row>
    <row r="18" spans="1:5" ht="12" hidden="1">
      <c r="A18" s="368" t="s">
        <v>568</v>
      </c>
      <c r="B18" s="332">
        <v>1245</v>
      </c>
      <c r="C18" s="332">
        <v>850</v>
      </c>
      <c r="D18" s="333">
        <f t="shared" si="0"/>
        <v>68.27</v>
      </c>
      <c r="E18" s="364">
        <v>217</v>
      </c>
    </row>
    <row r="19" spans="1:5" ht="12" hidden="1">
      <c r="A19" s="368" t="s">
        <v>569</v>
      </c>
      <c r="B19" s="332">
        <v>46015</v>
      </c>
      <c r="C19" s="332">
        <v>24966</v>
      </c>
      <c r="D19" s="333">
        <f t="shared" si="0"/>
        <v>54.26</v>
      </c>
      <c r="E19" s="364">
        <v>4149</v>
      </c>
    </row>
    <row r="20" spans="1:5" ht="12" hidden="1">
      <c r="A20" s="368" t="s">
        <v>570</v>
      </c>
      <c r="B20" s="332">
        <v>54722</v>
      </c>
      <c r="C20" s="332">
        <v>32236</v>
      </c>
      <c r="D20" s="333">
        <f t="shared" si="0"/>
        <v>58.91</v>
      </c>
      <c r="E20" s="364">
        <v>3540</v>
      </c>
    </row>
    <row r="21" spans="1:5" ht="12" hidden="1">
      <c r="A21" s="368" t="s">
        <v>571</v>
      </c>
      <c r="B21" s="332">
        <v>2191</v>
      </c>
      <c r="C21" s="332">
        <v>831</v>
      </c>
      <c r="D21" s="333">
        <f t="shared" si="0"/>
        <v>37.93</v>
      </c>
      <c r="E21" s="364">
        <v>117</v>
      </c>
    </row>
    <row r="22" spans="1:5" ht="12">
      <c r="A22" s="368" t="s">
        <v>572</v>
      </c>
      <c r="B22" s="332">
        <v>109987</v>
      </c>
      <c r="C22" s="332">
        <v>69390</v>
      </c>
      <c r="D22" s="333">
        <f t="shared" si="0"/>
        <v>63.09</v>
      </c>
      <c r="E22" s="364">
        <v>7188</v>
      </c>
    </row>
    <row r="23" spans="1:5" ht="12">
      <c r="A23" s="383" t="s">
        <v>573</v>
      </c>
      <c r="B23" s="332">
        <v>100927</v>
      </c>
      <c r="C23" s="332">
        <v>64134</v>
      </c>
      <c r="D23" s="333">
        <f t="shared" si="0"/>
        <v>63.54</v>
      </c>
      <c r="E23" s="364">
        <v>6931</v>
      </c>
    </row>
    <row r="24" spans="1:5" ht="12">
      <c r="A24" s="383" t="s">
        <v>574</v>
      </c>
      <c r="B24" s="332">
        <v>9060</v>
      </c>
      <c r="C24" s="332">
        <v>5256</v>
      </c>
      <c r="D24" s="333">
        <f t="shared" si="0"/>
        <v>58.01</v>
      </c>
      <c r="E24" s="364">
        <v>257</v>
      </c>
    </row>
    <row r="25" spans="1:5" ht="12">
      <c r="A25" s="382" t="s">
        <v>575</v>
      </c>
      <c r="B25" s="332">
        <v>2347</v>
      </c>
      <c r="C25" s="332">
        <v>1302</v>
      </c>
      <c r="D25" s="333">
        <f t="shared" si="0"/>
        <v>55.48</v>
      </c>
      <c r="E25" s="364">
        <v>102</v>
      </c>
    </row>
    <row r="26" spans="1:5" ht="12">
      <c r="A26" s="382" t="s">
        <v>148</v>
      </c>
      <c r="B26" s="332">
        <v>61038</v>
      </c>
      <c r="C26" s="332">
        <v>38479</v>
      </c>
      <c r="D26" s="333">
        <f t="shared" si="0"/>
        <v>63.04</v>
      </c>
      <c r="E26" s="364">
        <v>4441</v>
      </c>
    </row>
    <row r="27" spans="1:5" ht="12">
      <c r="A27" s="368" t="s">
        <v>576</v>
      </c>
      <c r="B27" s="332">
        <v>679</v>
      </c>
      <c r="C27" s="332">
        <v>398</v>
      </c>
      <c r="D27" s="333">
        <f t="shared" si="0"/>
        <v>58.62</v>
      </c>
      <c r="E27" s="364">
        <v>94</v>
      </c>
    </row>
    <row r="28" spans="1:5" ht="12">
      <c r="A28" s="368" t="s">
        <v>577</v>
      </c>
      <c r="B28" s="332">
        <v>4334</v>
      </c>
      <c r="C28" s="332">
        <v>2887</v>
      </c>
      <c r="D28" s="333">
        <f t="shared" si="0"/>
        <v>66.61</v>
      </c>
      <c r="E28" s="364">
        <v>173</v>
      </c>
    </row>
    <row r="29" spans="1:5" ht="12">
      <c r="A29" s="368" t="s">
        <v>578</v>
      </c>
      <c r="B29" s="332">
        <v>24187</v>
      </c>
      <c r="C29" s="332">
        <v>15838</v>
      </c>
      <c r="D29" s="333">
        <f t="shared" si="0"/>
        <v>65.48</v>
      </c>
      <c r="E29" s="364">
        <v>2040</v>
      </c>
    </row>
    <row r="30" spans="1:5" ht="12">
      <c r="A30" s="368" t="s">
        <v>579</v>
      </c>
      <c r="B30" s="332">
        <v>16512</v>
      </c>
      <c r="C30" s="332">
        <v>10173</v>
      </c>
      <c r="D30" s="333">
        <f t="shared" si="0"/>
        <v>61.61</v>
      </c>
      <c r="E30" s="364">
        <v>1180</v>
      </c>
    </row>
    <row r="31" spans="1:5" ht="12">
      <c r="A31" s="368" t="s">
        <v>580</v>
      </c>
      <c r="B31" s="332">
        <v>15326</v>
      </c>
      <c r="C31" s="332">
        <v>9183</v>
      </c>
      <c r="D31" s="333">
        <f t="shared" si="0"/>
        <v>59.92</v>
      </c>
      <c r="E31" s="364">
        <v>954</v>
      </c>
    </row>
    <row r="32" spans="1:5" s="344" customFormat="1" ht="12" customHeight="1">
      <c r="A32" s="365" t="s">
        <v>581</v>
      </c>
      <c r="B32" s="332">
        <v>33837</v>
      </c>
      <c r="C32" s="332">
        <v>35078</v>
      </c>
      <c r="D32" s="333">
        <f t="shared" si="0"/>
        <v>103.67</v>
      </c>
      <c r="E32" s="364">
        <v>6116</v>
      </c>
    </row>
    <row r="33" spans="1:6" s="344" customFormat="1" ht="14.25" customHeight="1" hidden="1">
      <c r="A33" s="365" t="s">
        <v>155</v>
      </c>
      <c r="B33" s="332">
        <v>17711</v>
      </c>
      <c r="C33" s="332">
        <v>7586</v>
      </c>
      <c r="D33" s="333">
        <f t="shared" si="0"/>
        <v>42.83</v>
      </c>
      <c r="E33" s="364">
        <v>1938</v>
      </c>
      <c r="F33" s="384"/>
    </row>
    <row r="34" spans="1:5" ht="12">
      <c r="A34" s="368" t="s">
        <v>155</v>
      </c>
      <c r="B34" s="332">
        <v>18203</v>
      </c>
      <c r="C34" s="332">
        <v>11272</v>
      </c>
      <c r="D34" s="333">
        <f t="shared" si="0"/>
        <v>61.92</v>
      </c>
      <c r="E34" s="364">
        <v>1600</v>
      </c>
    </row>
    <row r="35" spans="1:5" ht="0.75" customHeight="1" hidden="1">
      <c r="A35" s="368" t="s">
        <v>582</v>
      </c>
      <c r="B35" s="332">
        <v>393</v>
      </c>
      <c r="C35" s="332">
        <v>197</v>
      </c>
      <c r="D35" s="333">
        <f t="shared" si="0"/>
        <v>50.13</v>
      </c>
      <c r="E35" s="364">
        <v>22</v>
      </c>
    </row>
    <row r="36" spans="1:5" ht="12">
      <c r="A36" s="368" t="s">
        <v>156</v>
      </c>
      <c r="B36" s="332">
        <v>15634</v>
      </c>
      <c r="C36" s="332">
        <v>23806</v>
      </c>
      <c r="D36" s="333">
        <f t="shared" si="0"/>
        <v>152.27</v>
      </c>
      <c r="E36" s="364">
        <v>4516</v>
      </c>
    </row>
    <row r="37" spans="1:5" s="344" customFormat="1" ht="11.25" customHeight="1">
      <c r="A37" s="365" t="s">
        <v>583</v>
      </c>
      <c r="B37" s="332">
        <v>-141</v>
      </c>
      <c r="C37" s="332">
        <v>787</v>
      </c>
      <c r="D37" s="333">
        <f t="shared" si="0"/>
        <v>-558.16</v>
      </c>
      <c r="E37" s="364">
        <v>-22</v>
      </c>
    </row>
    <row r="38" spans="1:5" ht="12.75" customHeight="1">
      <c r="A38" s="368" t="s">
        <v>584</v>
      </c>
      <c r="B38" s="332">
        <v>788</v>
      </c>
      <c r="C38" s="332">
        <v>1173</v>
      </c>
      <c r="D38" s="333">
        <f t="shared" si="0"/>
        <v>148.86</v>
      </c>
      <c r="E38" s="364">
        <v>32</v>
      </c>
    </row>
    <row r="39" spans="1:5" ht="12.75" customHeight="1">
      <c r="A39" s="369" t="s">
        <v>585</v>
      </c>
      <c r="B39" s="370">
        <v>929</v>
      </c>
      <c r="C39" s="370">
        <v>386</v>
      </c>
      <c r="D39" s="385">
        <f t="shared" si="0"/>
        <v>41.55</v>
      </c>
      <c r="E39" s="371">
        <v>54</v>
      </c>
    </row>
    <row r="40" spans="1:5" ht="12.75" customHeight="1">
      <c r="A40" s="386" t="s">
        <v>242</v>
      </c>
      <c r="B40" s="370">
        <f>B11-B12-B37</f>
        <v>1189</v>
      </c>
      <c r="C40" s="370">
        <f>C11-C12-C37</f>
        <v>3859</v>
      </c>
      <c r="D40" s="387">
        <f t="shared" si="0"/>
        <v>324.56</v>
      </c>
      <c r="E40" s="371">
        <f>E11-E12-E37</f>
        <v>705</v>
      </c>
    </row>
    <row r="41" spans="1:5" s="351" customFormat="1" ht="12">
      <c r="A41" s="388"/>
      <c r="B41" s="375"/>
      <c r="C41" s="375"/>
      <c r="D41" s="375"/>
      <c r="E41" s="375"/>
    </row>
    <row r="42" spans="1:5" s="351" customFormat="1" ht="12">
      <c r="A42" s="349"/>
      <c r="B42" s="375"/>
      <c r="C42" s="375"/>
      <c r="D42" s="375"/>
      <c r="E42" s="375"/>
    </row>
    <row r="43" spans="1:6" ht="12">
      <c r="A43" s="375"/>
      <c r="B43" s="375"/>
      <c r="C43" s="375"/>
      <c r="D43" s="375"/>
      <c r="E43" s="375"/>
      <c r="F43" s="353"/>
    </row>
    <row r="44" spans="1:5" s="351" customFormat="1" ht="12">
      <c r="A44" s="347" t="s">
        <v>532</v>
      </c>
      <c r="B44" s="347"/>
      <c r="C44" s="389"/>
      <c r="D44" s="389"/>
      <c r="E44" s="377" t="s">
        <v>491</v>
      </c>
    </row>
    <row r="45" s="351" customFormat="1" ht="12"/>
    <row r="46" spans="1:4" s="351" customFormat="1" ht="12">
      <c r="A46" s="375"/>
      <c r="B46" s="378"/>
      <c r="C46" s="378"/>
      <c r="D46" s="378"/>
    </row>
    <row r="47" spans="1:2" s="351" customFormat="1" ht="12">
      <c r="A47" s="375"/>
      <c r="B47" s="378"/>
    </row>
    <row r="48" spans="1:4" ht="12">
      <c r="A48" s="379"/>
      <c r="B48" s="353"/>
      <c r="D48" s="378"/>
    </row>
    <row r="49" spans="4:6" ht="12">
      <c r="D49" s="353"/>
      <c r="E49" s="378"/>
      <c r="F49" s="353"/>
    </row>
  </sheetData>
  <printOptions/>
  <pageMargins left="0.75" right="0.75" top="1" bottom="1" header="0.5" footer="0.5"/>
  <pageSetup orientation="portrait" r:id="rId1"/>
  <headerFooter alignWithMargins="0">
    <oddFooter>&amp;L&amp;"Arial,Regular"&amp;8Valsts kase / Pārskatu departaments
15.09.99.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3" sqref="A23"/>
    </sheetView>
  </sheetViews>
  <sheetFormatPr defaultColWidth="9.140625" defaultRowHeight="12.75"/>
  <cols>
    <col min="1" max="1" width="42.7109375" style="296" customWidth="1"/>
    <col min="2" max="5" width="12.28125" style="296" customWidth="1"/>
    <col min="6" max="16384" width="8.00390625" style="296" customWidth="1"/>
  </cols>
  <sheetData>
    <row r="1" spans="1:5" s="300" customFormat="1" ht="12.75">
      <c r="A1" s="294" t="s">
        <v>560</v>
      </c>
      <c r="B1" s="294"/>
      <c r="C1" s="294"/>
      <c r="D1" s="294"/>
      <c r="E1" s="294" t="s">
        <v>586</v>
      </c>
    </row>
    <row r="2" spans="1:5" s="300" customFormat="1" ht="12.75">
      <c r="A2" s="294"/>
      <c r="B2" s="294"/>
      <c r="C2" s="294"/>
      <c r="D2" s="294"/>
      <c r="E2" s="294"/>
    </row>
    <row r="4" spans="1:5" s="323" customFormat="1" ht="15.75">
      <c r="A4" s="320" t="s">
        <v>587</v>
      </c>
      <c r="B4" s="322"/>
      <c r="C4" s="322"/>
      <c r="D4" s="322"/>
      <c r="E4" s="322"/>
    </row>
    <row r="5" spans="1:5" ht="15.75">
      <c r="A5" s="320" t="s">
        <v>498</v>
      </c>
      <c r="B5" s="325"/>
      <c r="C5" s="325"/>
      <c r="D5" s="325"/>
      <c r="E5" s="325"/>
    </row>
    <row r="6" spans="1:5" ht="11.25">
      <c r="A6" s="379"/>
      <c r="B6" s="325"/>
      <c r="C6" s="325"/>
      <c r="D6" s="325"/>
      <c r="E6" s="325"/>
    </row>
    <row r="7" spans="1:5" ht="11.25">
      <c r="A7" s="379"/>
      <c r="B7" s="325"/>
      <c r="C7" s="325"/>
      <c r="D7" s="325"/>
      <c r="E7" s="325"/>
    </row>
    <row r="8" spans="4:5" s="300" customFormat="1" ht="11.25">
      <c r="D8" s="327" t="s">
        <v>588</v>
      </c>
      <c r="E8" s="327"/>
    </row>
    <row r="9" spans="1:5" s="297" customFormat="1" ht="30.75" customHeight="1">
      <c r="A9" s="358" t="s">
        <v>5</v>
      </c>
      <c r="B9" s="359" t="s">
        <v>447</v>
      </c>
      <c r="C9" s="359" t="s">
        <v>7</v>
      </c>
      <c r="D9" s="359" t="s">
        <v>499</v>
      </c>
      <c r="E9" s="360" t="s">
        <v>331</v>
      </c>
    </row>
    <row r="10" spans="1:5" s="351" customFormat="1" ht="11.25" customHeight="1">
      <c r="A10" s="390">
        <v>1</v>
      </c>
      <c r="B10" s="391">
        <v>2</v>
      </c>
      <c r="C10" s="391">
        <v>3</v>
      </c>
      <c r="D10" s="392">
        <v>4</v>
      </c>
      <c r="E10" s="393" t="s">
        <v>541</v>
      </c>
    </row>
    <row r="11" spans="1:5" s="351" customFormat="1" ht="12.75">
      <c r="A11" s="394" t="s">
        <v>589</v>
      </c>
      <c r="B11" s="332">
        <v>41058</v>
      </c>
      <c r="C11" s="332">
        <v>27954</v>
      </c>
      <c r="D11" s="305">
        <f aca="true" t="shared" si="0" ref="D11:D24">C11/B11*100</f>
        <v>68.08</v>
      </c>
      <c r="E11" s="364">
        <v>3944</v>
      </c>
    </row>
    <row r="12" spans="1:5" ht="25.5">
      <c r="A12" s="394" t="s">
        <v>590</v>
      </c>
      <c r="B12" s="332">
        <v>36936</v>
      </c>
      <c r="C12" s="332">
        <v>23637</v>
      </c>
      <c r="D12" s="305">
        <f t="shared" si="0"/>
        <v>63.99</v>
      </c>
      <c r="E12" s="364">
        <v>3063</v>
      </c>
    </row>
    <row r="13" spans="1:5" ht="12">
      <c r="A13" s="395" t="s">
        <v>591</v>
      </c>
      <c r="B13" s="332">
        <v>4530</v>
      </c>
      <c r="C13" s="332">
        <v>3308</v>
      </c>
      <c r="D13" s="305">
        <f t="shared" si="0"/>
        <v>73.02</v>
      </c>
      <c r="E13" s="364">
        <v>296</v>
      </c>
    </row>
    <row r="14" spans="1:5" ht="12">
      <c r="A14" s="395" t="s">
        <v>592</v>
      </c>
      <c r="B14" s="332">
        <v>2517</v>
      </c>
      <c r="C14" s="332">
        <v>1554</v>
      </c>
      <c r="D14" s="305">
        <f t="shared" si="0"/>
        <v>61.74</v>
      </c>
      <c r="E14" s="364">
        <v>430</v>
      </c>
    </row>
    <row r="15" spans="1:5" ht="12">
      <c r="A15" s="395" t="s">
        <v>593</v>
      </c>
      <c r="B15" s="332">
        <v>16503</v>
      </c>
      <c r="C15" s="332">
        <v>8769</v>
      </c>
      <c r="D15" s="305">
        <f t="shared" si="0"/>
        <v>53.14</v>
      </c>
      <c r="E15" s="364">
        <v>1190</v>
      </c>
    </row>
    <row r="16" spans="1:5" ht="12">
      <c r="A16" s="395" t="s">
        <v>594</v>
      </c>
      <c r="B16" s="332">
        <v>13386</v>
      </c>
      <c r="C16" s="332">
        <v>10006</v>
      </c>
      <c r="D16" s="305">
        <f t="shared" si="0"/>
        <v>74.75</v>
      </c>
      <c r="E16" s="364">
        <v>1147</v>
      </c>
    </row>
    <row r="17" spans="1:5" ht="25.5">
      <c r="A17" s="396" t="s">
        <v>595</v>
      </c>
      <c r="B17" s="332">
        <v>4122</v>
      </c>
      <c r="C17" s="332">
        <v>4317</v>
      </c>
      <c r="D17" s="305">
        <f t="shared" si="0"/>
        <v>104.73</v>
      </c>
      <c r="E17" s="364">
        <v>881</v>
      </c>
    </row>
    <row r="18" spans="1:7" s="351" customFormat="1" ht="12.75">
      <c r="A18" s="394" t="s">
        <v>596</v>
      </c>
      <c r="B18" s="332">
        <v>48383</v>
      </c>
      <c r="C18" s="332">
        <v>29174</v>
      </c>
      <c r="D18" s="305">
        <f t="shared" si="0"/>
        <v>60.3</v>
      </c>
      <c r="E18" s="364">
        <v>4834</v>
      </c>
      <c r="F18" s="296"/>
      <c r="G18" s="296"/>
    </row>
    <row r="19" spans="1:5" ht="25.5">
      <c r="A19" s="396" t="s">
        <v>597</v>
      </c>
      <c r="B19" s="332">
        <v>43654</v>
      </c>
      <c r="C19" s="332">
        <v>25789</v>
      </c>
      <c r="D19" s="305">
        <f t="shared" si="0"/>
        <v>59.08</v>
      </c>
      <c r="E19" s="364">
        <v>4022</v>
      </c>
    </row>
    <row r="20" spans="1:5" ht="12">
      <c r="A20" s="395" t="s">
        <v>591</v>
      </c>
      <c r="B20" s="332">
        <v>5971</v>
      </c>
      <c r="C20" s="332">
        <v>2838</v>
      </c>
      <c r="D20" s="305">
        <f t="shared" si="0"/>
        <v>47.53</v>
      </c>
      <c r="E20" s="364">
        <v>466</v>
      </c>
    </row>
    <row r="21" spans="1:5" ht="12">
      <c r="A21" s="395" t="s">
        <v>592</v>
      </c>
      <c r="B21" s="332">
        <v>3078</v>
      </c>
      <c r="C21" s="332">
        <v>1589</v>
      </c>
      <c r="D21" s="305">
        <f t="shared" si="0"/>
        <v>51.62</v>
      </c>
      <c r="E21" s="364">
        <v>311</v>
      </c>
    </row>
    <row r="22" spans="1:5" ht="12">
      <c r="A22" s="395" t="s">
        <v>593</v>
      </c>
      <c r="B22" s="332">
        <v>19841</v>
      </c>
      <c r="C22" s="332">
        <v>10630</v>
      </c>
      <c r="D22" s="305">
        <f t="shared" si="0"/>
        <v>53.58</v>
      </c>
      <c r="E22" s="364">
        <v>1428</v>
      </c>
    </row>
    <row r="23" spans="1:5" ht="12">
      <c r="A23" s="395" t="s">
        <v>594</v>
      </c>
      <c r="B23" s="332">
        <v>14764</v>
      </c>
      <c r="C23" s="332">
        <v>10732</v>
      </c>
      <c r="D23" s="305">
        <f t="shared" si="0"/>
        <v>72.69</v>
      </c>
      <c r="E23" s="364">
        <v>1817</v>
      </c>
    </row>
    <row r="24" spans="1:5" ht="25.5">
      <c r="A24" s="397" t="s">
        <v>598</v>
      </c>
      <c r="B24" s="370">
        <v>4729</v>
      </c>
      <c r="C24" s="370">
        <v>3385</v>
      </c>
      <c r="D24" s="385">
        <f t="shared" si="0"/>
        <v>71.58</v>
      </c>
      <c r="E24" s="371">
        <v>812</v>
      </c>
    </row>
    <row r="25" ht="11.25">
      <c r="A25" s="300" t="s">
        <v>558</v>
      </c>
    </row>
    <row r="26" spans="1:5" s="302" customFormat="1" ht="11.25">
      <c r="A26" s="379"/>
      <c r="B26" s="296"/>
      <c r="C26" s="296"/>
      <c r="D26" s="296"/>
      <c r="E26" s="296"/>
    </row>
    <row r="27" spans="1:5" s="351" customFormat="1" ht="12">
      <c r="A27" s="379"/>
      <c r="B27" s="296"/>
      <c r="C27" s="296"/>
      <c r="D27" s="296"/>
      <c r="E27" s="296"/>
    </row>
    <row r="28" spans="1:5" s="351" customFormat="1" ht="12">
      <c r="A28" s="379"/>
      <c r="B28" s="302"/>
      <c r="C28" s="378"/>
      <c r="D28" s="302"/>
      <c r="E28" s="302"/>
    </row>
    <row r="29" spans="1:5" ht="12">
      <c r="A29" s="347"/>
      <c r="E29" s="377"/>
    </row>
    <row r="30" spans="1:5" ht="12">
      <c r="A30" s="347" t="s">
        <v>532</v>
      </c>
      <c r="B30" s="347"/>
      <c r="C30" s="389"/>
      <c r="D30" s="389"/>
      <c r="E30" s="377" t="s">
        <v>491</v>
      </c>
    </row>
    <row r="31" spans="1:5" ht="12">
      <c r="A31" s="347"/>
      <c r="B31" s="347"/>
      <c r="E31" s="377"/>
    </row>
    <row r="32" ht="11.25">
      <c r="A32" s="326"/>
    </row>
    <row r="33" ht="11.25">
      <c r="A33" s="326"/>
    </row>
    <row r="34" s="297" customFormat="1" ht="12" customHeight="1">
      <c r="A34" s="346"/>
    </row>
    <row r="35" s="297" customFormat="1" ht="12" customHeight="1">
      <c r="A35" s="346"/>
    </row>
    <row r="36" ht="12.75">
      <c r="A36" s="346"/>
    </row>
  </sheetData>
  <printOptions/>
  <pageMargins left="0.75" right="0.75" top="1" bottom="1" header="0.5" footer="0.5"/>
  <pageSetup orientation="portrait" r:id="rId1"/>
  <headerFooter alignWithMargins="0">
    <oddFooter>&amp;L&amp;"Arial,Regular"&amp;8Valsts kase / Pārskatu departaments
15.09.99.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T49"/>
  <sheetViews>
    <sheetView workbookViewId="0" topLeftCell="A1">
      <selection activeCell="A23" sqref="A23"/>
    </sheetView>
  </sheetViews>
  <sheetFormatPr defaultColWidth="9.140625" defaultRowHeight="12.75"/>
  <cols>
    <col min="1" max="1" width="39.7109375" style="296" customWidth="1"/>
    <col min="2" max="5" width="12.7109375" style="296" customWidth="1"/>
    <col min="6" max="16384" width="8.00390625" style="296" customWidth="1"/>
  </cols>
  <sheetData>
    <row r="1" spans="1:5" s="300" customFormat="1" ht="12.75">
      <c r="A1" s="294" t="s">
        <v>599</v>
      </c>
      <c r="B1" s="294"/>
      <c r="C1" s="294"/>
      <c r="D1" s="294"/>
      <c r="E1" s="294" t="s">
        <v>600</v>
      </c>
    </row>
    <row r="2" spans="1:5" s="300" customFormat="1" ht="12.75">
      <c r="A2" s="294"/>
      <c r="B2" s="294"/>
      <c r="C2" s="294"/>
      <c r="D2" s="294"/>
      <c r="E2" s="295"/>
    </row>
    <row r="3" spans="4:5" ht="11.25">
      <c r="D3" s="325"/>
      <c r="E3" s="325"/>
    </row>
    <row r="4" spans="1:5" s="323" customFormat="1" ht="15.75">
      <c r="A4" s="320" t="s">
        <v>601</v>
      </c>
      <c r="B4" s="325"/>
      <c r="C4" s="325"/>
      <c r="D4" s="325"/>
      <c r="E4" s="325"/>
    </row>
    <row r="5" spans="1:5" ht="15.75">
      <c r="A5" s="320" t="s">
        <v>498</v>
      </c>
      <c r="B5" s="325"/>
      <c r="C5" s="325"/>
      <c r="D5" s="325"/>
      <c r="E5" s="325"/>
    </row>
    <row r="6" spans="1:5" ht="11.25">
      <c r="A6" s="379"/>
      <c r="B6" s="325"/>
      <c r="C6" s="325"/>
      <c r="D6" s="325"/>
      <c r="E6" s="325"/>
    </row>
    <row r="7" spans="1:5" ht="11.25">
      <c r="A7" s="379"/>
      <c r="B7" s="325"/>
      <c r="C7" s="325"/>
      <c r="D7" s="325"/>
      <c r="E7" s="325"/>
    </row>
    <row r="8" spans="2:81" s="300" customFormat="1" ht="15">
      <c r="B8" s="327"/>
      <c r="C8" s="327"/>
      <c r="D8" s="398" t="s">
        <v>602</v>
      </c>
      <c r="E8" s="399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</row>
    <row r="9" spans="1:254" s="297" customFormat="1" ht="33.75" customHeight="1">
      <c r="A9" s="358" t="s">
        <v>5</v>
      </c>
      <c r="B9" s="359" t="s">
        <v>447</v>
      </c>
      <c r="C9" s="359" t="s">
        <v>7</v>
      </c>
      <c r="D9" s="359" t="s">
        <v>499</v>
      </c>
      <c r="E9" s="360" t="s">
        <v>331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359"/>
      <c r="CE9" s="360"/>
      <c r="CF9" s="358"/>
      <c r="CG9" s="359"/>
      <c r="CH9" s="359"/>
      <c r="CI9" s="359"/>
      <c r="CJ9" s="360"/>
      <c r="CK9" s="358"/>
      <c r="CL9" s="359"/>
      <c r="CM9" s="359"/>
      <c r="CN9" s="359"/>
      <c r="CO9" s="360"/>
      <c r="CP9" s="358"/>
      <c r="CQ9" s="359"/>
      <c r="CR9" s="359"/>
      <c r="CS9" s="359"/>
      <c r="CT9" s="360"/>
      <c r="CU9" s="358"/>
      <c r="CV9" s="359"/>
      <c r="CW9" s="359"/>
      <c r="CX9" s="359"/>
      <c r="CY9" s="360"/>
      <c r="CZ9" s="358"/>
      <c r="DA9" s="359"/>
      <c r="DB9" s="359"/>
      <c r="DC9" s="359"/>
      <c r="DD9" s="360"/>
      <c r="DE9" s="358"/>
      <c r="DF9" s="359"/>
      <c r="DG9" s="359"/>
      <c r="DH9" s="359"/>
      <c r="DI9" s="360"/>
      <c r="DJ9" s="358"/>
      <c r="DK9" s="359"/>
      <c r="DL9" s="359"/>
      <c r="DM9" s="359"/>
      <c r="DN9" s="360"/>
      <c r="DO9" s="358"/>
      <c r="DP9" s="359"/>
      <c r="DQ9" s="359"/>
      <c r="DR9" s="359"/>
      <c r="DS9" s="360"/>
      <c r="DT9" s="358"/>
      <c r="DU9" s="359"/>
      <c r="DV9" s="359"/>
      <c r="DW9" s="359"/>
      <c r="DX9" s="360"/>
      <c r="DY9" s="358"/>
      <c r="DZ9" s="359"/>
      <c r="EA9" s="359"/>
      <c r="EB9" s="359"/>
      <c r="EC9" s="360"/>
      <c r="ED9" s="358"/>
      <c r="EE9" s="359"/>
      <c r="EF9" s="359"/>
      <c r="EG9" s="359"/>
      <c r="EH9" s="360"/>
      <c r="EI9" s="358"/>
      <c r="EJ9" s="359"/>
      <c r="EK9" s="359"/>
      <c r="EL9" s="359"/>
      <c r="EM9" s="360"/>
      <c r="EN9" s="358"/>
      <c r="EO9" s="359"/>
      <c r="EP9" s="359"/>
      <c r="EQ9" s="359"/>
      <c r="ER9" s="360"/>
      <c r="ES9" s="358"/>
      <c r="ET9" s="359"/>
      <c r="EU9" s="359"/>
      <c r="EV9" s="359"/>
      <c r="EW9" s="360"/>
      <c r="EX9" s="358"/>
      <c r="EY9" s="359"/>
      <c r="EZ9" s="359"/>
      <c r="FA9" s="359"/>
      <c r="FB9" s="360"/>
      <c r="FC9" s="358"/>
      <c r="FD9" s="359"/>
      <c r="FE9" s="359"/>
      <c r="FF9" s="359"/>
      <c r="FG9" s="360"/>
      <c r="FH9" s="358"/>
      <c r="FI9" s="359"/>
      <c r="FJ9" s="359"/>
      <c r="FK9" s="359"/>
      <c r="FL9" s="360"/>
      <c r="FM9" s="358"/>
      <c r="FN9" s="359"/>
      <c r="FO9" s="359"/>
      <c r="FP9" s="359"/>
      <c r="FQ9" s="360"/>
      <c r="FR9" s="358"/>
      <c r="FS9" s="359"/>
      <c r="FT9" s="359"/>
      <c r="FU9" s="359"/>
      <c r="FV9" s="360"/>
      <c r="FW9" s="358"/>
      <c r="FX9" s="359"/>
      <c r="FY9" s="359"/>
      <c r="FZ9" s="359"/>
      <c r="GA9" s="360"/>
      <c r="GB9" s="358"/>
      <c r="GC9" s="359"/>
      <c r="GD9" s="359"/>
      <c r="GE9" s="359"/>
      <c r="GF9" s="360"/>
      <c r="GG9" s="358"/>
      <c r="GH9" s="359"/>
      <c r="GI9" s="359"/>
      <c r="GJ9" s="359"/>
      <c r="GK9" s="360"/>
      <c r="GL9" s="358"/>
      <c r="GM9" s="359"/>
      <c r="GN9" s="359"/>
      <c r="GO9" s="359"/>
      <c r="GP9" s="360"/>
      <c r="GQ9" s="358"/>
      <c r="GR9" s="359"/>
      <c r="GS9" s="359"/>
      <c r="GT9" s="359"/>
      <c r="GU9" s="360"/>
      <c r="GV9" s="358"/>
      <c r="GW9" s="359"/>
      <c r="GX9" s="359"/>
      <c r="GY9" s="359"/>
      <c r="GZ9" s="360"/>
      <c r="HA9" s="358"/>
      <c r="HB9" s="359"/>
      <c r="HC9" s="359"/>
      <c r="HD9" s="359"/>
      <c r="HE9" s="360"/>
      <c r="HF9" s="358"/>
      <c r="HG9" s="359"/>
      <c r="HH9" s="359"/>
      <c r="HI9" s="359"/>
      <c r="HJ9" s="360"/>
      <c r="HK9" s="358"/>
      <c r="HL9" s="359"/>
      <c r="HM9" s="359"/>
      <c r="HN9" s="359"/>
      <c r="HO9" s="360"/>
      <c r="HP9" s="358"/>
      <c r="HQ9" s="359"/>
      <c r="HR9" s="359"/>
      <c r="HS9" s="359"/>
      <c r="HT9" s="360"/>
      <c r="HU9" s="358"/>
      <c r="HV9" s="359"/>
      <c r="HW9" s="359"/>
      <c r="HX9" s="359"/>
      <c r="HY9" s="360"/>
      <c r="HZ9" s="358"/>
      <c r="IA9" s="359"/>
      <c r="IB9" s="359"/>
      <c r="IC9" s="359"/>
      <c r="ID9" s="360"/>
      <c r="IE9" s="358"/>
      <c r="IF9" s="359"/>
      <c r="IG9" s="359"/>
      <c r="IH9" s="359"/>
      <c r="II9" s="360"/>
      <c r="IJ9" s="358"/>
      <c r="IK9" s="359"/>
      <c r="IL9" s="359"/>
      <c r="IM9" s="359"/>
      <c r="IN9" s="360"/>
      <c r="IO9" s="358"/>
      <c r="IP9" s="359"/>
      <c r="IQ9" s="359"/>
      <c r="IR9" s="359"/>
      <c r="IS9" s="360"/>
      <c r="IT9" s="358"/>
    </row>
    <row r="10" spans="1:5" ht="11.25">
      <c r="A10" s="390">
        <v>1</v>
      </c>
      <c r="B10" s="391">
        <v>2</v>
      </c>
      <c r="C10" s="391">
        <v>3</v>
      </c>
      <c r="D10" s="392">
        <v>4</v>
      </c>
      <c r="E10" s="393">
        <v>5</v>
      </c>
    </row>
    <row r="11" spans="1:5" s="297" customFormat="1" ht="12.75" customHeight="1">
      <c r="A11" s="363" t="s">
        <v>363</v>
      </c>
      <c r="B11" s="332">
        <v>41058</v>
      </c>
      <c r="C11" s="332">
        <v>27954</v>
      </c>
      <c r="D11" s="305">
        <f aca="true" t="shared" si="0" ref="D11:D40">C11/B11*100</f>
        <v>68.08</v>
      </c>
      <c r="E11" s="364">
        <v>3944</v>
      </c>
    </row>
    <row r="12" spans="1:5" s="297" customFormat="1" ht="12.75">
      <c r="A12" s="363" t="s">
        <v>564</v>
      </c>
      <c r="B12" s="332">
        <v>53984</v>
      </c>
      <c r="C12" s="332">
        <f>SUM(C13+C32)</f>
        <v>29480</v>
      </c>
      <c r="D12" s="305">
        <f t="shared" si="0"/>
        <v>54.61</v>
      </c>
      <c r="E12" s="364">
        <f>SUM(E13+E32)</f>
        <v>4454</v>
      </c>
    </row>
    <row r="13" spans="1:5" s="344" customFormat="1" ht="11.25" customHeight="1">
      <c r="A13" s="365" t="s">
        <v>366</v>
      </c>
      <c r="B13" s="332">
        <v>37854</v>
      </c>
      <c r="C13" s="332">
        <v>21582</v>
      </c>
      <c r="D13" s="305">
        <f t="shared" si="0"/>
        <v>57.01</v>
      </c>
      <c r="E13" s="364">
        <v>3120</v>
      </c>
    </row>
    <row r="14" spans="1:5" s="344" customFormat="1" ht="11.25" customHeight="1">
      <c r="A14" s="382" t="s">
        <v>138</v>
      </c>
      <c r="B14" s="332">
        <v>30197</v>
      </c>
      <c r="C14" s="332">
        <v>16470</v>
      </c>
      <c r="D14" s="305">
        <f t="shared" si="0"/>
        <v>54.54</v>
      </c>
      <c r="E14" s="364">
        <v>2389</v>
      </c>
    </row>
    <row r="15" spans="1:5" s="344" customFormat="1" ht="11.25" customHeight="1" hidden="1">
      <c r="A15" s="368" t="s">
        <v>565</v>
      </c>
      <c r="B15" s="332">
        <v>935</v>
      </c>
      <c r="C15" s="332">
        <v>20</v>
      </c>
      <c r="D15" s="305">
        <f t="shared" si="0"/>
        <v>2.14</v>
      </c>
      <c r="E15" s="364">
        <v>0</v>
      </c>
    </row>
    <row r="16" spans="1:5" ht="12">
      <c r="A16" s="368" t="s">
        <v>566</v>
      </c>
      <c r="B16" s="332">
        <v>2823</v>
      </c>
      <c r="C16" s="332">
        <v>1610</v>
      </c>
      <c r="D16" s="305">
        <f t="shared" si="0"/>
        <v>57.03</v>
      </c>
      <c r="E16" s="364">
        <v>202</v>
      </c>
    </row>
    <row r="17" spans="1:5" ht="12">
      <c r="A17" s="368" t="s">
        <v>567</v>
      </c>
      <c r="B17" s="332">
        <v>768</v>
      </c>
      <c r="C17" s="332">
        <v>413</v>
      </c>
      <c r="D17" s="305">
        <f t="shared" si="0"/>
        <v>53.78</v>
      </c>
      <c r="E17" s="364">
        <v>46</v>
      </c>
    </row>
    <row r="18" spans="1:5" ht="12" hidden="1">
      <c r="A18" s="368" t="s">
        <v>568</v>
      </c>
      <c r="B18" s="332">
        <v>237</v>
      </c>
      <c r="C18" s="332">
        <v>114</v>
      </c>
      <c r="D18" s="305">
        <f t="shared" si="0"/>
        <v>48.1</v>
      </c>
      <c r="E18" s="364">
        <v>-7</v>
      </c>
    </row>
    <row r="19" spans="1:5" ht="12" hidden="1">
      <c r="A19" s="368" t="s">
        <v>569</v>
      </c>
      <c r="B19" s="332">
        <v>22336</v>
      </c>
      <c r="C19" s="332">
        <v>10712</v>
      </c>
      <c r="D19" s="305">
        <f t="shared" si="0"/>
        <v>47.96</v>
      </c>
      <c r="E19" s="364">
        <v>2119</v>
      </c>
    </row>
    <row r="20" spans="1:5" ht="12" hidden="1">
      <c r="A20" s="368" t="s">
        <v>570</v>
      </c>
      <c r="B20" s="332">
        <v>3176</v>
      </c>
      <c r="C20" s="332">
        <v>1434</v>
      </c>
      <c r="D20" s="305">
        <f t="shared" si="0"/>
        <v>45.15</v>
      </c>
      <c r="E20" s="364">
        <v>122</v>
      </c>
    </row>
    <row r="21" spans="1:5" ht="12" hidden="1">
      <c r="A21" s="368" t="s">
        <v>571</v>
      </c>
      <c r="B21" s="332">
        <v>29</v>
      </c>
      <c r="C21" s="332">
        <v>26</v>
      </c>
      <c r="D21" s="305">
        <f t="shared" si="0"/>
        <v>89.66</v>
      </c>
      <c r="E21" s="364">
        <v>0</v>
      </c>
    </row>
    <row r="22" spans="1:5" ht="12">
      <c r="A22" s="368" t="s">
        <v>572</v>
      </c>
      <c r="B22" s="332">
        <v>26606</v>
      </c>
      <c r="C22" s="332">
        <v>14447</v>
      </c>
      <c r="D22" s="305">
        <f t="shared" si="0"/>
        <v>54.3</v>
      </c>
      <c r="E22" s="364">
        <v>2141</v>
      </c>
    </row>
    <row r="23" spans="1:5" ht="12">
      <c r="A23" s="383" t="s">
        <v>573</v>
      </c>
      <c r="B23" s="332">
        <v>25455</v>
      </c>
      <c r="C23" s="332">
        <v>14273</v>
      </c>
      <c r="D23" s="305">
        <f t="shared" si="0"/>
        <v>56.07</v>
      </c>
      <c r="E23" s="364">
        <v>2127</v>
      </c>
    </row>
    <row r="24" spans="1:5" ht="12">
      <c r="A24" s="383" t="s">
        <v>603</v>
      </c>
      <c r="B24" s="332">
        <v>1151</v>
      </c>
      <c r="C24" s="332">
        <v>174</v>
      </c>
      <c r="D24" s="305">
        <f t="shared" si="0"/>
        <v>15.12</v>
      </c>
      <c r="E24" s="364">
        <v>14</v>
      </c>
    </row>
    <row r="25" spans="1:5" ht="12">
      <c r="A25" s="382" t="s">
        <v>575</v>
      </c>
      <c r="B25" s="332">
        <v>40</v>
      </c>
      <c r="C25" s="332">
        <v>26</v>
      </c>
      <c r="D25" s="305">
        <f t="shared" si="0"/>
        <v>65</v>
      </c>
      <c r="E25" s="364">
        <v>5</v>
      </c>
    </row>
    <row r="26" spans="1:5" ht="12">
      <c r="A26" s="382" t="s">
        <v>148</v>
      </c>
      <c r="B26" s="332">
        <v>7617</v>
      </c>
      <c r="C26" s="332">
        <v>5086</v>
      </c>
      <c r="D26" s="305">
        <f t="shared" si="0"/>
        <v>66.77</v>
      </c>
      <c r="E26" s="364">
        <v>726</v>
      </c>
    </row>
    <row r="27" spans="1:5" ht="12">
      <c r="A27" s="368" t="s">
        <v>576</v>
      </c>
      <c r="B27" s="332">
        <v>2</v>
      </c>
      <c r="C27" s="332">
        <v>11</v>
      </c>
      <c r="D27" s="305">
        <f t="shared" si="0"/>
        <v>550</v>
      </c>
      <c r="E27" s="364">
        <v>9</v>
      </c>
    </row>
    <row r="28" spans="1:5" ht="12">
      <c r="A28" s="368" t="s">
        <v>577</v>
      </c>
      <c r="B28" s="332">
        <v>135</v>
      </c>
      <c r="C28" s="332">
        <v>82</v>
      </c>
      <c r="D28" s="305">
        <f t="shared" si="0"/>
        <v>60.74</v>
      </c>
      <c r="E28" s="364"/>
    </row>
    <row r="29" spans="1:5" ht="12">
      <c r="A29" s="368" t="s">
        <v>578</v>
      </c>
      <c r="B29" s="332">
        <v>494</v>
      </c>
      <c r="C29" s="332">
        <v>269</v>
      </c>
      <c r="D29" s="305">
        <f t="shared" si="0"/>
        <v>54.45</v>
      </c>
      <c r="E29" s="364">
        <v>23</v>
      </c>
    </row>
    <row r="30" spans="1:5" ht="12">
      <c r="A30" s="368" t="s">
        <v>579</v>
      </c>
      <c r="B30" s="332">
        <v>4917</v>
      </c>
      <c r="C30" s="332">
        <v>3229</v>
      </c>
      <c r="D30" s="305">
        <f t="shared" si="0"/>
        <v>65.67</v>
      </c>
      <c r="E30" s="364">
        <v>492</v>
      </c>
    </row>
    <row r="31" spans="1:5" ht="12">
      <c r="A31" s="368" t="s">
        <v>580</v>
      </c>
      <c r="B31" s="332">
        <v>2069</v>
      </c>
      <c r="C31" s="332">
        <v>1496</v>
      </c>
      <c r="D31" s="305">
        <f t="shared" si="0"/>
        <v>72.31</v>
      </c>
      <c r="E31" s="364">
        <v>202</v>
      </c>
    </row>
    <row r="32" spans="1:7" s="344" customFormat="1" ht="11.25" customHeight="1">
      <c r="A32" s="365" t="s">
        <v>581</v>
      </c>
      <c r="B32" s="332">
        <v>16130</v>
      </c>
      <c r="C32" s="332">
        <v>7898</v>
      </c>
      <c r="D32" s="305">
        <f t="shared" si="0"/>
        <v>48.96</v>
      </c>
      <c r="E32" s="364">
        <v>1334</v>
      </c>
      <c r="G32" s="296"/>
    </row>
    <row r="33" spans="1:7" s="344" customFormat="1" ht="11.25" customHeight="1">
      <c r="A33" s="368" t="s">
        <v>155</v>
      </c>
      <c r="B33" s="332">
        <v>13724</v>
      </c>
      <c r="C33" s="332">
        <v>6406</v>
      </c>
      <c r="D33" s="305">
        <f t="shared" si="0"/>
        <v>46.68</v>
      </c>
      <c r="E33" s="364">
        <v>1313</v>
      </c>
      <c r="F33" s="296"/>
      <c r="G33" s="296"/>
    </row>
    <row r="34" spans="1:5" ht="12" hidden="1">
      <c r="A34" s="368" t="s">
        <v>155</v>
      </c>
      <c r="B34" s="332">
        <v>384767</v>
      </c>
      <c r="C34" s="332">
        <v>230407</v>
      </c>
      <c r="D34" s="305">
        <f t="shared" si="0"/>
        <v>59.88</v>
      </c>
      <c r="E34" s="364">
        <v>31748</v>
      </c>
    </row>
    <row r="35" spans="1:5" ht="12" hidden="1">
      <c r="A35" s="368" t="s">
        <v>582</v>
      </c>
      <c r="B35" s="332">
        <v>354340</v>
      </c>
      <c r="C35" s="332">
        <v>213646</v>
      </c>
      <c r="D35" s="305">
        <f t="shared" si="0"/>
        <v>60.29</v>
      </c>
      <c r="E35" s="364">
        <v>29177</v>
      </c>
    </row>
    <row r="36" spans="1:5" ht="12">
      <c r="A36" s="368" t="s">
        <v>156</v>
      </c>
      <c r="B36" s="332">
        <v>2406</v>
      </c>
      <c r="C36" s="332">
        <v>1492</v>
      </c>
      <c r="D36" s="305">
        <f t="shared" si="0"/>
        <v>62.01</v>
      </c>
      <c r="E36" s="364">
        <v>21</v>
      </c>
    </row>
    <row r="37" spans="1:7" s="344" customFormat="1" ht="11.25" customHeight="1">
      <c r="A37" s="365" t="s">
        <v>583</v>
      </c>
      <c r="B37" s="332">
        <v>-5601</v>
      </c>
      <c r="C37" s="332">
        <v>-306</v>
      </c>
      <c r="D37" s="305">
        <f t="shared" si="0"/>
        <v>5.46</v>
      </c>
      <c r="E37" s="364">
        <v>380</v>
      </c>
      <c r="G37" s="296"/>
    </row>
    <row r="38" spans="1:5" ht="12.75" customHeight="1">
      <c r="A38" s="368" t="s">
        <v>584</v>
      </c>
      <c r="B38" s="332">
        <v>1463</v>
      </c>
      <c r="C38" s="332">
        <v>2598</v>
      </c>
      <c r="D38" s="305">
        <f t="shared" si="0"/>
        <v>177.58</v>
      </c>
      <c r="E38" s="364">
        <v>419</v>
      </c>
    </row>
    <row r="39" spans="1:5" ht="12.75" customHeight="1">
      <c r="A39" s="369" t="s">
        <v>585</v>
      </c>
      <c r="B39" s="370">
        <v>7064</v>
      </c>
      <c r="C39" s="370">
        <v>2904</v>
      </c>
      <c r="D39" s="400">
        <f t="shared" si="0"/>
        <v>41.11</v>
      </c>
      <c r="E39" s="371">
        <v>39</v>
      </c>
    </row>
    <row r="40" spans="1:5" ht="12.75" customHeight="1">
      <c r="A40" s="386" t="s">
        <v>242</v>
      </c>
      <c r="B40" s="370">
        <f>B11-B12-B37</f>
        <v>-7325</v>
      </c>
      <c r="C40" s="370">
        <f>C11-C12-C37</f>
        <v>-1220</v>
      </c>
      <c r="D40" s="401">
        <f t="shared" si="0"/>
        <v>16.66</v>
      </c>
      <c r="E40" s="371">
        <f>E11-E12-E37</f>
        <v>-890</v>
      </c>
    </row>
    <row r="41" spans="1:4" ht="12">
      <c r="A41" s="352"/>
      <c r="B41" s="374"/>
      <c r="C41" s="374"/>
      <c r="D41" s="402"/>
    </row>
    <row r="42" ht="11.25">
      <c r="A42" s="379"/>
    </row>
    <row r="43" spans="1:7" s="351" customFormat="1" ht="12">
      <c r="A43" s="379"/>
      <c r="B43" s="296"/>
      <c r="C43" s="296"/>
      <c r="D43" s="296"/>
      <c r="E43" s="296"/>
      <c r="F43" s="296"/>
      <c r="G43" s="296"/>
    </row>
    <row r="44" spans="1:7" s="351" customFormat="1" ht="12">
      <c r="A44" s="352"/>
      <c r="B44" s="296"/>
      <c r="C44" s="296"/>
      <c r="D44" s="296"/>
      <c r="E44" s="296"/>
      <c r="F44" s="296"/>
      <c r="G44" s="296"/>
    </row>
    <row r="45" spans="1:254" s="297" customFormat="1" ht="12.75">
      <c r="A45" s="347" t="s">
        <v>532</v>
      </c>
      <c r="B45" s="347"/>
      <c r="C45" s="389"/>
      <c r="D45" s="403"/>
      <c r="E45" s="377" t="s">
        <v>491</v>
      </c>
      <c r="F45" s="296"/>
      <c r="G45" s="296"/>
      <c r="H45" s="378"/>
      <c r="I45" s="404"/>
      <c r="J45" s="404"/>
      <c r="K45" s="405"/>
      <c r="L45" s="296"/>
      <c r="M45" s="347"/>
      <c r="N45" s="347"/>
      <c r="O45" s="351"/>
      <c r="P45" s="351"/>
      <c r="Q45" s="351"/>
      <c r="R45" s="351"/>
      <c r="S45" s="296"/>
      <c r="T45" s="347"/>
      <c r="U45" s="347"/>
      <c r="V45" s="378"/>
      <c r="W45" s="376"/>
      <c r="X45" s="376"/>
      <c r="Y45" s="405"/>
      <c r="Z45" s="296"/>
      <c r="AA45" s="347"/>
      <c r="AB45" s="347"/>
      <c r="AC45" s="378"/>
      <c r="AD45" s="376"/>
      <c r="AE45" s="376"/>
      <c r="AF45" s="405"/>
      <c r="AG45" s="296"/>
      <c r="AH45" s="347"/>
      <c r="AI45" s="347"/>
      <c r="AJ45" s="378"/>
      <c r="AK45" s="376"/>
      <c r="AL45" s="376"/>
      <c r="AM45" s="405"/>
      <c r="AN45" s="296"/>
      <c r="AO45" s="347"/>
      <c r="AP45" s="347"/>
      <c r="AQ45" s="378"/>
      <c r="AR45" s="376"/>
      <c r="AS45" s="376"/>
      <c r="AT45" s="405"/>
      <c r="AU45" s="296"/>
      <c r="AV45" s="347"/>
      <c r="AW45" s="347"/>
      <c r="AX45" s="378"/>
      <c r="AY45" s="376"/>
      <c r="AZ45" s="376"/>
      <c r="BA45" s="405"/>
      <c r="BB45" s="296"/>
      <c r="BC45" s="347"/>
      <c r="BD45" s="347"/>
      <c r="BE45" s="378"/>
      <c r="BF45" s="376"/>
      <c r="BG45" s="376"/>
      <c r="BH45" s="405"/>
      <c r="BI45" s="296"/>
      <c r="BJ45" s="347"/>
      <c r="BK45" s="347"/>
      <c r="BL45" s="378"/>
      <c r="BM45" s="376"/>
      <c r="BN45" s="376"/>
      <c r="BO45" s="405"/>
      <c r="BP45" s="296"/>
      <c r="BQ45" s="347"/>
      <c r="BR45" s="347"/>
      <c r="BS45" s="378"/>
      <c r="BT45" s="376"/>
      <c r="BU45" s="376"/>
      <c r="BV45" s="405"/>
      <c r="BW45" s="296"/>
      <c r="BX45" s="347"/>
      <c r="BY45" s="347"/>
      <c r="BZ45" s="378"/>
      <c r="CA45" s="376"/>
      <c r="CB45" s="376"/>
      <c r="CC45" s="405"/>
      <c r="CD45" s="296"/>
      <c r="CE45" s="347"/>
      <c r="CF45" s="347"/>
      <c r="CG45" s="378"/>
      <c r="CH45" s="376"/>
      <c r="CI45" s="376"/>
      <c r="CJ45" s="405"/>
      <c r="CK45" s="296"/>
      <c r="CL45" s="347"/>
      <c r="CM45" s="347"/>
      <c r="CN45" s="378"/>
      <c r="CO45" s="376"/>
      <c r="CP45" s="376"/>
      <c r="CQ45" s="405"/>
      <c r="CR45" s="296"/>
      <c r="CS45" s="347"/>
      <c r="CT45" s="347"/>
      <c r="CU45" s="378"/>
      <c r="CV45" s="376"/>
      <c r="CW45" s="376"/>
      <c r="CX45" s="405"/>
      <c r="CY45" s="296"/>
      <c r="CZ45" s="347"/>
      <c r="DA45" s="347"/>
      <c r="DB45" s="378"/>
      <c r="DC45" s="376"/>
      <c r="DD45" s="376"/>
      <c r="DE45" s="405"/>
      <c r="DF45" s="296"/>
      <c r="DG45" s="347"/>
      <c r="DH45" s="347"/>
      <c r="DI45" s="378"/>
      <c r="DJ45" s="376"/>
      <c r="DK45" s="376"/>
      <c r="DL45" s="405"/>
      <c r="DM45" s="296"/>
      <c r="DN45" s="347"/>
      <c r="DO45" s="347"/>
      <c r="DP45" s="378"/>
      <c r="DQ45" s="376"/>
      <c r="DR45" s="376"/>
      <c r="DS45" s="405"/>
      <c r="DT45" s="296"/>
      <c r="DU45" s="347"/>
      <c r="DV45" s="347"/>
      <c r="DW45" s="378"/>
      <c r="DX45" s="376"/>
      <c r="DY45" s="376"/>
      <c r="DZ45" s="405"/>
      <c r="EA45" s="296"/>
      <c r="EB45" s="347"/>
      <c r="EC45" s="347"/>
      <c r="ED45" s="378"/>
      <c r="EE45" s="376"/>
      <c r="EF45" s="376"/>
      <c r="EG45" s="405"/>
      <c r="EH45" s="296"/>
      <c r="EI45" s="347"/>
      <c r="EJ45" s="347"/>
      <c r="EK45" s="378"/>
      <c r="EL45" s="376"/>
      <c r="EM45" s="376"/>
      <c r="EN45" s="405"/>
      <c r="EO45" s="296"/>
      <c r="EP45" s="347"/>
      <c r="EQ45" s="347"/>
      <c r="ER45" s="378"/>
      <c r="ES45" s="376"/>
      <c r="ET45" s="376"/>
      <c r="EU45" s="405"/>
      <c r="EV45" s="296"/>
      <c r="EW45" s="347"/>
      <c r="EX45" s="347"/>
      <c r="EY45" s="378"/>
      <c r="EZ45" s="376"/>
      <c r="FA45" s="376"/>
      <c r="FB45" s="405"/>
      <c r="FC45" s="296"/>
      <c r="FD45" s="347"/>
      <c r="FE45" s="347"/>
      <c r="FF45" s="378"/>
      <c r="FG45" s="376"/>
      <c r="FH45" s="376"/>
      <c r="FI45" s="405"/>
      <c r="FJ45" s="296"/>
      <c r="FK45" s="347"/>
      <c r="FL45" s="347"/>
      <c r="FM45" s="378"/>
      <c r="FN45" s="376"/>
      <c r="FO45" s="376"/>
      <c r="FP45" s="405"/>
      <c r="FQ45" s="296"/>
      <c r="FR45" s="347"/>
      <c r="FS45" s="347"/>
      <c r="FT45" s="378"/>
      <c r="FU45" s="376"/>
      <c r="FV45" s="376"/>
      <c r="FW45" s="405"/>
      <c r="FX45" s="296"/>
      <c r="FY45" s="347"/>
      <c r="FZ45" s="347"/>
      <c r="GA45" s="378"/>
      <c r="GB45" s="376"/>
      <c r="GC45" s="376"/>
      <c r="GD45" s="405"/>
      <c r="GE45" s="296"/>
      <c r="GF45" s="347"/>
      <c r="GG45" s="347"/>
      <c r="GH45" s="378"/>
      <c r="GI45" s="376"/>
      <c r="GJ45" s="376"/>
      <c r="GK45" s="405"/>
      <c r="GL45" s="296"/>
      <c r="GM45" s="347"/>
      <c r="GN45" s="347"/>
      <c r="GO45" s="378"/>
      <c r="GP45" s="376"/>
      <c r="GQ45" s="376"/>
      <c r="GR45" s="405"/>
      <c r="GS45" s="296"/>
      <c r="GT45" s="347"/>
      <c r="GU45" s="347"/>
      <c r="GV45" s="378"/>
      <c r="GW45" s="376"/>
      <c r="GX45" s="376"/>
      <c r="GY45" s="405"/>
      <c r="GZ45" s="296"/>
      <c r="HA45" s="347"/>
      <c r="HB45" s="347"/>
      <c r="HC45" s="378"/>
      <c r="HD45" s="376"/>
      <c r="HE45" s="376"/>
      <c r="HF45" s="405"/>
      <c r="HG45" s="296"/>
      <c r="HH45" s="347"/>
      <c r="HI45" s="347"/>
      <c r="HJ45" s="378"/>
      <c r="HK45" s="376"/>
      <c r="HL45" s="376"/>
      <c r="HM45" s="405"/>
      <c r="HN45" s="296"/>
      <c r="HO45" s="347"/>
      <c r="HP45" s="347"/>
      <c r="HQ45" s="378"/>
      <c r="HR45" s="376"/>
      <c r="HS45" s="376"/>
      <c r="HT45" s="405"/>
      <c r="HU45" s="296"/>
      <c r="HV45" s="347"/>
      <c r="HW45" s="347"/>
      <c r="HX45" s="378"/>
      <c r="HY45" s="376"/>
      <c r="HZ45" s="376"/>
      <c r="IA45" s="405"/>
      <c r="IB45" s="296"/>
      <c r="IC45" s="347"/>
      <c r="ID45" s="347"/>
      <c r="IE45" s="378"/>
      <c r="IF45" s="376"/>
      <c r="IG45" s="376"/>
      <c r="IH45" s="405"/>
      <c r="II45" s="296"/>
      <c r="IJ45" s="347"/>
      <c r="IK45" s="347"/>
      <c r="IL45" s="378"/>
      <c r="IM45" s="376"/>
      <c r="IN45" s="376"/>
      <c r="IO45" s="405"/>
      <c r="IP45" s="296"/>
      <c r="IQ45" s="347"/>
      <c r="IR45" s="347"/>
      <c r="IS45" s="378"/>
      <c r="IT45" s="376"/>
    </row>
    <row r="46" spans="2:253" s="347" customFormat="1" ht="16.5" customHeight="1">
      <c r="B46" s="343"/>
      <c r="C46" s="343"/>
      <c r="D46" s="296"/>
      <c r="E46" s="296"/>
      <c r="F46" s="296"/>
      <c r="G46" s="296"/>
      <c r="H46" s="378"/>
      <c r="I46" s="351"/>
      <c r="J46" s="378"/>
      <c r="K46" s="378"/>
      <c r="M46" s="351"/>
      <c r="O46" s="378"/>
      <c r="P46" s="351"/>
      <c r="Q46" s="378"/>
      <c r="R46" s="378"/>
      <c r="T46" s="351"/>
      <c r="V46" s="378"/>
      <c r="W46" s="351"/>
      <c r="X46" s="378"/>
      <c r="Y46" s="378"/>
      <c r="AA46" s="351"/>
      <c r="AC46" s="378"/>
      <c r="AD46" s="351"/>
      <c r="AE46" s="378"/>
      <c r="AF46" s="378"/>
      <c r="AH46" s="351"/>
      <c r="AJ46" s="378"/>
      <c r="AK46" s="351"/>
      <c r="AL46" s="378"/>
      <c r="AM46" s="378"/>
      <c r="AO46" s="351"/>
      <c r="AQ46" s="378"/>
      <c r="AR46" s="351"/>
      <c r="AS46" s="378"/>
      <c r="AT46" s="378"/>
      <c r="AV46" s="351"/>
      <c r="AX46" s="378"/>
      <c r="AY46" s="351"/>
      <c r="AZ46" s="378"/>
      <c r="BA46" s="378"/>
      <c r="BC46" s="351"/>
      <c r="BE46" s="378"/>
      <c r="BF46" s="351"/>
      <c r="BG46" s="378"/>
      <c r="BH46" s="378"/>
      <c r="BJ46" s="351"/>
      <c r="BL46" s="378"/>
      <c r="BM46" s="351"/>
      <c r="BN46" s="378"/>
      <c r="BO46" s="378"/>
      <c r="BQ46" s="351"/>
      <c r="BS46" s="378"/>
      <c r="BT46" s="351"/>
      <c r="BU46" s="378"/>
      <c r="BV46" s="378"/>
      <c r="BX46" s="351"/>
      <c r="BZ46" s="378"/>
      <c r="CA46" s="351"/>
      <c r="CB46" s="378"/>
      <c r="CC46" s="378"/>
      <c r="CE46" s="351"/>
      <c r="CG46" s="378"/>
      <c r="CH46" s="351"/>
      <c r="CI46" s="378"/>
      <c r="CJ46" s="378"/>
      <c r="CL46" s="351"/>
      <c r="CN46" s="378"/>
      <c r="CO46" s="351"/>
      <c r="CP46" s="378"/>
      <c r="CQ46" s="378"/>
      <c r="CS46" s="351"/>
      <c r="CU46" s="378"/>
      <c r="CV46" s="351"/>
      <c r="CW46" s="378"/>
      <c r="CX46" s="378"/>
      <c r="CZ46" s="351"/>
      <c r="DB46" s="378"/>
      <c r="DC46" s="351"/>
      <c r="DD46" s="378"/>
      <c r="DE46" s="378"/>
      <c r="DG46" s="351"/>
      <c r="DI46" s="378"/>
      <c r="DJ46" s="351"/>
      <c r="DK46" s="378"/>
      <c r="DL46" s="378"/>
      <c r="DN46" s="351"/>
      <c r="DP46" s="378"/>
      <c r="DQ46" s="351"/>
      <c r="DR46" s="378"/>
      <c r="DS46" s="378"/>
      <c r="DU46" s="351"/>
      <c r="DW46" s="378"/>
      <c r="DX46" s="351"/>
      <c r="DY46" s="378"/>
      <c r="DZ46" s="378"/>
      <c r="EB46" s="351"/>
      <c r="ED46" s="378"/>
      <c r="EE46" s="351"/>
      <c r="EF46" s="378"/>
      <c r="EG46" s="378"/>
      <c r="EI46" s="351"/>
      <c r="EK46" s="378"/>
      <c r="EL46" s="351"/>
      <c r="EM46" s="378"/>
      <c r="EN46" s="378"/>
      <c r="EP46" s="351"/>
      <c r="ER46" s="378"/>
      <c r="ES46" s="351"/>
      <c r="ET46" s="378"/>
      <c r="EU46" s="378"/>
      <c r="EW46" s="351"/>
      <c r="EY46" s="378"/>
      <c r="EZ46" s="351"/>
      <c r="FA46" s="378"/>
      <c r="FB46" s="378"/>
      <c r="FD46" s="351"/>
      <c r="FF46" s="378"/>
      <c r="FG46" s="351"/>
      <c r="FH46" s="378"/>
      <c r="FI46" s="378"/>
      <c r="FK46" s="351"/>
      <c r="FM46" s="378"/>
      <c r="FN46" s="351"/>
      <c r="FO46" s="378"/>
      <c r="FP46" s="378"/>
      <c r="FR46" s="351"/>
      <c r="FT46" s="378"/>
      <c r="FU46" s="351"/>
      <c r="FV46" s="378"/>
      <c r="FW46" s="378"/>
      <c r="FY46" s="351"/>
      <c r="GA46" s="378"/>
      <c r="GB46" s="351"/>
      <c r="GC46" s="378"/>
      <c r="GD46" s="378"/>
      <c r="GF46" s="351"/>
      <c r="GH46" s="378"/>
      <c r="GI46" s="351"/>
      <c r="GJ46" s="378"/>
      <c r="GK46" s="378"/>
      <c r="GM46" s="351"/>
      <c r="GO46" s="378"/>
      <c r="GP46" s="351"/>
      <c r="GQ46" s="378"/>
      <c r="GR46" s="378"/>
      <c r="GT46" s="351"/>
      <c r="GV46" s="378"/>
      <c r="GW46" s="351"/>
      <c r="GX46" s="378"/>
      <c r="GY46" s="378"/>
      <c r="HA46" s="351"/>
      <c r="HC46" s="378"/>
      <c r="HD46" s="351"/>
      <c r="HE46" s="378"/>
      <c r="HF46" s="378"/>
      <c r="HH46" s="351"/>
      <c r="HJ46" s="378"/>
      <c r="HK46" s="351"/>
      <c r="HL46" s="378"/>
      <c r="HM46" s="378"/>
      <c r="HO46" s="351"/>
      <c r="HQ46" s="378"/>
      <c r="HR46" s="351"/>
      <c r="HS46" s="378"/>
      <c r="HT46" s="378"/>
      <c r="HV46" s="351"/>
      <c r="HX46" s="378"/>
      <c r="HY46" s="351"/>
      <c r="HZ46" s="378"/>
      <c r="IA46" s="378"/>
      <c r="IC46" s="351"/>
      <c r="IE46" s="378"/>
      <c r="IF46" s="351"/>
      <c r="IG46" s="378"/>
      <c r="IH46" s="378"/>
      <c r="IJ46" s="351"/>
      <c r="IL46" s="378"/>
      <c r="IM46" s="351"/>
      <c r="IN46" s="378"/>
      <c r="IO46" s="378"/>
      <c r="IQ46" s="351"/>
      <c r="IS46" s="378"/>
    </row>
    <row r="47" spans="1:7" s="351" customFormat="1" ht="12.75">
      <c r="A47" s="379"/>
      <c r="B47" s="406"/>
      <c r="C47" s="406"/>
      <c r="D47" s="296"/>
      <c r="E47" s="296"/>
      <c r="F47" s="296"/>
      <c r="G47" s="296"/>
    </row>
    <row r="48" spans="1:7" s="297" customFormat="1" ht="12.75">
      <c r="A48" s="407"/>
      <c r="D48" s="296"/>
      <c r="E48" s="296"/>
      <c r="F48" s="296"/>
      <c r="G48" s="296"/>
    </row>
    <row r="49" spans="1:7" s="297" customFormat="1" ht="12.75">
      <c r="A49" s="346"/>
      <c r="B49" s="346"/>
      <c r="C49" s="346"/>
      <c r="D49" s="296"/>
      <c r="E49" s="296"/>
      <c r="F49" s="296"/>
      <c r="G49" s="296"/>
    </row>
  </sheetData>
  <printOptions/>
  <pageMargins left="0.75" right="0.75" top="1" bottom="1" header="0.5" footer="0.5"/>
  <pageSetup orientation="portrait" r:id="rId1"/>
  <headerFooter alignWithMargins="0">
    <oddFooter>&amp;L&amp;"Arial,Regular"&amp;8Valsts kase / Pārskatu departaments
15.09.99.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23" sqref="A23"/>
    </sheetView>
  </sheetViews>
  <sheetFormatPr defaultColWidth="9.140625" defaultRowHeight="12.75"/>
  <cols>
    <col min="1" max="1" width="17.7109375" style="317" customWidth="1"/>
    <col min="2" max="2" width="8.8515625" style="296" customWidth="1"/>
    <col min="3" max="3" width="8.421875" style="296" customWidth="1"/>
    <col min="4" max="4" width="8.8515625" style="296" customWidth="1"/>
    <col min="5" max="5" width="8.57421875" style="296" customWidth="1"/>
    <col min="6" max="6" width="6.8515625" style="296" customWidth="1"/>
    <col min="7" max="7" width="8.421875" style="296" customWidth="1"/>
    <col min="8" max="8" width="11.28125" style="296" customWidth="1"/>
    <col min="9" max="9" width="10.140625" style="296" customWidth="1"/>
    <col min="10" max="10" width="8.57421875" style="296" customWidth="1"/>
    <col min="11" max="11" width="8.00390625" style="296" customWidth="1"/>
    <col min="12" max="13" width="7.57421875" style="296" customWidth="1"/>
    <col min="14" max="14" width="7.140625" style="296" customWidth="1"/>
    <col min="15" max="16" width="9.28125" style="296" customWidth="1"/>
    <col min="17" max="16384" width="8.00390625" style="296" customWidth="1"/>
  </cols>
  <sheetData>
    <row r="1" spans="1:16" ht="12.75">
      <c r="A1" s="312"/>
      <c r="B1" s="297"/>
      <c r="C1" s="297"/>
      <c r="D1" s="297"/>
      <c r="E1" s="297"/>
      <c r="F1" s="297" t="s">
        <v>604</v>
      </c>
      <c r="G1" s="297"/>
      <c r="H1" s="297"/>
      <c r="I1" s="297"/>
      <c r="J1" s="297"/>
      <c r="K1" s="297"/>
      <c r="L1" s="297"/>
      <c r="M1" s="297"/>
      <c r="N1" s="294"/>
      <c r="O1" s="294"/>
      <c r="P1" s="294" t="s">
        <v>605</v>
      </c>
    </row>
    <row r="2" spans="14:15" ht="12">
      <c r="N2" s="408"/>
      <c r="O2" s="325"/>
    </row>
    <row r="3" spans="1:16" s="297" customFormat="1" ht="12.75">
      <c r="A3" s="312"/>
      <c r="N3" s="294"/>
      <c r="O3" s="294"/>
      <c r="P3" s="294"/>
    </row>
    <row r="4" spans="1:16" s="323" customFormat="1" ht="15.75">
      <c r="A4" s="409" t="s">
        <v>606</v>
      </c>
      <c r="B4" s="409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s="411" customFormat="1" ht="15.75">
      <c r="A5" s="298" t="s">
        <v>498</v>
      </c>
      <c r="B5" s="298"/>
      <c r="C5" s="298"/>
      <c r="D5" s="298"/>
      <c r="E5" s="410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s="411" customFormat="1" ht="15.75">
      <c r="A6" s="298"/>
      <c r="B6" s="298"/>
      <c r="C6" s="298"/>
      <c r="D6" s="298"/>
      <c r="E6" s="410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s="300" customFormat="1" ht="11.25">
      <c r="A7" s="412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 t="s">
        <v>607</v>
      </c>
      <c r="N7" s="327"/>
      <c r="O7" s="399"/>
      <c r="P7" s="327"/>
    </row>
    <row r="8" spans="1:16" s="297" customFormat="1" ht="12.75">
      <c r="A8" s="413"/>
      <c r="B8" s="414" t="s">
        <v>259</v>
      </c>
      <c r="C8" s="414"/>
      <c r="D8" s="414"/>
      <c r="E8" s="415" t="s">
        <v>608</v>
      </c>
      <c r="F8" s="414"/>
      <c r="G8" s="414"/>
      <c r="H8" s="416"/>
      <c r="I8" s="416"/>
      <c r="J8" s="417" t="s">
        <v>609</v>
      </c>
      <c r="K8" s="414"/>
      <c r="L8" s="414"/>
      <c r="M8" s="418"/>
      <c r="N8" s="414"/>
      <c r="O8" s="419"/>
      <c r="P8" s="420"/>
    </row>
    <row r="9" spans="1:16" ht="11.25">
      <c r="A9" s="421"/>
      <c r="B9" s="357"/>
      <c r="C9" s="422"/>
      <c r="D9" s="422"/>
      <c r="E9" s="422"/>
      <c r="F9" s="422"/>
      <c r="G9" s="422"/>
      <c r="H9" s="422"/>
      <c r="I9" s="422"/>
      <c r="J9" s="422"/>
      <c r="K9" s="422"/>
      <c r="L9" s="423" t="s">
        <v>610</v>
      </c>
      <c r="M9" s="423"/>
      <c r="N9" s="357"/>
      <c r="O9" s="422"/>
      <c r="P9" s="424"/>
    </row>
    <row r="10" spans="1:16" s="431" customFormat="1" ht="45">
      <c r="A10" s="425" t="s">
        <v>611</v>
      </c>
      <c r="B10" s="426" t="s">
        <v>612</v>
      </c>
      <c r="C10" s="427" t="s">
        <v>613</v>
      </c>
      <c r="D10" s="428" t="s">
        <v>614</v>
      </c>
      <c r="E10" s="428" t="s">
        <v>615</v>
      </c>
      <c r="F10" s="428" t="s">
        <v>616</v>
      </c>
      <c r="G10" s="428" t="s">
        <v>617</v>
      </c>
      <c r="H10" s="428" t="s">
        <v>618</v>
      </c>
      <c r="I10" s="428" t="s">
        <v>619</v>
      </c>
      <c r="J10" s="428" t="s">
        <v>421</v>
      </c>
      <c r="K10" s="428" t="s">
        <v>620</v>
      </c>
      <c r="L10" s="428" t="s">
        <v>621</v>
      </c>
      <c r="M10" s="428" t="s">
        <v>622</v>
      </c>
      <c r="N10" s="428" t="s">
        <v>623</v>
      </c>
      <c r="O10" s="429" t="s">
        <v>433</v>
      </c>
      <c r="P10" s="430" t="s">
        <v>624</v>
      </c>
    </row>
    <row r="11" spans="1:16" s="300" customFormat="1" ht="11.25">
      <c r="A11" s="432">
        <v>1</v>
      </c>
      <c r="B11" s="433">
        <v>2</v>
      </c>
      <c r="C11" s="433">
        <v>3</v>
      </c>
      <c r="D11" s="433">
        <v>4</v>
      </c>
      <c r="E11" s="433">
        <v>5</v>
      </c>
      <c r="F11" s="433">
        <v>6</v>
      </c>
      <c r="G11" s="433">
        <v>7</v>
      </c>
      <c r="H11" s="433">
        <v>8</v>
      </c>
      <c r="I11" s="433">
        <v>9</v>
      </c>
      <c r="J11" s="433">
        <v>10</v>
      </c>
      <c r="K11" s="433">
        <v>11</v>
      </c>
      <c r="L11" s="433">
        <v>12</v>
      </c>
      <c r="M11" s="433">
        <v>13</v>
      </c>
      <c r="N11" s="433">
        <v>14</v>
      </c>
      <c r="O11" s="433">
        <v>15</v>
      </c>
      <c r="P11" s="434">
        <v>16</v>
      </c>
    </row>
    <row r="12" spans="1:16" ht="12.75">
      <c r="A12" s="435" t="s">
        <v>625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7"/>
    </row>
    <row r="13" spans="1:16" ht="12">
      <c r="A13" s="438" t="s">
        <v>626</v>
      </c>
      <c r="B13" s="439">
        <v>76945000</v>
      </c>
      <c r="C13" s="439">
        <v>14626000</v>
      </c>
      <c r="D13" s="439">
        <v>91572000</v>
      </c>
      <c r="E13" s="439">
        <v>81932000</v>
      </c>
      <c r="F13" s="439">
        <v>10501000</v>
      </c>
      <c r="G13" s="439">
        <v>93433000</v>
      </c>
      <c r="H13" s="439">
        <v>-1861000</v>
      </c>
      <c r="I13" s="439">
        <v>1861000</v>
      </c>
      <c r="J13" s="439">
        <v>-2000000</v>
      </c>
      <c r="K13" s="439">
        <v>3105000</v>
      </c>
      <c r="L13" s="439">
        <v>6214000</v>
      </c>
      <c r="M13" s="439">
        <v>3109000</v>
      </c>
      <c r="N13" s="439"/>
      <c r="O13" s="439"/>
      <c r="P13" s="440">
        <v>756000</v>
      </c>
    </row>
    <row r="14" spans="1:16" ht="12">
      <c r="A14" s="441" t="s">
        <v>627</v>
      </c>
      <c r="B14" s="439">
        <v>6415000</v>
      </c>
      <c r="C14" s="439">
        <v>2545000</v>
      </c>
      <c r="D14" s="439">
        <v>8960000</v>
      </c>
      <c r="E14" s="439">
        <v>9288000</v>
      </c>
      <c r="F14" s="439">
        <v>7000</v>
      </c>
      <c r="G14" s="439">
        <v>9295000</v>
      </c>
      <c r="H14" s="439">
        <v>-335000</v>
      </c>
      <c r="I14" s="439">
        <v>335000</v>
      </c>
      <c r="J14" s="439">
        <v>150000</v>
      </c>
      <c r="K14" s="439">
        <v>185000</v>
      </c>
      <c r="L14" s="439">
        <v>462000</v>
      </c>
      <c r="M14" s="439">
        <v>277000</v>
      </c>
      <c r="N14" s="439"/>
      <c r="O14" s="439"/>
      <c r="P14" s="440"/>
    </row>
    <row r="15" spans="1:16" ht="12">
      <c r="A15" s="441" t="s">
        <v>628</v>
      </c>
      <c r="B15" s="439">
        <v>4114000</v>
      </c>
      <c r="C15" s="439">
        <v>2140000</v>
      </c>
      <c r="D15" s="439">
        <v>6254000</v>
      </c>
      <c r="E15" s="439">
        <v>5705000</v>
      </c>
      <c r="F15" s="439">
        <v>103000</v>
      </c>
      <c r="G15" s="439">
        <v>5807000</v>
      </c>
      <c r="H15" s="439">
        <v>446000</v>
      </c>
      <c r="I15" s="439">
        <v>-446000</v>
      </c>
      <c r="J15" s="439">
        <v>-742000</v>
      </c>
      <c r="K15" s="439">
        <v>-233000</v>
      </c>
      <c r="L15" s="439">
        <v>64000</v>
      </c>
      <c r="M15" s="439">
        <v>297000</v>
      </c>
      <c r="N15" s="439"/>
      <c r="O15" s="439">
        <v>207000</v>
      </c>
      <c r="P15" s="440">
        <v>322000</v>
      </c>
    </row>
    <row r="16" spans="1:16" ht="12">
      <c r="A16" s="441" t="s">
        <v>629</v>
      </c>
      <c r="B16" s="439">
        <v>4029000</v>
      </c>
      <c r="C16" s="439">
        <v>1056000</v>
      </c>
      <c r="D16" s="439">
        <v>5085000</v>
      </c>
      <c r="E16" s="439">
        <v>5518000</v>
      </c>
      <c r="F16" s="439">
        <v>75000</v>
      </c>
      <c r="G16" s="439">
        <v>5593000</v>
      </c>
      <c r="H16" s="439">
        <v>-507000</v>
      </c>
      <c r="I16" s="439">
        <v>507000</v>
      </c>
      <c r="J16" s="439">
        <v>577000</v>
      </c>
      <c r="K16" s="439">
        <v>-70000</v>
      </c>
      <c r="L16" s="439">
        <v>205000</v>
      </c>
      <c r="M16" s="439">
        <v>275000</v>
      </c>
      <c r="N16" s="439"/>
      <c r="O16" s="439"/>
      <c r="P16" s="440"/>
    </row>
    <row r="17" spans="1:16" ht="12">
      <c r="A17" s="441" t="s">
        <v>630</v>
      </c>
      <c r="B17" s="439">
        <v>6168000</v>
      </c>
      <c r="C17" s="439">
        <v>2196000</v>
      </c>
      <c r="D17" s="439">
        <v>8364000</v>
      </c>
      <c r="E17" s="439">
        <v>8005000</v>
      </c>
      <c r="F17" s="439">
        <v>191000</v>
      </c>
      <c r="G17" s="439">
        <v>8196000</v>
      </c>
      <c r="H17" s="439">
        <v>168000</v>
      </c>
      <c r="I17" s="439">
        <v>-168000</v>
      </c>
      <c r="J17" s="439">
        <v>-27000</v>
      </c>
      <c r="K17" s="439">
        <v>-141000</v>
      </c>
      <c r="L17" s="439">
        <v>408000</v>
      </c>
      <c r="M17" s="439">
        <v>550000</v>
      </c>
      <c r="N17" s="439"/>
      <c r="O17" s="439"/>
      <c r="P17" s="440"/>
    </row>
    <row r="18" spans="1:16" ht="12">
      <c r="A18" s="441" t="s">
        <v>631</v>
      </c>
      <c r="B18" s="439">
        <v>2375000</v>
      </c>
      <c r="C18" s="439">
        <v>1052000</v>
      </c>
      <c r="D18" s="439">
        <v>3427000</v>
      </c>
      <c r="E18" s="439">
        <v>3275000</v>
      </c>
      <c r="F18" s="439">
        <v>6000</v>
      </c>
      <c r="G18" s="439">
        <v>3281000</v>
      </c>
      <c r="H18" s="439">
        <v>146000</v>
      </c>
      <c r="I18" s="439">
        <v>-146000</v>
      </c>
      <c r="J18" s="439"/>
      <c r="K18" s="439">
        <v>-146000</v>
      </c>
      <c r="L18" s="439">
        <v>79000</v>
      </c>
      <c r="M18" s="439">
        <v>225000</v>
      </c>
      <c r="N18" s="439"/>
      <c r="O18" s="439"/>
      <c r="P18" s="440"/>
    </row>
    <row r="19" spans="1:16" ht="12">
      <c r="A19" s="441" t="s">
        <v>632</v>
      </c>
      <c r="B19" s="439">
        <v>7787000</v>
      </c>
      <c r="C19" s="439">
        <v>1123000</v>
      </c>
      <c r="D19" s="439">
        <v>8910000</v>
      </c>
      <c r="E19" s="439">
        <v>5708000</v>
      </c>
      <c r="F19" s="439">
        <v>1777000</v>
      </c>
      <c r="G19" s="439">
        <v>7485000</v>
      </c>
      <c r="H19" s="439">
        <v>1425000</v>
      </c>
      <c r="I19" s="439">
        <v>-1425000</v>
      </c>
      <c r="J19" s="439"/>
      <c r="K19" s="439">
        <v>-1425000</v>
      </c>
      <c r="L19" s="439">
        <v>631000</v>
      </c>
      <c r="M19" s="439">
        <v>2056000</v>
      </c>
      <c r="N19" s="439"/>
      <c r="O19" s="439"/>
      <c r="P19" s="440"/>
    </row>
    <row r="20" spans="1:16" ht="12.75">
      <c r="A20" s="435" t="s">
        <v>633</v>
      </c>
      <c r="B20" s="439">
        <v>107834000</v>
      </c>
      <c r="C20" s="439">
        <v>24737000</v>
      </c>
      <c r="D20" s="439">
        <v>132572000</v>
      </c>
      <c r="E20" s="439">
        <v>119430000</v>
      </c>
      <c r="F20" s="439">
        <v>13659000</v>
      </c>
      <c r="G20" s="439">
        <v>133089000</v>
      </c>
      <c r="H20" s="439">
        <v>-518000</v>
      </c>
      <c r="I20" s="439">
        <v>518000</v>
      </c>
      <c r="J20" s="439">
        <f>SUM(J13:J19)</f>
        <v>-2042000</v>
      </c>
      <c r="K20" s="439">
        <v>1275000</v>
      </c>
      <c r="L20" s="439">
        <v>8064000</v>
      </c>
      <c r="M20" s="439">
        <v>6789000</v>
      </c>
      <c r="N20" s="439"/>
      <c r="O20" s="439">
        <f>SUM(O13:O19)</f>
        <v>207000</v>
      </c>
      <c r="P20" s="440">
        <f>SUM(P13:P19)</f>
        <v>1078000</v>
      </c>
    </row>
    <row r="21" spans="1:16" s="442" customFormat="1" ht="12.75">
      <c r="A21" s="435" t="s">
        <v>634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40"/>
    </row>
    <row r="22" spans="1:16" ht="12">
      <c r="A22" s="441" t="s">
        <v>635</v>
      </c>
      <c r="B22" s="439">
        <v>2364000</v>
      </c>
      <c r="C22" s="439">
        <v>2328000</v>
      </c>
      <c r="D22" s="439">
        <v>4692000</v>
      </c>
      <c r="E22" s="439">
        <v>4081000</v>
      </c>
      <c r="F22" s="439">
        <v>254000</v>
      </c>
      <c r="G22" s="439">
        <v>4336000</v>
      </c>
      <c r="H22" s="439">
        <v>356000</v>
      </c>
      <c r="I22" s="439">
        <v>-356000</v>
      </c>
      <c r="J22" s="439">
        <v>-38000</v>
      </c>
      <c r="K22" s="439">
        <v>-283000</v>
      </c>
      <c r="L22" s="439">
        <v>255676</v>
      </c>
      <c r="M22" s="439">
        <v>538000</v>
      </c>
      <c r="N22" s="439">
        <v>-10000</v>
      </c>
      <c r="O22" s="439">
        <v>7000</v>
      </c>
      <c r="P22" s="440">
        <v>-32441</v>
      </c>
    </row>
    <row r="23" spans="1:16" ht="12">
      <c r="A23" s="441" t="s">
        <v>636</v>
      </c>
      <c r="B23" s="439">
        <v>1183000</v>
      </c>
      <c r="C23" s="439">
        <v>1623000</v>
      </c>
      <c r="D23" s="439">
        <v>2805000</v>
      </c>
      <c r="E23" s="439">
        <v>2694000</v>
      </c>
      <c r="F23" s="439">
        <v>43000</v>
      </c>
      <c r="G23" s="439">
        <v>2737000</v>
      </c>
      <c r="H23" s="439">
        <v>68000</v>
      </c>
      <c r="I23" s="439">
        <v>-68000</v>
      </c>
      <c r="J23" s="439">
        <v>68000</v>
      </c>
      <c r="K23" s="439">
        <v>-132000</v>
      </c>
      <c r="L23" s="439">
        <v>80897</v>
      </c>
      <c r="M23" s="439">
        <v>213000</v>
      </c>
      <c r="N23" s="439"/>
      <c r="O23" s="439">
        <v>-3000</v>
      </c>
      <c r="P23" s="440">
        <v>-922</v>
      </c>
    </row>
    <row r="24" spans="1:16" ht="12">
      <c r="A24" s="441" t="s">
        <v>637</v>
      </c>
      <c r="B24" s="439">
        <v>1166000</v>
      </c>
      <c r="C24" s="439">
        <v>2013000</v>
      </c>
      <c r="D24" s="439">
        <v>3179000</v>
      </c>
      <c r="E24" s="439">
        <v>3039000</v>
      </c>
      <c r="F24" s="439">
        <v>71000</v>
      </c>
      <c r="G24" s="439">
        <v>3109000</v>
      </c>
      <c r="H24" s="439">
        <v>70000</v>
      </c>
      <c r="I24" s="439">
        <v>-70000</v>
      </c>
      <c r="J24" s="439"/>
      <c r="K24" s="439">
        <v>-68000</v>
      </c>
      <c r="L24" s="439">
        <v>116960</v>
      </c>
      <c r="M24" s="439">
        <v>185000</v>
      </c>
      <c r="N24" s="439"/>
      <c r="O24" s="439">
        <v>-2000</v>
      </c>
      <c r="P24" s="440"/>
    </row>
    <row r="25" spans="1:16" ht="12">
      <c r="A25" s="441" t="s">
        <v>638</v>
      </c>
      <c r="B25" s="439">
        <v>2521000</v>
      </c>
      <c r="C25" s="439">
        <v>2610000</v>
      </c>
      <c r="D25" s="439">
        <v>5131000</v>
      </c>
      <c r="E25" s="439">
        <v>4671000</v>
      </c>
      <c r="F25" s="439">
        <v>255000</v>
      </c>
      <c r="G25" s="439">
        <v>4927000</v>
      </c>
      <c r="H25" s="439">
        <v>204000</v>
      </c>
      <c r="I25" s="439">
        <v>-204000</v>
      </c>
      <c r="J25" s="439">
        <v>-14000</v>
      </c>
      <c r="K25" s="439">
        <v>-211000</v>
      </c>
      <c r="L25" s="439">
        <v>168381</v>
      </c>
      <c r="M25" s="439">
        <v>380000</v>
      </c>
      <c r="N25" s="439"/>
      <c r="O25" s="439">
        <v>24000</v>
      </c>
      <c r="P25" s="440">
        <v>-2612</v>
      </c>
    </row>
    <row r="26" spans="1:16" ht="12">
      <c r="A26" s="441" t="s">
        <v>639</v>
      </c>
      <c r="B26" s="439">
        <v>3600000</v>
      </c>
      <c r="C26" s="439">
        <v>3344000</v>
      </c>
      <c r="D26" s="439">
        <v>6945000</v>
      </c>
      <c r="E26" s="439">
        <v>6724000</v>
      </c>
      <c r="F26" s="439">
        <v>150000</v>
      </c>
      <c r="G26" s="439">
        <v>6874000</v>
      </c>
      <c r="H26" s="439">
        <v>71000</v>
      </c>
      <c r="I26" s="439">
        <v>-71000</v>
      </c>
      <c r="J26" s="439">
        <v>10000</v>
      </c>
      <c r="K26" s="439">
        <v>-73000</v>
      </c>
      <c r="L26" s="439">
        <v>278037</v>
      </c>
      <c r="M26" s="439">
        <v>351000</v>
      </c>
      <c r="N26" s="439">
        <v>-4837</v>
      </c>
      <c r="O26" s="439"/>
      <c r="P26" s="440">
        <v>-2733</v>
      </c>
    </row>
    <row r="27" spans="1:16" ht="12">
      <c r="A27" s="441" t="s">
        <v>640</v>
      </c>
      <c r="B27" s="439">
        <v>2060000</v>
      </c>
      <c r="C27" s="439">
        <v>2367000</v>
      </c>
      <c r="D27" s="439">
        <v>4427000</v>
      </c>
      <c r="E27" s="439">
        <v>4185000</v>
      </c>
      <c r="F27" s="439">
        <v>263000</v>
      </c>
      <c r="G27" s="439">
        <v>4448000</v>
      </c>
      <c r="H27" s="439">
        <v>-21000</v>
      </c>
      <c r="I27" s="439">
        <v>21000</v>
      </c>
      <c r="J27" s="439">
        <v>272000</v>
      </c>
      <c r="K27" s="439">
        <v>-245000</v>
      </c>
      <c r="L27" s="439">
        <v>182974</v>
      </c>
      <c r="M27" s="439">
        <v>428000</v>
      </c>
      <c r="N27" s="439"/>
      <c r="O27" s="439"/>
      <c r="P27" s="440">
        <v>-6469</v>
      </c>
    </row>
    <row r="28" spans="1:16" ht="12">
      <c r="A28" s="441" t="s">
        <v>641</v>
      </c>
      <c r="B28" s="439">
        <v>2084000</v>
      </c>
      <c r="C28" s="439">
        <v>1872000</v>
      </c>
      <c r="D28" s="439">
        <v>3955000</v>
      </c>
      <c r="E28" s="439">
        <v>3747000</v>
      </c>
      <c r="F28" s="439">
        <v>162000</v>
      </c>
      <c r="G28" s="439">
        <v>3909000</v>
      </c>
      <c r="H28" s="439">
        <v>46000</v>
      </c>
      <c r="I28" s="439">
        <v>-46000</v>
      </c>
      <c r="J28" s="439">
        <v>-20000</v>
      </c>
      <c r="K28" s="439">
        <v>-23000</v>
      </c>
      <c r="L28" s="439">
        <v>190834</v>
      </c>
      <c r="M28" s="439">
        <v>214000</v>
      </c>
      <c r="N28" s="439"/>
      <c r="O28" s="439"/>
      <c r="P28" s="440">
        <v>-2920</v>
      </c>
    </row>
    <row r="29" spans="1:16" ht="12">
      <c r="A29" s="441" t="s">
        <v>642</v>
      </c>
      <c r="B29" s="439">
        <v>1436000</v>
      </c>
      <c r="C29" s="439">
        <v>1412000</v>
      </c>
      <c r="D29" s="439">
        <v>2848000</v>
      </c>
      <c r="E29" s="439">
        <v>2556000</v>
      </c>
      <c r="F29" s="439">
        <v>71000</v>
      </c>
      <c r="G29" s="439">
        <v>2627000</v>
      </c>
      <c r="H29" s="439">
        <v>221000</v>
      </c>
      <c r="I29" s="439">
        <v>-221000</v>
      </c>
      <c r="J29" s="439">
        <v>-8000</v>
      </c>
      <c r="K29" s="439">
        <v>-190000</v>
      </c>
      <c r="L29" s="439">
        <v>46901</v>
      </c>
      <c r="M29" s="439">
        <v>237000</v>
      </c>
      <c r="N29" s="439"/>
      <c r="O29" s="439"/>
      <c r="P29" s="440">
        <v>-23000</v>
      </c>
    </row>
    <row r="30" spans="1:16" ht="12">
      <c r="A30" s="441" t="s">
        <v>643</v>
      </c>
      <c r="B30" s="439">
        <v>1816000</v>
      </c>
      <c r="C30" s="439">
        <v>1838000</v>
      </c>
      <c r="D30" s="439">
        <v>3654000</v>
      </c>
      <c r="E30" s="439">
        <v>3359000</v>
      </c>
      <c r="F30" s="439">
        <v>202000</v>
      </c>
      <c r="G30" s="439">
        <v>3562000</v>
      </c>
      <c r="H30" s="439">
        <v>92000</v>
      </c>
      <c r="I30" s="439">
        <v>-92000</v>
      </c>
      <c r="J30" s="439">
        <v>-35000</v>
      </c>
      <c r="K30" s="439">
        <v>-97000</v>
      </c>
      <c r="L30" s="439">
        <v>83636</v>
      </c>
      <c r="M30" s="439">
        <v>181000</v>
      </c>
      <c r="N30" s="439">
        <v>40000</v>
      </c>
      <c r="O30" s="439"/>
      <c r="P30" s="440"/>
    </row>
    <row r="31" spans="1:16" ht="12">
      <c r="A31" s="441" t="s">
        <v>644</v>
      </c>
      <c r="B31" s="439">
        <v>2344000</v>
      </c>
      <c r="C31" s="439">
        <v>2966000</v>
      </c>
      <c r="D31" s="439">
        <v>5310000</v>
      </c>
      <c r="E31" s="439">
        <v>5166000</v>
      </c>
      <c r="F31" s="439">
        <v>106000</v>
      </c>
      <c r="G31" s="439">
        <v>5271000</v>
      </c>
      <c r="H31" s="439">
        <v>38000</v>
      </c>
      <c r="I31" s="439">
        <v>-38000</v>
      </c>
      <c r="J31" s="439">
        <v>159000</v>
      </c>
      <c r="K31" s="439">
        <v>-217000</v>
      </c>
      <c r="L31" s="439">
        <v>207287</v>
      </c>
      <c r="M31" s="439">
        <v>424000</v>
      </c>
      <c r="N31" s="439"/>
      <c r="O31" s="439">
        <v>10000</v>
      </c>
      <c r="P31" s="440">
        <v>10000</v>
      </c>
    </row>
    <row r="32" spans="1:16" ht="12">
      <c r="A32" s="441" t="s">
        <v>645</v>
      </c>
      <c r="B32" s="439">
        <v>1308000</v>
      </c>
      <c r="C32" s="439">
        <v>1881000</v>
      </c>
      <c r="D32" s="439">
        <v>3189000</v>
      </c>
      <c r="E32" s="439">
        <v>3185000</v>
      </c>
      <c r="F32" s="439">
        <v>8000</v>
      </c>
      <c r="G32" s="439">
        <v>3192000</v>
      </c>
      <c r="H32" s="439">
        <v>-3000</v>
      </c>
      <c r="I32" s="439">
        <v>3000</v>
      </c>
      <c r="J32" s="439">
        <v>61000</v>
      </c>
      <c r="K32" s="439">
        <v>-61000</v>
      </c>
      <c r="L32" s="439">
        <v>134900</v>
      </c>
      <c r="M32" s="439">
        <v>196000</v>
      </c>
      <c r="N32" s="439"/>
      <c r="O32" s="439">
        <v>3000</v>
      </c>
      <c r="P32" s="440"/>
    </row>
    <row r="33" spans="1:16" ht="12">
      <c r="A33" s="441" t="s">
        <v>646</v>
      </c>
      <c r="B33" s="439">
        <v>2274000</v>
      </c>
      <c r="C33" s="439">
        <v>2803000</v>
      </c>
      <c r="D33" s="439">
        <v>5076000</v>
      </c>
      <c r="E33" s="439">
        <v>4306000</v>
      </c>
      <c r="F33" s="439">
        <v>109000</v>
      </c>
      <c r="G33" s="439">
        <v>4415000</v>
      </c>
      <c r="H33" s="439">
        <v>662000</v>
      </c>
      <c r="I33" s="439">
        <v>-662000</v>
      </c>
      <c r="J33" s="439">
        <v>27000</v>
      </c>
      <c r="K33" s="439">
        <v>-665000</v>
      </c>
      <c r="L33" s="439">
        <v>126121</v>
      </c>
      <c r="M33" s="439">
        <v>792000</v>
      </c>
      <c r="N33" s="439"/>
      <c r="O33" s="439"/>
      <c r="P33" s="440">
        <v>-22901</v>
      </c>
    </row>
    <row r="34" spans="1:16" ht="12">
      <c r="A34" s="441" t="s">
        <v>647</v>
      </c>
      <c r="B34" s="439">
        <v>2180000</v>
      </c>
      <c r="C34" s="439">
        <v>2540000</v>
      </c>
      <c r="D34" s="439">
        <v>4720000</v>
      </c>
      <c r="E34" s="439">
        <v>4523000</v>
      </c>
      <c r="F34" s="439">
        <v>106000</v>
      </c>
      <c r="G34" s="439">
        <v>4629000</v>
      </c>
      <c r="H34" s="439">
        <v>91000</v>
      </c>
      <c r="I34" s="439">
        <v>-91000</v>
      </c>
      <c r="J34" s="439">
        <v>35000</v>
      </c>
      <c r="K34" s="439">
        <v>-166000</v>
      </c>
      <c r="L34" s="439">
        <v>86262</v>
      </c>
      <c r="M34" s="439">
        <v>252000</v>
      </c>
      <c r="N34" s="439"/>
      <c r="O34" s="439">
        <v>10000</v>
      </c>
      <c r="P34" s="440">
        <v>29825</v>
      </c>
    </row>
    <row r="35" spans="1:16" ht="12">
      <c r="A35" s="441" t="s">
        <v>648</v>
      </c>
      <c r="B35" s="439">
        <v>2326000</v>
      </c>
      <c r="C35" s="439">
        <v>2337000</v>
      </c>
      <c r="D35" s="439">
        <v>4663000</v>
      </c>
      <c r="E35" s="439">
        <v>4440000</v>
      </c>
      <c r="F35" s="439">
        <v>315000</v>
      </c>
      <c r="G35" s="439">
        <v>4755000</v>
      </c>
      <c r="H35" s="439">
        <v>-92000</v>
      </c>
      <c r="I35" s="439">
        <v>92000</v>
      </c>
      <c r="J35" s="439">
        <v>367000</v>
      </c>
      <c r="K35" s="439">
        <v>-274000</v>
      </c>
      <c r="L35" s="439">
        <v>266029</v>
      </c>
      <c r="M35" s="439">
        <v>540000</v>
      </c>
      <c r="N35" s="439"/>
      <c r="O35" s="439"/>
      <c r="P35" s="440">
        <v>-797</v>
      </c>
    </row>
    <row r="36" spans="1:16" ht="12">
      <c r="A36" s="441" t="s">
        <v>649</v>
      </c>
      <c r="B36" s="439">
        <v>1285000</v>
      </c>
      <c r="C36" s="439">
        <v>2028000</v>
      </c>
      <c r="D36" s="439">
        <v>3313000</v>
      </c>
      <c r="E36" s="439">
        <v>3101000</v>
      </c>
      <c r="F36" s="439">
        <v>134000</v>
      </c>
      <c r="G36" s="439">
        <v>3235000</v>
      </c>
      <c r="H36" s="439">
        <v>78000</v>
      </c>
      <c r="I36" s="439">
        <v>-78000</v>
      </c>
      <c r="J36" s="439">
        <v>330000</v>
      </c>
      <c r="K36" s="439">
        <v>-428000</v>
      </c>
      <c r="L36" s="439">
        <v>233433</v>
      </c>
      <c r="M36" s="439">
        <v>662000</v>
      </c>
      <c r="N36" s="439"/>
      <c r="O36" s="439">
        <v>20000</v>
      </c>
      <c r="P36" s="440"/>
    </row>
    <row r="37" spans="1:16" ht="12">
      <c r="A37" s="441" t="s">
        <v>650</v>
      </c>
      <c r="B37" s="439">
        <v>2290000</v>
      </c>
      <c r="C37" s="439">
        <v>2640000</v>
      </c>
      <c r="D37" s="439">
        <v>4930000</v>
      </c>
      <c r="E37" s="439">
        <v>4529000</v>
      </c>
      <c r="F37" s="439">
        <v>199000</v>
      </c>
      <c r="G37" s="439">
        <v>4728000</v>
      </c>
      <c r="H37" s="439">
        <v>202000</v>
      </c>
      <c r="I37" s="439">
        <v>-202000</v>
      </c>
      <c r="J37" s="439">
        <v>-28000</v>
      </c>
      <c r="K37" s="439">
        <v>-196000</v>
      </c>
      <c r="L37" s="439">
        <v>213643</v>
      </c>
      <c r="M37" s="439">
        <v>410000</v>
      </c>
      <c r="N37" s="439">
        <v>-1389</v>
      </c>
      <c r="O37" s="439">
        <v>24000</v>
      </c>
      <c r="P37" s="440"/>
    </row>
    <row r="38" spans="1:16" ht="12">
      <c r="A38" s="441" t="s">
        <v>651</v>
      </c>
      <c r="B38" s="439">
        <v>3465000</v>
      </c>
      <c r="C38" s="439">
        <v>2431000</v>
      </c>
      <c r="D38" s="439">
        <v>5896000</v>
      </c>
      <c r="E38" s="439">
        <v>5490000</v>
      </c>
      <c r="F38" s="439">
        <v>206000</v>
      </c>
      <c r="G38" s="439">
        <v>5696000</v>
      </c>
      <c r="H38" s="439">
        <v>200000</v>
      </c>
      <c r="I38" s="439">
        <v>-200000</v>
      </c>
      <c r="J38" s="439">
        <v>-154000</v>
      </c>
      <c r="K38" s="439">
        <v>-45000</v>
      </c>
      <c r="L38" s="439">
        <v>373291</v>
      </c>
      <c r="M38" s="439">
        <v>418000</v>
      </c>
      <c r="N38" s="439">
        <v>-4627</v>
      </c>
      <c r="O38" s="439">
        <v>1000</v>
      </c>
      <c r="P38" s="440">
        <v>3886</v>
      </c>
    </row>
    <row r="39" spans="1:16" ht="12">
      <c r="A39" s="441" t="s">
        <v>652</v>
      </c>
      <c r="B39" s="439">
        <v>1135000</v>
      </c>
      <c r="C39" s="439">
        <v>2766000</v>
      </c>
      <c r="D39" s="439">
        <v>3901000</v>
      </c>
      <c r="E39" s="439">
        <v>3604000</v>
      </c>
      <c r="F39" s="439">
        <v>65000</v>
      </c>
      <c r="G39" s="439">
        <v>3669000</v>
      </c>
      <c r="H39" s="439">
        <v>232000</v>
      </c>
      <c r="I39" s="439">
        <v>-232000</v>
      </c>
      <c r="J39" s="439">
        <v>-178000</v>
      </c>
      <c r="K39" s="439">
        <v>-209000</v>
      </c>
      <c r="L39" s="439">
        <v>170581</v>
      </c>
      <c r="M39" s="439">
        <v>379000</v>
      </c>
      <c r="N39" s="439">
        <v>-2000</v>
      </c>
      <c r="O39" s="439">
        <v>88000</v>
      </c>
      <c r="P39" s="440">
        <v>67987</v>
      </c>
    </row>
    <row r="40" spans="1:16" ht="12">
      <c r="A40" s="441" t="s">
        <v>653</v>
      </c>
      <c r="B40" s="439">
        <v>1247000</v>
      </c>
      <c r="C40" s="439">
        <v>2658000</v>
      </c>
      <c r="D40" s="439">
        <v>3905000</v>
      </c>
      <c r="E40" s="439">
        <v>3610000</v>
      </c>
      <c r="F40" s="439">
        <v>149000</v>
      </c>
      <c r="G40" s="439">
        <v>3760000</v>
      </c>
      <c r="H40" s="439">
        <v>145000</v>
      </c>
      <c r="I40" s="439">
        <v>-145000</v>
      </c>
      <c r="J40" s="439">
        <v>-9000</v>
      </c>
      <c r="K40" s="439">
        <v>-129000</v>
      </c>
      <c r="L40" s="439">
        <v>130735</v>
      </c>
      <c r="M40" s="439">
        <v>260000</v>
      </c>
      <c r="N40" s="439">
        <v>-7000</v>
      </c>
      <c r="O40" s="439"/>
      <c r="P40" s="440"/>
    </row>
    <row r="41" spans="1:16" ht="12">
      <c r="A41" s="441" t="s">
        <v>654</v>
      </c>
      <c r="B41" s="439">
        <v>12097000</v>
      </c>
      <c r="C41" s="439">
        <v>4823000</v>
      </c>
      <c r="D41" s="439">
        <v>16920000</v>
      </c>
      <c r="E41" s="439">
        <v>14545000</v>
      </c>
      <c r="F41" s="439">
        <v>1957000</v>
      </c>
      <c r="G41" s="439">
        <v>16502000</v>
      </c>
      <c r="H41" s="439">
        <v>419000</v>
      </c>
      <c r="I41" s="439">
        <v>-419000</v>
      </c>
      <c r="J41" s="439">
        <v>40000</v>
      </c>
      <c r="K41" s="439">
        <v>-462000</v>
      </c>
      <c r="L41" s="439">
        <v>1178478</v>
      </c>
      <c r="M41" s="439">
        <v>1640000</v>
      </c>
      <c r="N41" s="439">
        <v>-18000</v>
      </c>
      <c r="O41" s="439">
        <v>-26000</v>
      </c>
      <c r="P41" s="440">
        <v>47000</v>
      </c>
    </row>
    <row r="42" spans="1:16" ht="12">
      <c r="A42" s="441" t="s">
        <v>655</v>
      </c>
      <c r="B42" s="439">
        <v>2230000</v>
      </c>
      <c r="C42" s="439">
        <v>2329000</v>
      </c>
      <c r="D42" s="439">
        <v>4559000</v>
      </c>
      <c r="E42" s="439">
        <v>4152000</v>
      </c>
      <c r="F42" s="439">
        <v>113000</v>
      </c>
      <c r="G42" s="439">
        <v>4265000</v>
      </c>
      <c r="H42" s="439">
        <v>293000</v>
      </c>
      <c r="I42" s="439">
        <v>-293000</v>
      </c>
      <c r="J42" s="439">
        <v>33000</v>
      </c>
      <c r="K42" s="439">
        <v>-255000</v>
      </c>
      <c r="L42" s="439">
        <v>184591</v>
      </c>
      <c r="M42" s="439">
        <v>440000</v>
      </c>
      <c r="N42" s="439"/>
      <c r="O42" s="439"/>
      <c r="P42" s="440">
        <v>-70559</v>
      </c>
    </row>
    <row r="43" spans="1:16" ht="12">
      <c r="A43" s="441" t="s">
        <v>656</v>
      </c>
      <c r="B43" s="439">
        <v>2724000</v>
      </c>
      <c r="C43" s="439">
        <v>2537000</v>
      </c>
      <c r="D43" s="439">
        <v>5261000</v>
      </c>
      <c r="E43" s="439">
        <v>5107000</v>
      </c>
      <c r="F43" s="439">
        <v>157000</v>
      </c>
      <c r="G43" s="439">
        <v>5264000</v>
      </c>
      <c r="H43" s="439">
        <v>-3000</v>
      </c>
      <c r="I43" s="439">
        <v>3000</v>
      </c>
      <c r="J43" s="439">
        <v>-73000</v>
      </c>
      <c r="K43" s="439">
        <v>55000</v>
      </c>
      <c r="L43" s="439">
        <v>373141</v>
      </c>
      <c r="M43" s="439">
        <v>318000</v>
      </c>
      <c r="N43" s="439">
        <v>3000</v>
      </c>
      <c r="O43" s="439">
        <v>29000</v>
      </c>
      <c r="P43" s="440">
        <v>-12384</v>
      </c>
    </row>
    <row r="44" spans="1:16" ht="12">
      <c r="A44" s="441" t="s">
        <v>657</v>
      </c>
      <c r="B44" s="439">
        <v>3199000</v>
      </c>
      <c r="C44" s="439">
        <v>3046000</v>
      </c>
      <c r="D44" s="439">
        <v>6245000</v>
      </c>
      <c r="E44" s="439">
        <v>6824000</v>
      </c>
      <c r="F44" s="439">
        <v>117000</v>
      </c>
      <c r="G44" s="439">
        <v>6941000</v>
      </c>
      <c r="H44" s="439">
        <v>-696000</v>
      </c>
      <c r="I44" s="439">
        <v>696000</v>
      </c>
      <c r="J44" s="439">
        <v>649000</v>
      </c>
      <c r="K44" s="439">
        <v>-99000</v>
      </c>
      <c r="L44" s="439">
        <v>444384</v>
      </c>
      <c r="M44" s="439">
        <v>544000</v>
      </c>
      <c r="N44" s="439">
        <v>-4000</v>
      </c>
      <c r="O44" s="439">
        <v>-3000</v>
      </c>
      <c r="P44" s="440">
        <v>152000</v>
      </c>
    </row>
    <row r="45" spans="1:16" ht="12">
      <c r="A45" s="441" t="s">
        <v>658</v>
      </c>
      <c r="B45" s="439">
        <v>1914000</v>
      </c>
      <c r="C45" s="439">
        <v>1820000</v>
      </c>
      <c r="D45" s="439">
        <v>3735000</v>
      </c>
      <c r="E45" s="439">
        <v>3254000</v>
      </c>
      <c r="F45" s="439">
        <v>141000</v>
      </c>
      <c r="G45" s="439">
        <v>3395000</v>
      </c>
      <c r="H45" s="439">
        <v>340000</v>
      </c>
      <c r="I45" s="439">
        <v>-340000</v>
      </c>
      <c r="J45" s="439">
        <v>-41000</v>
      </c>
      <c r="K45" s="439">
        <v>-272000</v>
      </c>
      <c r="L45" s="439">
        <v>139839</v>
      </c>
      <c r="M45" s="439">
        <v>412000</v>
      </c>
      <c r="N45" s="439"/>
      <c r="O45" s="439">
        <v>8000</v>
      </c>
      <c r="P45" s="440">
        <v>-34000</v>
      </c>
    </row>
    <row r="46" spans="1:16" ht="12">
      <c r="A46" s="441" t="s">
        <v>659</v>
      </c>
      <c r="B46" s="439">
        <v>5675000</v>
      </c>
      <c r="C46" s="439">
        <v>3059000</v>
      </c>
      <c r="D46" s="439">
        <v>8733000</v>
      </c>
      <c r="E46" s="439">
        <v>7769000</v>
      </c>
      <c r="F46" s="439">
        <v>319000</v>
      </c>
      <c r="G46" s="439">
        <v>8088000</v>
      </c>
      <c r="H46" s="439">
        <v>645000</v>
      </c>
      <c r="I46" s="439">
        <v>-645000</v>
      </c>
      <c r="J46" s="439">
        <v>-695000</v>
      </c>
      <c r="K46" s="439">
        <v>-66000</v>
      </c>
      <c r="L46" s="439">
        <v>275000</v>
      </c>
      <c r="M46" s="439">
        <v>341000</v>
      </c>
      <c r="N46" s="439">
        <v>166000</v>
      </c>
      <c r="O46" s="439">
        <v>11000</v>
      </c>
      <c r="P46" s="440">
        <v>-61623</v>
      </c>
    </row>
    <row r="47" spans="1:16" ht="12">
      <c r="A47" s="441" t="s">
        <v>660</v>
      </c>
      <c r="B47" s="439">
        <v>997000</v>
      </c>
      <c r="C47" s="439">
        <v>615000</v>
      </c>
      <c r="D47" s="439">
        <v>1612000</v>
      </c>
      <c r="E47" s="439">
        <v>1499000</v>
      </c>
      <c r="F47" s="439">
        <v>80000</v>
      </c>
      <c r="G47" s="439">
        <v>1579000</v>
      </c>
      <c r="H47" s="439">
        <v>34000</v>
      </c>
      <c r="I47" s="439">
        <v>-34000</v>
      </c>
      <c r="J47" s="439">
        <v>-6000</v>
      </c>
      <c r="K47" s="439">
        <v>-28000</v>
      </c>
      <c r="L47" s="439">
        <v>84789</v>
      </c>
      <c r="M47" s="439">
        <v>112000</v>
      </c>
      <c r="N47" s="439"/>
      <c r="O47" s="439"/>
      <c r="P47" s="440"/>
    </row>
    <row r="48" spans="1:16" ht="12.75">
      <c r="A48" s="435" t="s">
        <v>661</v>
      </c>
      <c r="B48" s="439">
        <v>66917000</v>
      </c>
      <c r="C48" s="439">
        <v>62687000</v>
      </c>
      <c r="D48" s="439">
        <v>129603000</v>
      </c>
      <c r="E48" s="439">
        <f>SUM(E22:E47)</f>
        <v>120160000</v>
      </c>
      <c r="F48" s="439">
        <v>5752000</v>
      </c>
      <c r="G48" s="439">
        <v>125912000</v>
      </c>
      <c r="H48" s="439">
        <v>3692000</v>
      </c>
      <c r="I48" s="439">
        <f>SUM(I22:I47)</f>
        <v>-3692000</v>
      </c>
      <c r="J48" s="439">
        <f>SUM(J22:J47)</f>
        <v>752000</v>
      </c>
      <c r="K48" s="439">
        <v>-4840000</v>
      </c>
      <c r="L48" s="439">
        <f>SUM(L22:L47)</f>
        <v>6027000</v>
      </c>
      <c r="M48" s="439">
        <f>SUM(M22:M47)</f>
        <v>10867000</v>
      </c>
      <c r="N48" s="439">
        <v>158000</v>
      </c>
      <c r="O48" s="439">
        <f>SUM(O22:O47)</f>
        <v>201000</v>
      </c>
      <c r="P48" s="440">
        <f>SUM(P22:P47)</f>
        <v>37000</v>
      </c>
    </row>
    <row r="49" spans="1:16" ht="12.75">
      <c r="A49" s="443" t="s">
        <v>662</v>
      </c>
      <c r="B49" s="444">
        <f aca="true" t="shared" si="0" ref="B49:P49">B48+B20</f>
        <v>174751000</v>
      </c>
      <c r="C49" s="444">
        <f t="shared" si="0"/>
        <v>87424000</v>
      </c>
      <c r="D49" s="444">
        <f t="shared" si="0"/>
        <v>262175000</v>
      </c>
      <c r="E49" s="444">
        <f t="shared" si="0"/>
        <v>239590000</v>
      </c>
      <c r="F49" s="444">
        <f t="shared" si="0"/>
        <v>19411000</v>
      </c>
      <c r="G49" s="444">
        <f t="shared" si="0"/>
        <v>259001000</v>
      </c>
      <c r="H49" s="444">
        <f t="shared" si="0"/>
        <v>3174000</v>
      </c>
      <c r="I49" s="444">
        <f t="shared" si="0"/>
        <v>-3174000</v>
      </c>
      <c r="J49" s="444">
        <f t="shared" si="0"/>
        <v>-1290000</v>
      </c>
      <c r="K49" s="444">
        <f t="shared" si="0"/>
        <v>-3565000</v>
      </c>
      <c r="L49" s="444">
        <f t="shared" si="0"/>
        <v>14091000</v>
      </c>
      <c r="M49" s="444">
        <f t="shared" si="0"/>
        <v>17656000</v>
      </c>
      <c r="N49" s="444">
        <f t="shared" si="0"/>
        <v>158000</v>
      </c>
      <c r="O49" s="444">
        <f t="shared" si="0"/>
        <v>408000</v>
      </c>
      <c r="P49" s="445">
        <f t="shared" si="0"/>
        <v>1115000</v>
      </c>
    </row>
    <row r="50" spans="1:7" s="447" customFormat="1" ht="12">
      <c r="A50" s="446" t="s">
        <v>663</v>
      </c>
      <c r="G50" s="447" t="s">
        <v>535</v>
      </c>
    </row>
    <row r="51" s="447" customFormat="1" ht="12">
      <c r="A51" s="446" t="s">
        <v>664</v>
      </c>
    </row>
    <row r="52" spans="1:11" s="447" customFormat="1" ht="12">
      <c r="A52" s="448"/>
      <c r="B52" s="377"/>
      <c r="C52" s="377"/>
      <c r="D52" s="377"/>
      <c r="E52" s="377"/>
      <c r="F52" s="377"/>
      <c r="G52" s="377"/>
      <c r="H52" s="377"/>
      <c r="I52" s="377"/>
      <c r="J52" s="377"/>
      <c r="K52" s="377"/>
    </row>
    <row r="53" s="447" customFormat="1" ht="12">
      <c r="A53" s="404"/>
    </row>
    <row r="54" spans="1:12" s="447" customFormat="1" ht="12">
      <c r="A54" s="449"/>
      <c r="B54" s="449"/>
      <c r="C54" s="351"/>
      <c r="D54" s="351"/>
      <c r="E54" s="351"/>
      <c r="F54" s="351"/>
      <c r="H54" s="450"/>
      <c r="I54" s="450"/>
      <c r="J54" s="450"/>
      <c r="K54" s="450"/>
      <c r="L54" s="450"/>
    </row>
    <row r="55" s="452" customFormat="1" ht="11.25">
      <c r="A55" s="451"/>
    </row>
    <row r="58" spans="1:11" s="351" customFormat="1" ht="11.25" customHeight="1">
      <c r="A58" s="453" t="s">
        <v>665</v>
      </c>
      <c r="H58" s="351" t="s">
        <v>666</v>
      </c>
      <c r="K58" s="351" t="s">
        <v>491</v>
      </c>
    </row>
    <row r="59" ht="11.25">
      <c r="A59" s="353"/>
    </row>
    <row r="67" s="300" customFormat="1" ht="11.25">
      <c r="A67" s="357" t="s">
        <v>492</v>
      </c>
    </row>
    <row r="68" ht="11.25">
      <c r="A68" s="316" t="s">
        <v>493</v>
      </c>
    </row>
  </sheetData>
  <printOptions/>
  <pageMargins left="0.23" right="0.17" top="0.79" bottom="0.984251968503937" header="0.36" footer="0.5118110236220472"/>
  <pageSetup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23" sqref="A23"/>
    </sheetView>
  </sheetViews>
  <sheetFormatPr defaultColWidth="9.140625" defaultRowHeight="12.75"/>
  <cols>
    <col min="1" max="1" width="20.421875" style="317" customWidth="1"/>
    <col min="2" max="2" width="9.7109375" style="296" customWidth="1"/>
    <col min="3" max="3" width="9.57421875" style="296" customWidth="1"/>
    <col min="4" max="4" width="14.8515625" style="296" customWidth="1"/>
    <col min="5" max="9" width="10.57421875" style="296" customWidth="1"/>
    <col min="10" max="10" width="11.8515625" style="296" customWidth="1"/>
    <col min="11" max="12" width="11.00390625" style="296" customWidth="1"/>
    <col min="13" max="16" width="7.140625" style="296" customWidth="1"/>
    <col min="17" max="16384" width="8.00390625" style="296" customWidth="1"/>
  </cols>
  <sheetData>
    <row r="1" spans="1:12" s="300" customFormat="1" ht="12.75">
      <c r="A1" s="294" t="s">
        <v>667</v>
      </c>
      <c r="B1" s="294"/>
      <c r="C1" s="294"/>
      <c r="D1" s="294"/>
      <c r="E1" s="294"/>
      <c r="F1" s="294"/>
      <c r="G1" s="294"/>
      <c r="H1" s="294"/>
      <c r="I1" s="294"/>
      <c r="J1" s="294"/>
      <c r="K1" s="327"/>
      <c r="L1" s="406" t="s">
        <v>668</v>
      </c>
    </row>
    <row r="2" spans="1:12" s="300" customFormat="1" ht="12.7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327"/>
      <c r="L2" s="406"/>
    </row>
    <row r="3" spans="1:12" s="297" customFormat="1" ht="12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406"/>
    </row>
    <row r="4" spans="1:16" s="411" customFormat="1" ht="15.75">
      <c r="A4" s="298" t="s">
        <v>669</v>
      </c>
      <c r="B4" s="298"/>
      <c r="C4" s="298"/>
      <c r="D4" s="322"/>
      <c r="E4" s="298"/>
      <c r="F4" s="298"/>
      <c r="G4" s="298"/>
      <c r="H4" s="298"/>
      <c r="I4" s="298"/>
      <c r="J4" s="298"/>
      <c r="K4" s="298"/>
      <c r="L4" s="298"/>
      <c r="M4" s="454"/>
      <c r="N4" s="454"/>
      <c r="O4" s="454"/>
      <c r="P4" s="454"/>
    </row>
    <row r="5" spans="1:16" s="411" customFormat="1" ht="15.75">
      <c r="A5" s="298" t="s">
        <v>498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454"/>
      <c r="N5" s="454"/>
      <c r="O5" s="454"/>
      <c r="P5" s="454"/>
    </row>
    <row r="6" spans="1:16" ht="12.75">
      <c r="A6" s="45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1:16" s="300" customFormat="1" ht="11.25">
      <c r="A7" s="412"/>
      <c r="B7" s="327"/>
      <c r="C7" s="327"/>
      <c r="D7" s="327"/>
      <c r="E7" s="327"/>
      <c r="F7" s="327"/>
      <c r="G7" s="327"/>
      <c r="H7" s="327"/>
      <c r="I7" s="327"/>
      <c r="J7" s="327"/>
      <c r="K7" s="327" t="s">
        <v>670</v>
      </c>
      <c r="L7" s="327"/>
      <c r="N7" s="327"/>
      <c r="O7" s="327"/>
      <c r="P7" s="327"/>
    </row>
    <row r="8" spans="1:16" s="297" customFormat="1" ht="12.75">
      <c r="A8" s="456"/>
      <c r="B8" s="457"/>
      <c r="C8" s="457"/>
      <c r="D8" s="458"/>
      <c r="E8" s="458"/>
      <c r="F8" s="459" t="s">
        <v>671</v>
      </c>
      <c r="G8" s="419"/>
      <c r="H8" s="419"/>
      <c r="I8" s="460"/>
      <c r="J8" s="419"/>
      <c r="K8" s="419"/>
      <c r="L8" s="461"/>
      <c r="N8" s="294"/>
      <c r="O8" s="294"/>
      <c r="P8" s="294"/>
    </row>
    <row r="9" spans="1:12" s="353" customFormat="1" ht="11.25">
      <c r="A9" s="462"/>
      <c r="B9" s="463"/>
      <c r="C9" s="463"/>
      <c r="D9" s="422"/>
      <c r="E9" s="422"/>
      <c r="F9" s="422"/>
      <c r="G9" s="422"/>
      <c r="H9" s="464" t="s">
        <v>610</v>
      </c>
      <c r="I9" s="465"/>
      <c r="J9" s="422"/>
      <c r="K9" s="422"/>
      <c r="L9" s="466"/>
    </row>
    <row r="10" spans="1:16" ht="45">
      <c r="A10" s="462" t="s">
        <v>672</v>
      </c>
      <c r="B10" s="467" t="s">
        <v>673</v>
      </c>
      <c r="C10" s="467" t="s">
        <v>674</v>
      </c>
      <c r="D10" s="467" t="s">
        <v>675</v>
      </c>
      <c r="E10" s="467" t="s">
        <v>676</v>
      </c>
      <c r="F10" s="467" t="s">
        <v>421</v>
      </c>
      <c r="G10" s="467" t="s">
        <v>677</v>
      </c>
      <c r="H10" s="467" t="s">
        <v>621</v>
      </c>
      <c r="I10" s="467" t="s">
        <v>622</v>
      </c>
      <c r="J10" s="467" t="s">
        <v>431</v>
      </c>
      <c r="K10" s="467" t="s">
        <v>433</v>
      </c>
      <c r="L10" s="468" t="s">
        <v>678</v>
      </c>
      <c r="M10" s="378"/>
      <c r="N10" s="325"/>
      <c r="O10" s="325"/>
      <c r="P10" s="325"/>
    </row>
    <row r="11" spans="1:16" s="300" customFormat="1" ht="11.25">
      <c r="A11" s="469">
        <v>1</v>
      </c>
      <c r="B11" s="470">
        <v>2</v>
      </c>
      <c r="C11" s="470">
        <v>3</v>
      </c>
      <c r="D11" s="470">
        <v>4</v>
      </c>
      <c r="E11" s="470">
        <v>5</v>
      </c>
      <c r="F11" s="470">
        <v>6</v>
      </c>
      <c r="G11" s="470">
        <v>7</v>
      </c>
      <c r="H11" s="470">
        <v>8</v>
      </c>
      <c r="I11" s="470">
        <v>9</v>
      </c>
      <c r="J11" s="470">
        <v>10</v>
      </c>
      <c r="K11" s="470">
        <v>11</v>
      </c>
      <c r="L11" s="471">
        <v>12</v>
      </c>
      <c r="M11" s="357"/>
      <c r="N11" s="327"/>
      <c r="O11" s="327"/>
      <c r="P11" s="327"/>
    </row>
    <row r="12" spans="1:13" ht="12">
      <c r="A12" s="472" t="s">
        <v>626</v>
      </c>
      <c r="B12" s="439">
        <v>5467000</v>
      </c>
      <c r="C12" s="439">
        <v>5579000</v>
      </c>
      <c r="D12" s="439">
        <v>-112000</v>
      </c>
      <c r="E12" s="439">
        <v>112000</v>
      </c>
      <c r="F12" s="439"/>
      <c r="G12" s="439">
        <v>112000</v>
      </c>
      <c r="H12" s="439">
        <v>3600041</v>
      </c>
      <c r="I12" s="439">
        <v>3488000</v>
      </c>
      <c r="J12" s="439"/>
      <c r="K12" s="439"/>
      <c r="L12" s="440"/>
      <c r="M12" s="473"/>
    </row>
    <row r="13" spans="1:13" ht="12">
      <c r="A13" s="472" t="s">
        <v>627</v>
      </c>
      <c r="B13" s="439">
        <v>872000</v>
      </c>
      <c r="C13" s="439">
        <v>821000</v>
      </c>
      <c r="D13" s="439">
        <v>51000</v>
      </c>
      <c r="E13" s="439">
        <v>-51000</v>
      </c>
      <c r="F13" s="439"/>
      <c r="G13" s="439">
        <v>-51000</v>
      </c>
      <c r="H13" s="439">
        <v>36619</v>
      </c>
      <c r="I13" s="439">
        <v>88000</v>
      </c>
      <c r="J13" s="439"/>
      <c r="K13" s="439"/>
      <c r="L13" s="440"/>
      <c r="M13" s="473"/>
    </row>
    <row r="14" spans="1:13" ht="12">
      <c r="A14" s="472" t="s">
        <v>628</v>
      </c>
      <c r="B14" s="439">
        <v>767000</v>
      </c>
      <c r="C14" s="439">
        <v>872000</v>
      </c>
      <c r="D14" s="439">
        <v>-104000</v>
      </c>
      <c r="E14" s="439">
        <v>104000</v>
      </c>
      <c r="F14" s="439"/>
      <c r="G14" s="439">
        <v>104000</v>
      </c>
      <c r="H14" s="439">
        <v>263775</v>
      </c>
      <c r="I14" s="439">
        <v>160000</v>
      </c>
      <c r="J14" s="439"/>
      <c r="K14" s="439"/>
      <c r="L14" s="440"/>
      <c r="M14" s="473"/>
    </row>
    <row r="15" spans="1:13" ht="12">
      <c r="A15" s="472" t="s">
        <v>629</v>
      </c>
      <c r="B15" s="439">
        <v>1892000</v>
      </c>
      <c r="C15" s="439">
        <v>1992000</v>
      </c>
      <c r="D15" s="439">
        <v>-100000</v>
      </c>
      <c r="E15" s="439">
        <v>100000</v>
      </c>
      <c r="F15" s="439"/>
      <c r="G15" s="439">
        <v>100000</v>
      </c>
      <c r="H15" s="439">
        <v>344938</v>
      </c>
      <c r="I15" s="439">
        <v>245000</v>
      </c>
      <c r="J15" s="439"/>
      <c r="K15" s="439"/>
      <c r="L15" s="440"/>
      <c r="M15" s="473"/>
    </row>
    <row r="16" spans="1:13" ht="12">
      <c r="A16" s="472" t="s">
        <v>630</v>
      </c>
      <c r="B16" s="439">
        <v>676000</v>
      </c>
      <c r="C16" s="439">
        <v>644000</v>
      </c>
      <c r="D16" s="439">
        <v>32000</v>
      </c>
      <c r="E16" s="439">
        <v>-32000</v>
      </c>
      <c r="F16" s="439"/>
      <c r="G16" s="439">
        <v>-32000</v>
      </c>
      <c r="H16" s="439">
        <v>150617</v>
      </c>
      <c r="I16" s="439">
        <v>183000</v>
      </c>
      <c r="J16" s="439"/>
      <c r="K16" s="439"/>
      <c r="L16" s="440"/>
      <c r="M16" s="473"/>
    </row>
    <row r="17" spans="1:13" ht="12">
      <c r="A17" s="472" t="s">
        <v>631</v>
      </c>
      <c r="B17" s="439">
        <v>264000</v>
      </c>
      <c r="C17" s="439">
        <v>199000</v>
      </c>
      <c r="D17" s="439">
        <v>65000</v>
      </c>
      <c r="E17" s="439">
        <v>-65000</v>
      </c>
      <c r="F17" s="439"/>
      <c r="G17" s="439">
        <v>-65000</v>
      </c>
      <c r="H17" s="439">
        <v>38765</v>
      </c>
      <c r="I17" s="439">
        <v>104000</v>
      </c>
      <c r="J17" s="439"/>
      <c r="K17" s="439"/>
      <c r="L17" s="440"/>
      <c r="M17" s="473"/>
    </row>
    <row r="18" spans="1:13" ht="12">
      <c r="A18" s="472" t="s">
        <v>632</v>
      </c>
      <c r="B18" s="439">
        <v>4283000</v>
      </c>
      <c r="C18" s="439">
        <v>3490000</v>
      </c>
      <c r="D18" s="439">
        <v>793000</v>
      </c>
      <c r="E18" s="439">
        <v>-793000</v>
      </c>
      <c r="F18" s="439">
        <v>600000</v>
      </c>
      <c r="G18" s="439">
        <v>-1393000</v>
      </c>
      <c r="H18" s="439">
        <v>2268757</v>
      </c>
      <c r="I18" s="439">
        <v>3662000</v>
      </c>
      <c r="J18" s="439"/>
      <c r="K18" s="439"/>
      <c r="L18" s="440"/>
      <c r="M18" s="452"/>
    </row>
    <row r="19" spans="1:16" s="476" customFormat="1" ht="12.75">
      <c r="A19" s="474" t="s">
        <v>633</v>
      </c>
      <c r="B19" s="439">
        <f>SUM(B12:B18)</f>
        <v>14221000</v>
      </c>
      <c r="C19" s="439">
        <v>13596000</v>
      </c>
      <c r="D19" s="439">
        <v>625000</v>
      </c>
      <c r="E19" s="439">
        <v>-625000</v>
      </c>
      <c r="F19" s="439">
        <v>600000</v>
      </c>
      <c r="G19" s="439">
        <v>-1225000</v>
      </c>
      <c r="H19" s="439">
        <f>SUM(H12:H18)</f>
        <v>6704000</v>
      </c>
      <c r="I19" s="439">
        <v>7929000</v>
      </c>
      <c r="J19" s="439"/>
      <c r="K19" s="439"/>
      <c r="L19" s="440"/>
      <c r="M19" s="475"/>
      <c r="N19" s="475"/>
      <c r="O19" s="475"/>
      <c r="P19" s="475"/>
    </row>
    <row r="20" spans="1:13" ht="12">
      <c r="A20" s="472" t="s">
        <v>635</v>
      </c>
      <c r="B20" s="439">
        <v>317000</v>
      </c>
      <c r="C20" s="439">
        <v>400000</v>
      </c>
      <c r="D20" s="439">
        <v>-84000</v>
      </c>
      <c r="E20" s="439">
        <v>84000</v>
      </c>
      <c r="F20" s="439"/>
      <c r="G20" s="439">
        <v>84000</v>
      </c>
      <c r="H20" s="439">
        <v>177557</v>
      </c>
      <c r="I20" s="439">
        <v>94000</v>
      </c>
      <c r="J20" s="439"/>
      <c r="K20" s="439"/>
      <c r="L20" s="440"/>
      <c r="M20" s="473"/>
    </row>
    <row r="21" spans="1:13" ht="12">
      <c r="A21" s="472" t="s">
        <v>636</v>
      </c>
      <c r="B21" s="439">
        <v>311000</v>
      </c>
      <c r="C21" s="439">
        <v>381000</v>
      </c>
      <c r="D21" s="439">
        <v>-70000</v>
      </c>
      <c r="E21" s="439">
        <v>70000</v>
      </c>
      <c r="F21" s="439"/>
      <c r="G21" s="439">
        <v>52000</v>
      </c>
      <c r="H21" s="439">
        <v>207851</v>
      </c>
      <c r="I21" s="439">
        <v>156000</v>
      </c>
      <c r="J21" s="439"/>
      <c r="K21" s="439">
        <v>18000</v>
      </c>
      <c r="L21" s="440"/>
      <c r="M21" s="473"/>
    </row>
    <row r="22" spans="1:13" ht="12">
      <c r="A22" s="472" t="s">
        <v>637</v>
      </c>
      <c r="B22" s="439">
        <v>395000</v>
      </c>
      <c r="C22" s="439">
        <v>490000</v>
      </c>
      <c r="D22" s="439">
        <v>-94000</v>
      </c>
      <c r="E22" s="439">
        <v>94000</v>
      </c>
      <c r="F22" s="439"/>
      <c r="G22" s="439">
        <v>94000</v>
      </c>
      <c r="H22" s="439">
        <v>207209</v>
      </c>
      <c r="I22" s="439">
        <v>113000</v>
      </c>
      <c r="J22" s="439"/>
      <c r="K22" s="439"/>
      <c r="L22" s="440"/>
      <c r="M22" s="473"/>
    </row>
    <row r="23" spans="1:13" ht="12">
      <c r="A23" s="472" t="s">
        <v>638</v>
      </c>
      <c r="B23" s="439">
        <v>359000</v>
      </c>
      <c r="C23" s="439">
        <v>466000</v>
      </c>
      <c r="D23" s="439">
        <v>-107000</v>
      </c>
      <c r="E23" s="439">
        <v>107000</v>
      </c>
      <c r="F23" s="439"/>
      <c r="G23" s="439">
        <v>107000</v>
      </c>
      <c r="H23" s="439">
        <v>214081</v>
      </c>
      <c r="I23" s="439">
        <v>107000</v>
      </c>
      <c r="J23" s="439"/>
      <c r="K23" s="439"/>
      <c r="L23" s="440"/>
      <c r="M23" s="473"/>
    </row>
    <row r="24" spans="1:13" ht="12">
      <c r="A24" s="472" t="s">
        <v>639</v>
      </c>
      <c r="B24" s="439">
        <v>593000</v>
      </c>
      <c r="C24" s="439">
        <v>751000</v>
      </c>
      <c r="D24" s="439">
        <v>-158000</v>
      </c>
      <c r="E24" s="439">
        <v>158000</v>
      </c>
      <c r="F24" s="439">
        <v>-1000</v>
      </c>
      <c r="G24" s="439">
        <v>159000</v>
      </c>
      <c r="H24" s="439">
        <v>300636</v>
      </c>
      <c r="I24" s="439">
        <v>142000</v>
      </c>
      <c r="J24" s="439"/>
      <c r="K24" s="439"/>
      <c r="L24" s="440"/>
      <c r="M24" s="473"/>
    </row>
    <row r="25" spans="1:13" ht="12">
      <c r="A25" s="472" t="s">
        <v>640</v>
      </c>
      <c r="B25" s="439">
        <v>507000</v>
      </c>
      <c r="C25" s="439">
        <v>594000</v>
      </c>
      <c r="D25" s="439">
        <v>-88000</v>
      </c>
      <c r="E25" s="439">
        <v>88000</v>
      </c>
      <c r="F25" s="439"/>
      <c r="G25" s="439">
        <v>88000</v>
      </c>
      <c r="H25" s="439">
        <v>173160</v>
      </c>
      <c r="I25" s="439">
        <v>85000</v>
      </c>
      <c r="J25" s="439"/>
      <c r="K25" s="439"/>
      <c r="L25" s="440"/>
      <c r="M25" s="473"/>
    </row>
    <row r="26" spans="1:13" ht="12">
      <c r="A26" s="472" t="s">
        <v>641</v>
      </c>
      <c r="B26" s="439">
        <v>348000</v>
      </c>
      <c r="C26" s="439">
        <v>443000</v>
      </c>
      <c r="D26" s="439">
        <v>-95000</v>
      </c>
      <c r="E26" s="439">
        <v>95000</v>
      </c>
      <c r="F26" s="439"/>
      <c r="G26" s="439">
        <v>95000</v>
      </c>
      <c r="H26" s="439">
        <v>250003</v>
      </c>
      <c r="I26" s="439">
        <v>155000</v>
      </c>
      <c r="J26" s="439"/>
      <c r="K26" s="439"/>
      <c r="L26" s="440"/>
      <c r="M26" s="473"/>
    </row>
    <row r="27" spans="1:13" ht="12">
      <c r="A27" s="472" t="s">
        <v>642</v>
      </c>
      <c r="B27" s="439">
        <v>296000</v>
      </c>
      <c r="C27" s="439">
        <v>320000</v>
      </c>
      <c r="D27" s="439">
        <v>-24000</v>
      </c>
      <c r="E27" s="439">
        <v>24000</v>
      </c>
      <c r="F27" s="439">
        <v>2000</v>
      </c>
      <c r="G27" s="439">
        <v>22000</v>
      </c>
      <c r="H27" s="439">
        <v>115567</v>
      </c>
      <c r="I27" s="439">
        <v>93000</v>
      </c>
      <c r="J27" s="439"/>
      <c r="K27" s="439"/>
      <c r="L27" s="440"/>
      <c r="M27" s="473"/>
    </row>
    <row r="28" spans="1:13" ht="12">
      <c r="A28" s="472" t="s">
        <v>643</v>
      </c>
      <c r="B28" s="439">
        <v>554000</v>
      </c>
      <c r="C28" s="439">
        <v>541000</v>
      </c>
      <c r="D28" s="439">
        <v>13000</v>
      </c>
      <c r="E28" s="439">
        <v>-13000</v>
      </c>
      <c r="F28" s="439"/>
      <c r="G28" s="439">
        <v>12000</v>
      </c>
      <c r="H28" s="439">
        <v>199657</v>
      </c>
      <c r="I28" s="439">
        <v>188000</v>
      </c>
      <c r="J28" s="439">
        <v>-25000</v>
      </c>
      <c r="K28" s="439"/>
      <c r="L28" s="440"/>
      <c r="M28" s="473"/>
    </row>
    <row r="29" spans="1:13" ht="12">
      <c r="A29" s="472" t="s">
        <v>644</v>
      </c>
      <c r="B29" s="439">
        <v>548000</v>
      </c>
      <c r="C29" s="439">
        <v>581000</v>
      </c>
      <c r="D29" s="439">
        <v>-33000</v>
      </c>
      <c r="E29" s="439">
        <v>33000</v>
      </c>
      <c r="F29" s="439"/>
      <c r="G29" s="439">
        <v>33000</v>
      </c>
      <c r="H29" s="439">
        <v>170690</v>
      </c>
      <c r="I29" s="439">
        <v>138000</v>
      </c>
      <c r="J29" s="439"/>
      <c r="K29" s="439"/>
      <c r="L29" s="440"/>
      <c r="M29" s="473"/>
    </row>
    <row r="30" spans="1:13" ht="12">
      <c r="A30" s="472" t="s">
        <v>645</v>
      </c>
      <c r="B30" s="439">
        <v>521000</v>
      </c>
      <c r="C30" s="439">
        <v>640000</v>
      </c>
      <c r="D30" s="439">
        <v>-119000</v>
      </c>
      <c r="E30" s="439">
        <v>119000</v>
      </c>
      <c r="F30" s="439"/>
      <c r="G30" s="439">
        <v>119000</v>
      </c>
      <c r="H30" s="439">
        <v>256279</v>
      </c>
      <c r="I30" s="439">
        <v>137000</v>
      </c>
      <c r="J30" s="439"/>
      <c r="K30" s="439"/>
      <c r="L30" s="440"/>
      <c r="M30" s="473"/>
    </row>
    <row r="31" spans="1:13" ht="12">
      <c r="A31" s="472" t="s">
        <v>646</v>
      </c>
      <c r="B31" s="439">
        <v>922000</v>
      </c>
      <c r="C31" s="439">
        <v>708000</v>
      </c>
      <c r="D31" s="439">
        <v>214000</v>
      </c>
      <c r="E31" s="439">
        <v>-214000</v>
      </c>
      <c r="F31" s="439">
        <v>-26000</v>
      </c>
      <c r="G31" s="439">
        <v>-188000</v>
      </c>
      <c r="H31" s="439">
        <v>272963</v>
      </c>
      <c r="I31" s="439">
        <v>461000</v>
      </c>
      <c r="J31" s="439"/>
      <c r="K31" s="439"/>
      <c r="L31" s="440"/>
      <c r="M31" s="473"/>
    </row>
    <row r="32" spans="1:13" ht="12">
      <c r="A32" s="472" t="s">
        <v>647</v>
      </c>
      <c r="B32" s="439">
        <v>675000</v>
      </c>
      <c r="C32" s="439">
        <v>747000</v>
      </c>
      <c r="D32" s="439">
        <v>-73000</v>
      </c>
      <c r="E32" s="439">
        <v>73000</v>
      </c>
      <c r="F32" s="439"/>
      <c r="G32" s="439">
        <v>72000</v>
      </c>
      <c r="H32" s="439">
        <v>229569</v>
      </c>
      <c r="I32" s="439">
        <v>157000</v>
      </c>
      <c r="J32" s="439"/>
      <c r="K32" s="439"/>
      <c r="L32" s="440"/>
      <c r="M32" s="473"/>
    </row>
    <row r="33" spans="1:13" ht="12">
      <c r="A33" s="472" t="s">
        <v>648</v>
      </c>
      <c r="B33" s="439">
        <v>500000</v>
      </c>
      <c r="C33" s="439">
        <v>544000</v>
      </c>
      <c r="D33" s="439">
        <v>-45000</v>
      </c>
      <c r="E33" s="439">
        <v>45000</v>
      </c>
      <c r="F33" s="439"/>
      <c r="G33" s="439">
        <v>45000</v>
      </c>
      <c r="H33" s="439">
        <v>310507</v>
      </c>
      <c r="I33" s="439">
        <v>266000</v>
      </c>
      <c r="J33" s="439"/>
      <c r="K33" s="439"/>
      <c r="L33" s="440"/>
      <c r="M33" s="473"/>
    </row>
    <row r="34" spans="1:13" ht="12">
      <c r="A34" s="472" t="s">
        <v>649</v>
      </c>
      <c r="B34" s="439">
        <v>364000</v>
      </c>
      <c r="C34" s="439">
        <v>561000</v>
      </c>
      <c r="D34" s="439">
        <v>-197000</v>
      </c>
      <c r="E34" s="439">
        <v>197000</v>
      </c>
      <c r="F34" s="439">
        <v>21000</v>
      </c>
      <c r="G34" s="439">
        <v>176000</v>
      </c>
      <c r="H34" s="439">
        <v>308338</v>
      </c>
      <c r="I34" s="439">
        <v>133000</v>
      </c>
      <c r="J34" s="439"/>
      <c r="K34" s="439"/>
      <c r="L34" s="440"/>
      <c r="M34" s="473"/>
    </row>
    <row r="35" spans="1:13" ht="12">
      <c r="A35" s="472" t="s">
        <v>650</v>
      </c>
      <c r="B35" s="439">
        <v>456000</v>
      </c>
      <c r="C35" s="439">
        <v>530000</v>
      </c>
      <c r="D35" s="439">
        <v>-74000</v>
      </c>
      <c r="E35" s="439">
        <v>74000</v>
      </c>
      <c r="F35" s="439">
        <v>-7000</v>
      </c>
      <c r="G35" s="439">
        <v>80000</v>
      </c>
      <c r="H35" s="439">
        <v>251097</v>
      </c>
      <c r="I35" s="439">
        <v>171000</v>
      </c>
      <c r="J35" s="439"/>
      <c r="K35" s="439"/>
      <c r="L35" s="440"/>
      <c r="M35" s="473"/>
    </row>
    <row r="36" spans="1:13" ht="12">
      <c r="A36" s="472" t="s">
        <v>651</v>
      </c>
      <c r="B36" s="439">
        <v>600000</v>
      </c>
      <c r="C36" s="439">
        <v>702000</v>
      </c>
      <c r="D36" s="439">
        <v>-102000</v>
      </c>
      <c r="E36" s="439">
        <v>102000</v>
      </c>
      <c r="F36" s="439"/>
      <c r="G36" s="439">
        <v>102000</v>
      </c>
      <c r="H36" s="439">
        <v>325801</v>
      </c>
      <c r="I36" s="439">
        <v>223000</v>
      </c>
      <c r="J36" s="439"/>
      <c r="K36" s="439"/>
      <c r="L36" s="440"/>
      <c r="M36" s="473"/>
    </row>
    <row r="37" spans="1:13" ht="12">
      <c r="A37" s="472" t="s">
        <v>652</v>
      </c>
      <c r="B37" s="439">
        <v>653000</v>
      </c>
      <c r="C37" s="439">
        <v>734000</v>
      </c>
      <c r="D37" s="439">
        <v>-81000</v>
      </c>
      <c r="E37" s="439">
        <v>81000</v>
      </c>
      <c r="F37" s="439"/>
      <c r="G37" s="439">
        <v>81000</v>
      </c>
      <c r="H37" s="439">
        <v>167543</v>
      </c>
      <c r="I37" s="439">
        <v>86000</v>
      </c>
      <c r="J37" s="439"/>
      <c r="K37" s="439"/>
      <c r="L37" s="440"/>
      <c r="M37" s="473"/>
    </row>
    <row r="38" spans="1:13" ht="12">
      <c r="A38" s="472" t="s">
        <v>653</v>
      </c>
      <c r="B38" s="439">
        <v>268000</v>
      </c>
      <c r="C38" s="439">
        <v>313000</v>
      </c>
      <c r="D38" s="439">
        <v>-45000</v>
      </c>
      <c r="E38" s="439">
        <v>45000</v>
      </c>
      <c r="F38" s="439"/>
      <c r="G38" s="439">
        <v>45000</v>
      </c>
      <c r="H38" s="439">
        <v>194456</v>
      </c>
      <c r="I38" s="439">
        <v>149000</v>
      </c>
      <c r="J38" s="439"/>
      <c r="K38" s="439"/>
      <c r="L38" s="440"/>
      <c r="M38" s="473"/>
    </row>
    <row r="39" spans="1:13" ht="12">
      <c r="A39" s="472" t="s">
        <v>654</v>
      </c>
      <c r="B39" s="439">
        <v>1791000</v>
      </c>
      <c r="C39" s="439">
        <v>1893000</v>
      </c>
      <c r="D39" s="439">
        <v>-102000</v>
      </c>
      <c r="E39" s="439">
        <v>102000</v>
      </c>
      <c r="F39" s="439"/>
      <c r="G39" s="439">
        <v>102000</v>
      </c>
      <c r="H39" s="439">
        <v>588844</v>
      </c>
      <c r="I39" s="439">
        <v>487000</v>
      </c>
      <c r="J39" s="439"/>
      <c r="K39" s="439"/>
      <c r="L39" s="440"/>
      <c r="M39" s="473"/>
    </row>
    <row r="40" spans="1:13" ht="12">
      <c r="A40" s="472" t="s">
        <v>655</v>
      </c>
      <c r="B40" s="439">
        <v>343000</v>
      </c>
      <c r="C40" s="439">
        <v>373000</v>
      </c>
      <c r="D40" s="439">
        <v>-29000</v>
      </c>
      <c r="E40" s="439">
        <v>29000</v>
      </c>
      <c r="F40" s="439"/>
      <c r="G40" s="439">
        <v>29000</v>
      </c>
      <c r="H40" s="439">
        <v>293897</v>
      </c>
      <c r="I40" s="439">
        <v>264000</v>
      </c>
      <c r="J40" s="439"/>
      <c r="K40" s="439"/>
      <c r="L40" s="440"/>
      <c r="M40" s="473"/>
    </row>
    <row r="41" spans="1:13" ht="12">
      <c r="A41" s="472" t="s">
        <v>656</v>
      </c>
      <c r="B41" s="439">
        <v>757000</v>
      </c>
      <c r="C41" s="439">
        <v>854000</v>
      </c>
      <c r="D41" s="439">
        <v>-98000</v>
      </c>
      <c r="E41" s="439">
        <v>98000</v>
      </c>
      <c r="F41" s="439"/>
      <c r="G41" s="439">
        <v>98000</v>
      </c>
      <c r="H41" s="439">
        <v>267925</v>
      </c>
      <c r="I41" s="439">
        <v>170000</v>
      </c>
      <c r="J41" s="439"/>
      <c r="K41" s="439"/>
      <c r="L41" s="440"/>
      <c r="M41" s="473"/>
    </row>
    <row r="42" spans="1:13" ht="12">
      <c r="A42" s="472" t="s">
        <v>657</v>
      </c>
      <c r="B42" s="439">
        <v>561000</v>
      </c>
      <c r="C42" s="439">
        <v>684000</v>
      </c>
      <c r="D42" s="439">
        <v>-124000</v>
      </c>
      <c r="E42" s="439">
        <v>124000</v>
      </c>
      <c r="F42" s="439">
        <v>27000</v>
      </c>
      <c r="G42" s="439">
        <v>97000</v>
      </c>
      <c r="H42" s="439">
        <v>205056</v>
      </c>
      <c r="I42" s="439">
        <v>108000</v>
      </c>
      <c r="J42" s="439"/>
      <c r="K42" s="439"/>
      <c r="L42" s="440"/>
      <c r="M42" s="473"/>
    </row>
    <row r="43" spans="1:13" ht="12">
      <c r="A43" s="472" t="s">
        <v>658</v>
      </c>
      <c r="B43" s="439">
        <v>297000</v>
      </c>
      <c r="C43" s="439">
        <v>373000</v>
      </c>
      <c r="D43" s="439">
        <v>-77000</v>
      </c>
      <c r="E43" s="439">
        <v>77000</v>
      </c>
      <c r="F43" s="439"/>
      <c r="G43" s="439">
        <v>77000</v>
      </c>
      <c r="H43" s="439">
        <v>143314</v>
      </c>
      <c r="I43" s="439">
        <v>67000</v>
      </c>
      <c r="J43" s="439"/>
      <c r="K43" s="439"/>
      <c r="L43" s="440"/>
      <c r="M43" s="473"/>
    </row>
    <row r="44" spans="1:13" ht="12">
      <c r="A44" s="472" t="s">
        <v>659</v>
      </c>
      <c r="B44" s="439">
        <v>448000</v>
      </c>
      <c r="C44" s="439">
        <v>510000</v>
      </c>
      <c r="D44" s="439">
        <v>-62000</v>
      </c>
      <c r="E44" s="439">
        <v>62000</v>
      </c>
      <c r="F44" s="439"/>
      <c r="G44" s="439">
        <v>62000</v>
      </c>
      <c r="H44" s="439">
        <v>288716</v>
      </c>
      <c r="I44" s="439">
        <v>227000</v>
      </c>
      <c r="J44" s="439"/>
      <c r="K44" s="439"/>
      <c r="L44" s="440"/>
      <c r="M44" s="473"/>
    </row>
    <row r="45" spans="1:13" ht="12">
      <c r="A45" s="472" t="s">
        <v>660</v>
      </c>
      <c r="B45" s="439">
        <v>352000</v>
      </c>
      <c r="C45" s="439">
        <v>444000</v>
      </c>
      <c r="D45" s="439">
        <v>-92000</v>
      </c>
      <c r="E45" s="439">
        <v>92000</v>
      </c>
      <c r="F45" s="439"/>
      <c r="G45" s="439">
        <v>92000</v>
      </c>
      <c r="H45" s="439">
        <v>320307</v>
      </c>
      <c r="I45" s="439">
        <v>228000</v>
      </c>
      <c r="J45" s="439"/>
      <c r="K45" s="439"/>
      <c r="L45" s="440"/>
      <c r="M45" s="473"/>
    </row>
    <row r="46" spans="1:12" ht="12.75">
      <c r="A46" s="474" t="s">
        <v>661</v>
      </c>
      <c r="B46" s="439">
        <v>13733000</v>
      </c>
      <c r="C46" s="439">
        <v>15578000</v>
      </c>
      <c r="D46" s="439">
        <v>-1845000</v>
      </c>
      <c r="E46" s="439">
        <v>1845000</v>
      </c>
      <c r="F46" s="439">
        <v>16000</v>
      </c>
      <c r="G46" s="439">
        <v>1836000</v>
      </c>
      <c r="H46" s="439">
        <f>SUM(H20:H45)</f>
        <v>6441000</v>
      </c>
      <c r="I46" s="439">
        <v>4605000</v>
      </c>
      <c r="J46" s="439">
        <f>SUM(J20:J45)</f>
        <v>-25000</v>
      </c>
      <c r="K46" s="439">
        <f>SUM(K20:K45)</f>
        <v>18000</v>
      </c>
      <c r="L46" s="440"/>
    </row>
    <row r="47" spans="1:12" ht="12.75">
      <c r="A47" s="477" t="s">
        <v>662</v>
      </c>
      <c r="B47" s="444">
        <f aca="true" t="shared" si="0" ref="B47:K47">SUM(B46,B19)</f>
        <v>27954000</v>
      </c>
      <c r="C47" s="444">
        <f t="shared" si="0"/>
        <v>29174000</v>
      </c>
      <c r="D47" s="444">
        <f t="shared" si="0"/>
        <v>-1220000</v>
      </c>
      <c r="E47" s="444">
        <f t="shared" si="0"/>
        <v>1220000</v>
      </c>
      <c r="F47" s="444">
        <f t="shared" si="0"/>
        <v>616000</v>
      </c>
      <c r="G47" s="444">
        <f t="shared" si="0"/>
        <v>611000</v>
      </c>
      <c r="H47" s="444">
        <f t="shared" si="0"/>
        <v>13145000</v>
      </c>
      <c r="I47" s="444">
        <f t="shared" si="0"/>
        <v>12534000</v>
      </c>
      <c r="J47" s="444">
        <f t="shared" si="0"/>
        <v>-25000</v>
      </c>
      <c r="K47" s="444">
        <f t="shared" si="0"/>
        <v>18000</v>
      </c>
      <c r="L47" s="445"/>
    </row>
    <row r="48" s="447" customFormat="1" ht="12">
      <c r="A48" s="446" t="s">
        <v>679</v>
      </c>
    </row>
    <row r="53" spans="1:11" s="351" customFormat="1" ht="11.25" customHeight="1">
      <c r="A53" s="453" t="s">
        <v>532</v>
      </c>
      <c r="H53" s="351" t="s">
        <v>666</v>
      </c>
      <c r="K53" s="351" t="s">
        <v>491</v>
      </c>
    </row>
    <row r="54" spans="1:16" s="447" customFormat="1" ht="12">
      <c r="A54" s="478"/>
      <c r="B54" s="374"/>
      <c r="C54" s="351"/>
      <c r="D54" s="374"/>
      <c r="E54" s="374"/>
      <c r="F54" s="374"/>
      <c r="G54" s="351"/>
      <c r="H54" s="450"/>
      <c r="I54" s="374"/>
      <c r="J54" s="374"/>
      <c r="K54" s="374"/>
      <c r="L54" s="374"/>
      <c r="M54" s="374"/>
      <c r="N54" s="374"/>
      <c r="O54" s="374"/>
      <c r="P54" s="374"/>
    </row>
    <row r="55" spans="1:8" s="482" customFormat="1" ht="11.25">
      <c r="A55" s="479"/>
      <c r="B55" s="480"/>
      <c r="C55" s="296"/>
      <c r="D55" s="481"/>
      <c r="E55" s="296"/>
      <c r="F55" s="481"/>
      <c r="G55" s="481"/>
      <c r="H55" s="296"/>
    </row>
    <row r="56" spans="1:9" s="452" customFormat="1" ht="12.75">
      <c r="A56" s="404"/>
      <c r="B56" s="483"/>
      <c r="C56" s="296"/>
      <c r="D56" s="484"/>
      <c r="E56" s="484"/>
      <c r="G56" s="485"/>
      <c r="I56" s="447"/>
    </row>
    <row r="57" spans="1:16" s="447" customFormat="1" ht="12">
      <c r="A57" s="478"/>
      <c r="B57" s="374"/>
      <c r="C57" s="351"/>
      <c r="D57" s="374"/>
      <c r="E57" s="374"/>
      <c r="F57" s="374"/>
      <c r="G57" s="351"/>
      <c r="H57" s="450"/>
      <c r="I57" s="374"/>
      <c r="J57" s="374"/>
      <c r="K57" s="374"/>
      <c r="L57" s="374"/>
      <c r="M57" s="374"/>
      <c r="N57" s="374"/>
      <c r="O57" s="374"/>
      <c r="P57" s="374"/>
    </row>
    <row r="58" s="452" customFormat="1" ht="11.25">
      <c r="A58" s="451"/>
    </row>
    <row r="59" spans="1:6" s="452" customFormat="1" ht="11.25">
      <c r="A59" s="451"/>
      <c r="B59" s="296"/>
      <c r="C59" s="296"/>
      <c r="D59" s="296"/>
      <c r="E59" s="296"/>
      <c r="F59" s="296"/>
    </row>
    <row r="67" s="357" customFormat="1" ht="11.25">
      <c r="A67" s="357" t="s">
        <v>89</v>
      </c>
    </row>
    <row r="68" ht="11.25">
      <c r="A68" s="316" t="s">
        <v>493</v>
      </c>
    </row>
  </sheetData>
  <printOptions/>
  <pageMargins left="0.53" right="0.27" top="1" bottom="1" header="0.5" footer="0.5"/>
  <pageSetup orientation="landscape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W62"/>
  <sheetViews>
    <sheetView workbookViewId="0" topLeftCell="A6">
      <selection activeCell="A23" sqref="A23"/>
    </sheetView>
  </sheetViews>
  <sheetFormatPr defaultColWidth="9.140625" defaultRowHeight="12.75"/>
  <cols>
    <col min="1" max="1" width="64.8515625" style="296" customWidth="1"/>
    <col min="2" max="2" width="19.140625" style="296" customWidth="1"/>
    <col min="3" max="16384" width="8.00390625" style="296" customWidth="1"/>
  </cols>
  <sheetData>
    <row r="1" spans="1:4" s="300" customFormat="1" ht="12.75">
      <c r="A1" s="297" t="s">
        <v>680</v>
      </c>
      <c r="B1" s="297" t="s">
        <v>681</v>
      </c>
      <c r="D1" s="482"/>
    </row>
    <row r="2" spans="1:2" s="300" customFormat="1" ht="12.75">
      <c r="A2" s="297"/>
      <c r="B2" s="297"/>
    </row>
    <row r="3" s="351" customFormat="1" ht="12"/>
    <row r="4" s="351" customFormat="1" ht="15.75">
      <c r="A4" s="411" t="s">
        <v>682</v>
      </c>
    </row>
    <row r="5" s="351" customFormat="1" ht="15.75">
      <c r="A5" s="486" t="s">
        <v>683</v>
      </c>
    </row>
    <row r="6" spans="1:2" s="351" customFormat="1" ht="12">
      <c r="A6" s="482"/>
      <c r="B6" s="482"/>
    </row>
    <row r="7" spans="1:2" s="351" customFormat="1" ht="12">
      <c r="A7" s="487"/>
      <c r="B7" s="488" t="s">
        <v>684</v>
      </c>
    </row>
    <row r="8" spans="1:2" s="351" customFormat="1" ht="12.75">
      <c r="A8" s="489" t="s">
        <v>5</v>
      </c>
      <c r="B8" s="490" t="s">
        <v>685</v>
      </c>
    </row>
    <row r="9" spans="1:127" s="493" customFormat="1" ht="12.75">
      <c r="A9" s="491">
        <v>1</v>
      </c>
      <c r="B9" s="492">
        <v>2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1"/>
      <c r="DF9" s="351"/>
      <c r="DG9" s="351"/>
      <c r="DH9" s="351"/>
      <c r="DI9" s="351"/>
      <c r="DJ9" s="351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</row>
    <row r="10" spans="1:127" s="493" customFormat="1" ht="23.25" customHeight="1">
      <c r="A10" s="494" t="s">
        <v>686</v>
      </c>
      <c r="B10" s="495">
        <f>SUM(B11:B16)</f>
        <v>20152971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</row>
    <row r="11" spans="1:127" s="493" customFormat="1" ht="23.25" customHeight="1">
      <c r="A11" s="496" t="s">
        <v>687</v>
      </c>
      <c r="B11" s="497">
        <v>9182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</row>
    <row r="12" spans="1:127" s="493" customFormat="1" ht="19.5" customHeight="1">
      <c r="A12" s="498" t="s">
        <v>688</v>
      </c>
      <c r="B12" s="499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</row>
    <row r="13" spans="1:127" s="493" customFormat="1" ht="17.25" customHeight="1">
      <c r="A13" s="500" t="s">
        <v>689</v>
      </c>
      <c r="B13" s="501">
        <v>270000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</row>
    <row r="14" spans="1:127" s="493" customFormat="1" ht="23.25" customHeight="1">
      <c r="A14" s="496" t="s">
        <v>690</v>
      </c>
      <c r="B14" s="497">
        <v>4068674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</row>
    <row r="15" spans="1:127" s="493" customFormat="1" ht="23.25" customHeight="1">
      <c r="A15" s="496" t="s">
        <v>691</v>
      </c>
      <c r="B15" s="497">
        <v>15805115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</row>
    <row r="16" spans="1:127" s="493" customFormat="1" ht="23.25" customHeight="1">
      <c r="A16" s="496" t="s">
        <v>692</v>
      </c>
      <c r="B16" s="497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</row>
    <row r="17" spans="1:127" s="493" customFormat="1" ht="23.25" customHeight="1">
      <c r="A17" s="502" t="s">
        <v>693</v>
      </c>
      <c r="B17" s="495">
        <f>SUM(B18:B19)</f>
        <v>20113730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</row>
    <row r="18" spans="1:127" s="493" customFormat="1" ht="23.25" customHeight="1">
      <c r="A18" s="496" t="s">
        <v>694</v>
      </c>
      <c r="B18" s="497">
        <v>20113730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</row>
    <row r="19" spans="1:127" s="493" customFormat="1" ht="23.25" customHeight="1">
      <c r="A19" s="496" t="s">
        <v>695</v>
      </c>
      <c r="B19" s="497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  <c r="DS19" s="351"/>
      <c r="DT19" s="351"/>
      <c r="DU19" s="351"/>
      <c r="DV19" s="351"/>
      <c r="DW19" s="351"/>
    </row>
    <row r="20" spans="1:97" s="493" customFormat="1" ht="23.25" customHeight="1">
      <c r="A20" s="503" t="s">
        <v>696</v>
      </c>
      <c r="B20" s="504">
        <f>SUM(B10-B17)</f>
        <v>39241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</row>
    <row r="21" spans="1:97" s="447" customFormat="1" ht="12.75">
      <c r="A21" s="484"/>
      <c r="B21" s="484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</row>
    <row r="22" spans="1:97" s="447" customFormat="1" ht="12.75">
      <c r="A22" s="484"/>
      <c r="B22" s="484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</row>
    <row r="23" spans="1:82" s="447" customFormat="1" ht="12.75">
      <c r="A23" s="484"/>
      <c r="B23" s="484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</row>
    <row r="24" spans="1:82" s="447" customFormat="1" ht="12.75">
      <c r="A24" s="484"/>
      <c r="B24" s="484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</row>
    <row r="25" spans="1:82" s="484" customFormat="1" ht="12.75">
      <c r="A25" s="447" t="s">
        <v>697</v>
      </c>
      <c r="B25" s="315" t="s">
        <v>491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</row>
    <row r="26" spans="1:82" s="484" customFormat="1" ht="12.75">
      <c r="A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</row>
    <row r="27" s="351" customFormat="1" ht="12"/>
    <row r="28" spans="1:2" s="351" customFormat="1" ht="14.25">
      <c r="A28" s="505"/>
      <c r="B28" s="506"/>
    </row>
    <row r="29" spans="1:2" s="351" customFormat="1" ht="14.25">
      <c r="A29" s="505"/>
      <c r="B29" s="506"/>
    </row>
    <row r="30" spans="1:2" s="351" customFormat="1" ht="14.25">
      <c r="A30" s="505"/>
      <c r="B30" s="507"/>
    </row>
    <row r="31" s="351" customFormat="1" ht="14.25">
      <c r="A31" s="505"/>
    </row>
    <row r="32" s="351" customFormat="1" ht="14.25">
      <c r="A32" s="505"/>
    </row>
    <row r="33" s="351" customFormat="1" ht="14.25">
      <c r="A33" s="505"/>
    </row>
    <row r="34" s="351" customFormat="1" ht="14.25">
      <c r="A34" s="505"/>
    </row>
    <row r="35" s="351" customFormat="1" ht="14.25">
      <c r="A35" s="505"/>
    </row>
    <row r="36" s="351" customFormat="1" ht="14.25">
      <c r="A36" s="505"/>
    </row>
    <row r="37" s="351" customFormat="1" ht="14.25">
      <c r="A37" s="505"/>
    </row>
    <row r="38" s="351" customFormat="1" ht="14.25">
      <c r="A38" s="505"/>
    </row>
    <row r="39" s="351" customFormat="1" ht="14.25">
      <c r="A39" s="505"/>
    </row>
    <row r="40" spans="1:82" ht="14.25">
      <c r="A40" s="505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</row>
    <row r="41" spans="1:82" ht="14.25">
      <c r="A41" s="505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</row>
    <row r="42" spans="1:82" ht="14.25">
      <c r="A42" s="505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</row>
    <row r="43" spans="1:82" ht="14.25">
      <c r="A43" s="505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</row>
    <row r="44" spans="1:82" ht="14.25">
      <c r="A44" s="505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</row>
    <row r="45" spans="1:82" ht="14.25">
      <c r="A45" s="505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</row>
    <row r="46" spans="1:82" ht="14.25">
      <c r="A46" s="505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</row>
    <row r="47" spans="1:82" ht="14.25">
      <c r="A47" s="505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</row>
    <row r="48" spans="1:82" ht="14.25">
      <c r="A48" s="505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</row>
    <row r="49" spans="1:82" ht="14.25">
      <c r="A49" s="505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51"/>
      <c r="CD49" s="351"/>
    </row>
    <row r="50" spans="1:82" ht="14.25">
      <c r="A50" s="505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51"/>
      <c r="CD50" s="351"/>
    </row>
    <row r="51" spans="1:82" ht="14.25">
      <c r="A51" s="505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51"/>
      <c r="CD51" s="351"/>
    </row>
    <row r="52" spans="1:82" ht="14.25">
      <c r="A52" s="505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</row>
    <row r="53" spans="1:82" ht="14.25">
      <c r="A53" s="505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V53" s="351"/>
      <c r="BW53" s="351"/>
      <c r="BX53" s="351"/>
      <c r="BY53" s="351"/>
      <c r="BZ53" s="351"/>
      <c r="CA53" s="351"/>
      <c r="CB53" s="351"/>
      <c r="CC53" s="351"/>
      <c r="CD53" s="351"/>
    </row>
    <row r="54" spans="1:82" ht="14.25">
      <c r="A54" s="505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V54" s="351"/>
      <c r="BW54" s="351"/>
      <c r="BX54" s="351"/>
      <c r="BY54" s="351"/>
      <c r="BZ54" s="351"/>
      <c r="CA54" s="351"/>
      <c r="CB54" s="351"/>
      <c r="CC54" s="351"/>
      <c r="CD54" s="351"/>
    </row>
    <row r="55" spans="1:82" ht="14.25">
      <c r="A55" s="505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51"/>
      <c r="BT55" s="351"/>
      <c r="BU55" s="351"/>
      <c r="BV55" s="351"/>
      <c r="BW55" s="351"/>
      <c r="BX55" s="351"/>
      <c r="BY55" s="351"/>
      <c r="BZ55" s="351"/>
      <c r="CA55" s="351"/>
      <c r="CB55" s="351"/>
      <c r="CC55" s="351"/>
      <c r="CD55" s="351"/>
    </row>
    <row r="56" spans="1:82" ht="14.25">
      <c r="A56" s="505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51"/>
      <c r="BT56" s="351"/>
      <c r="BU56" s="351"/>
      <c r="BV56" s="351"/>
      <c r="BW56" s="351"/>
      <c r="BX56" s="351"/>
      <c r="BY56" s="351"/>
      <c r="BZ56" s="351"/>
      <c r="CA56" s="351"/>
      <c r="CB56" s="351"/>
      <c r="CC56" s="351"/>
      <c r="CD56" s="351"/>
    </row>
    <row r="57" spans="12:82" ht="12"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  <c r="BI57" s="351"/>
      <c r="BJ57" s="351"/>
      <c r="BK57" s="351"/>
      <c r="BL57" s="351"/>
      <c r="BM57" s="351"/>
      <c r="BN57" s="351"/>
      <c r="BO57" s="351"/>
      <c r="BP57" s="351"/>
      <c r="BQ57" s="351"/>
      <c r="BR57" s="351"/>
      <c r="BS57" s="351"/>
      <c r="BT57" s="351"/>
      <c r="BU57" s="351"/>
      <c r="BV57" s="351"/>
      <c r="BW57" s="351"/>
      <c r="BX57" s="351"/>
      <c r="BY57" s="351"/>
      <c r="BZ57" s="351"/>
      <c r="CA57" s="351"/>
      <c r="CB57" s="351"/>
      <c r="CC57" s="351"/>
      <c r="CD57" s="351"/>
    </row>
    <row r="58" spans="12:82" ht="12"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</row>
    <row r="59" spans="12:82" ht="12"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</row>
    <row r="60" spans="12:82" ht="12"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351"/>
      <c r="BP60" s="351"/>
      <c r="BQ60" s="351"/>
      <c r="BR60" s="351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</row>
    <row r="61" spans="12:82" ht="12"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1"/>
      <c r="BT61" s="351"/>
      <c r="BU61" s="351"/>
      <c r="BV61" s="351"/>
      <c r="BW61" s="351"/>
      <c r="BX61" s="351"/>
      <c r="BY61" s="351"/>
      <c r="BZ61" s="351"/>
      <c r="CA61" s="351"/>
      <c r="CB61" s="351"/>
      <c r="CC61" s="351"/>
      <c r="CD61" s="351"/>
    </row>
    <row r="62" spans="12:82" ht="12"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</row>
  </sheetData>
  <printOptions/>
  <pageMargins left="0.75" right="0.75" top="1" bottom="1" header="0.5" footer="0.5"/>
  <pageSetup orientation="portrait" r:id="rId1"/>
  <headerFooter alignWithMargins="0">
    <oddFooter>&amp;L&amp;"Arial,Regular"&amp;8Valsts kase / Pārskatu departaments
15.09.99.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C96"/>
  <sheetViews>
    <sheetView workbookViewId="0" topLeftCell="F1">
      <selection activeCell="A4" sqref="A4:E4"/>
    </sheetView>
  </sheetViews>
  <sheetFormatPr defaultColWidth="9.140625" defaultRowHeight="12.75"/>
  <cols>
    <col min="1" max="1" width="49.57421875" style="1" hidden="1" customWidth="1"/>
    <col min="2" max="2" width="12.7109375" style="2" hidden="1" customWidth="1"/>
    <col min="3" max="3" width="11.7109375" style="1" hidden="1" customWidth="1"/>
    <col min="4" max="4" width="9.57421875" style="1" hidden="1" customWidth="1"/>
    <col min="5" max="5" width="12.00390625" style="1" hidden="1" customWidth="1"/>
    <col min="6" max="6" width="46.710937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8.7109375" style="0" customWidth="1"/>
    <col min="212" max="16384" width="9.140625" style="1" customWidth="1"/>
  </cols>
  <sheetData>
    <row r="1" spans="5:10" ht="12.75">
      <c r="E1" s="1" t="s">
        <v>0</v>
      </c>
      <c r="F1" s="1"/>
      <c r="G1" s="2"/>
      <c r="H1" s="1"/>
      <c r="I1" s="1"/>
      <c r="J1" s="1" t="s">
        <v>0</v>
      </c>
    </row>
    <row r="2" spans="1:10" ht="18" customHeight="1">
      <c r="A2" s="3" t="s">
        <v>1</v>
      </c>
      <c r="B2" s="4"/>
      <c r="C2" s="3"/>
      <c r="D2" s="3"/>
      <c r="E2" s="3"/>
      <c r="F2" s="3" t="s">
        <v>1</v>
      </c>
      <c r="G2" s="4"/>
      <c r="H2" s="3"/>
      <c r="I2" s="3"/>
      <c r="J2" s="3"/>
    </row>
    <row r="3" spans="6:10" ht="9.75" customHeight="1">
      <c r="F3" s="1"/>
      <c r="G3" s="2"/>
      <c r="H3" s="1"/>
      <c r="I3" s="1"/>
      <c r="J3" s="1"/>
    </row>
    <row r="4" spans="1:10" ht="18.75" customHeight="1">
      <c r="A4" s="292" t="s">
        <v>2</v>
      </c>
      <c r="B4" s="292"/>
      <c r="C4" s="292"/>
      <c r="D4" s="292"/>
      <c r="E4" s="292"/>
      <c r="F4" s="292" t="s">
        <v>3</v>
      </c>
      <c r="G4" s="292"/>
      <c r="H4" s="292"/>
      <c r="I4" s="292"/>
      <c r="J4" s="292"/>
    </row>
    <row r="5" spans="1:10" ht="15.75" customHeight="1">
      <c r="A5" s="5"/>
      <c r="B5" s="4"/>
      <c r="C5" s="3"/>
      <c r="D5" s="6"/>
      <c r="E5" s="6"/>
      <c r="F5" s="5"/>
      <c r="G5" s="4"/>
      <c r="H5" s="3"/>
      <c r="I5" s="6"/>
      <c r="J5" s="6" t="s">
        <v>4</v>
      </c>
    </row>
    <row r="6" spans="1:10" ht="45">
      <c r="A6" s="7" t="s">
        <v>5</v>
      </c>
      <c r="B6" s="8" t="s">
        <v>6</v>
      </c>
      <c r="C6" s="7" t="s">
        <v>7</v>
      </c>
      <c r="D6" s="7" t="s">
        <v>8</v>
      </c>
      <c r="E6" s="7" t="s">
        <v>9</v>
      </c>
      <c r="F6" s="7" t="s">
        <v>5</v>
      </c>
      <c r="G6" s="8" t="s">
        <v>6</v>
      </c>
      <c r="H6" s="7" t="s">
        <v>7</v>
      </c>
      <c r="I6" s="7" t="s">
        <v>8</v>
      </c>
      <c r="J6" s="7" t="s">
        <v>9</v>
      </c>
    </row>
    <row r="7" spans="1:10" ht="12.75">
      <c r="A7" s="7">
        <v>1</v>
      </c>
      <c r="B7" s="8">
        <v>2</v>
      </c>
      <c r="C7" s="7">
        <v>3</v>
      </c>
      <c r="D7" s="7">
        <v>4</v>
      </c>
      <c r="E7" s="7">
        <v>5</v>
      </c>
      <c r="F7" s="7">
        <v>1</v>
      </c>
      <c r="G7" s="8">
        <v>2</v>
      </c>
      <c r="H7" s="7">
        <v>3</v>
      </c>
      <c r="I7" s="7">
        <v>4</v>
      </c>
      <c r="J7" s="7">
        <v>5</v>
      </c>
    </row>
    <row r="8" spans="1:10" ht="30" customHeight="1">
      <c r="A8" s="9" t="s">
        <v>10</v>
      </c>
      <c r="B8" s="10">
        <f>SUM(B21,B29)</f>
        <v>1322445248</v>
      </c>
      <c r="C8" s="10">
        <f>SUM(C21,C29)</f>
        <v>827676524.79</v>
      </c>
      <c r="D8" s="11">
        <f>IF(ISERROR(C8/B8)," ",(C8/B8))</f>
        <v>0.6258682739733358</v>
      </c>
      <c r="E8" s="10">
        <f>SUM(E21,E29)</f>
        <v>109716818.78999999</v>
      </c>
      <c r="F8" s="9" t="s">
        <v>10</v>
      </c>
      <c r="G8" s="12">
        <f>SUM(G21,G29)</f>
        <v>1322445</v>
      </c>
      <c r="H8" s="12">
        <f>SUM(H21,H29)</f>
        <v>827674</v>
      </c>
      <c r="I8" s="13">
        <f>IF(ISERROR(H8/G8)," ",(H8/G8))</f>
        <v>0.6258664821599386</v>
      </c>
      <c r="J8" s="12">
        <f>SUM(J21,J29)</f>
        <v>109715</v>
      </c>
    </row>
    <row r="9" spans="1:10" ht="29.25" customHeight="1">
      <c r="A9" s="14" t="s">
        <v>11</v>
      </c>
      <c r="B9" s="10">
        <f>SUM(B10,B18,B19)</f>
        <v>664848446</v>
      </c>
      <c r="C9" s="10">
        <f>SUM(C10,C18,C19)</f>
        <v>422583455.79</v>
      </c>
      <c r="D9" s="11">
        <f aca="true" t="shared" si="0" ref="D9:D45">IF(ISERROR(C9/B9)," ",(C9/B9))</f>
        <v>0.635608698993635</v>
      </c>
      <c r="E9" s="10">
        <f>SUM(E10,E18,E19)</f>
        <v>55853260.79</v>
      </c>
      <c r="F9" s="14" t="s">
        <v>11</v>
      </c>
      <c r="G9" s="15">
        <f>SUM(G10,G18,G19)</f>
        <v>664848</v>
      </c>
      <c r="H9" s="15">
        <f>SUM(H10,H18,H19)</f>
        <v>422583</v>
      </c>
      <c r="I9" s="16">
        <f aca="true" t="shared" si="1" ref="I9:I45">IF(ISERROR(H9/G9)," ",(H9/G9))</f>
        <v>0.6356084398238394</v>
      </c>
      <c r="J9" s="15">
        <f>SUM(J10,J18,J19)</f>
        <v>55853</v>
      </c>
    </row>
    <row r="10" spans="1:10" ht="19.5" customHeight="1">
      <c r="A10" s="17" t="s">
        <v>12</v>
      </c>
      <c r="B10" s="18">
        <f>SUM(B11,B13,B17)</f>
        <v>515297983</v>
      </c>
      <c r="C10" s="18">
        <f>SUM(C11,C13,C17)</f>
        <v>347844758</v>
      </c>
      <c r="D10" s="19">
        <f t="shared" si="0"/>
        <v>0.6750361334133148</v>
      </c>
      <c r="E10" s="18">
        <f>SUM(E11,E13,E17)</f>
        <v>46981702</v>
      </c>
      <c r="F10" s="17" t="s">
        <v>12</v>
      </c>
      <c r="G10" s="18">
        <f>SUM(G11,G13,G17)</f>
        <v>515297</v>
      </c>
      <c r="H10" s="18">
        <f>SUM(H11,H13,H17)</f>
        <v>347844</v>
      </c>
      <c r="I10" s="20">
        <f t="shared" si="1"/>
        <v>0.6750359501413747</v>
      </c>
      <c r="J10" s="18">
        <f>SUM(J11,J13,J17)</f>
        <v>46980</v>
      </c>
    </row>
    <row r="11" spans="1:10" ht="15.75" customHeight="1">
      <c r="A11" s="21" t="s">
        <v>13</v>
      </c>
      <c r="B11" s="18">
        <f>SUM(B12)</f>
        <v>85300000</v>
      </c>
      <c r="C11" s="18">
        <f>SUM(C12)</f>
        <v>60990432</v>
      </c>
      <c r="D11" s="19">
        <f t="shared" si="0"/>
        <v>0.7150109261430246</v>
      </c>
      <c r="E11" s="18">
        <f>SUM(E12)</f>
        <v>9311524</v>
      </c>
      <c r="F11" s="21" t="s">
        <v>13</v>
      </c>
      <c r="G11" s="18">
        <f>SUM(G12)</f>
        <v>85300</v>
      </c>
      <c r="H11" s="18">
        <f>SUM(H12)</f>
        <v>60990</v>
      </c>
      <c r="I11" s="20">
        <f t="shared" si="1"/>
        <v>0.7150058616647128</v>
      </c>
      <c r="J11" s="18">
        <f>SUM(J12)</f>
        <v>9311</v>
      </c>
    </row>
    <row r="12" spans="1:10" ht="15.75" customHeight="1">
      <c r="A12" s="22" t="s">
        <v>14</v>
      </c>
      <c r="B12" s="18">
        <v>85300000</v>
      </c>
      <c r="C12" s="18">
        <f>'[1]Augusts'!$D$11</f>
        <v>60990432</v>
      </c>
      <c r="D12" s="19">
        <f t="shared" si="0"/>
        <v>0.7150109261430246</v>
      </c>
      <c r="E12" s="18">
        <f>C12-'[2]Jūlijs'!C12</f>
        <v>9311524</v>
      </c>
      <c r="F12" s="22" t="s">
        <v>14</v>
      </c>
      <c r="G12" s="18">
        <f>ROUND(B12/1000,0)</f>
        <v>85300</v>
      </c>
      <c r="H12" s="18">
        <f>ROUND(C12/1000,0)</f>
        <v>60990</v>
      </c>
      <c r="I12" s="20">
        <f t="shared" si="1"/>
        <v>0.7150058616647128</v>
      </c>
      <c r="J12" s="18">
        <f>H12-'[2]Jūlijs'!H12</f>
        <v>9311</v>
      </c>
    </row>
    <row r="13" spans="1:10" ht="16.5" customHeight="1">
      <c r="A13" s="21" t="s">
        <v>15</v>
      </c>
      <c r="B13" s="18">
        <f>SUM(B14:B16)</f>
        <v>429997983</v>
      </c>
      <c r="C13" s="18">
        <f>SUM(C14:C16)</f>
        <v>282480444</v>
      </c>
      <c r="D13" s="19">
        <f t="shared" si="0"/>
        <v>0.6569343465966909</v>
      </c>
      <c r="E13" s="18">
        <f>SUM(E14:E16)</f>
        <v>38261923</v>
      </c>
      <c r="F13" s="21" t="s">
        <v>15</v>
      </c>
      <c r="G13" s="18">
        <f>SUM(G14:G16)</f>
        <v>429997</v>
      </c>
      <c r="H13" s="18">
        <f>SUM(H14:H16)</f>
        <v>282480</v>
      </c>
      <c r="I13" s="20">
        <f t="shared" si="1"/>
        <v>0.6569348158242965</v>
      </c>
      <c r="J13" s="18">
        <f>SUM(J14:J16)</f>
        <v>38261</v>
      </c>
    </row>
    <row r="14" spans="1:10" ht="17.25" customHeight="1">
      <c r="A14" s="23" t="s">
        <v>16</v>
      </c>
      <c r="B14" s="18">
        <v>307331592</v>
      </c>
      <c r="C14" s="18">
        <f>'[1]Augusts'!D13</f>
        <v>200729151</v>
      </c>
      <c r="D14" s="19">
        <f t="shared" si="0"/>
        <v>0.6531354283942277</v>
      </c>
      <c r="E14" s="18">
        <f>C14-'[2]Jūlijs'!C14</f>
        <v>26648647</v>
      </c>
      <c r="F14" s="23" t="s">
        <v>16</v>
      </c>
      <c r="G14" s="18">
        <f>ROUND(B14/1000,0)-1</f>
        <v>307331</v>
      </c>
      <c r="H14" s="18">
        <f aca="true" t="shared" si="2" ref="G14:H18">ROUND(C14/1000,0)</f>
        <v>200729</v>
      </c>
      <c r="I14" s="20">
        <f t="shared" si="1"/>
        <v>0.6531361951771868</v>
      </c>
      <c r="J14" s="18">
        <f>H14-'[2]Jūlijs'!H14</f>
        <v>26648</v>
      </c>
    </row>
    <row r="15" spans="1:10" ht="17.25" customHeight="1">
      <c r="A15" s="22" t="s">
        <v>17</v>
      </c>
      <c r="B15" s="18">
        <v>107751391</v>
      </c>
      <c r="C15" s="18">
        <f>'[1]Augusts'!D14</f>
        <v>71379952</v>
      </c>
      <c r="D15" s="19">
        <f t="shared" si="0"/>
        <v>0.6624503993642179</v>
      </c>
      <c r="E15" s="18">
        <f>C15-'[2]Jūlijs'!C15</f>
        <v>10313983</v>
      </c>
      <c r="F15" s="22" t="s">
        <v>17</v>
      </c>
      <c r="G15" s="18">
        <f>ROUND(B15/1000,0)</f>
        <v>107751</v>
      </c>
      <c r="H15" s="18">
        <f t="shared" si="2"/>
        <v>71380</v>
      </c>
      <c r="I15" s="20">
        <f t="shared" si="1"/>
        <v>0.6624532486937477</v>
      </c>
      <c r="J15" s="18">
        <f>H15-'[2]Jūlijs'!H15</f>
        <v>10314</v>
      </c>
    </row>
    <row r="16" spans="1:10" ht="16.5" customHeight="1">
      <c r="A16" s="22" t="s">
        <v>18</v>
      </c>
      <c r="B16" s="18">
        <v>14915000</v>
      </c>
      <c r="C16" s="18">
        <f>'[1]Augusts'!D15</f>
        <v>10371341</v>
      </c>
      <c r="D16" s="19">
        <f t="shared" si="0"/>
        <v>0.6953631243714381</v>
      </c>
      <c r="E16" s="18">
        <f>C16-'[2]Jūlijs'!C16</f>
        <v>1299293</v>
      </c>
      <c r="F16" s="22" t="s">
        <v>18</v>
      </c>
      <c r="G16" s="18">
        <f t="shared" si="2"/>
        <v>14915</v>
      </c>
      <c r="H16" s="18">
        <f t="shared" si="2"/>
        <v>10371</v>
      </c>
      <c r="I16" s="20">
        <f t="shared" si="1"/>
        <v>0.6953402614817298</v>
      </c>
      <c r="J16" s="18">
        <f>H16-'[2]Jūlijs'!H16</f>
        <v>1299</v>
      </c>
    </row>
    <row r="17" spans="1:10" ht="15.75" customHeight="1">
      <c r="A17" s="21" t="s">
        <v>19</v>
      </c>
      <c r="B17" s="18"/>
      <c r="C17" s="18">
        <f>'[1]Augusts'!$D$16</f>
        <v>4373882</v>
      </c>
      <c r="D17" s="19" t="str">
        <f t="shared" si="0"/>
        <v> </v>
      </c>
      <c r="E17" s="18">
        <f>C17-'[2]Jūlijs'!C17</f>
        <v>-591745</v>
      </c>
      <c r="F17" s="21" t="s">
        <v>19</v>
      </c>
      <c r="G17" s="18">
        <f t="shared" si="2"/>
        <v>0</v>
      </c>
      <c r="H17" s="18">
        <f t="shared" si="2"/>
        <v>4374</v>
      </c>
      <c r="I17" s="20" t="str">
        <f t="shared" si="1"/>
        <v> </v>
      </c>
      <c r="J17" s="18">
        <f>H17-'[2]Jūlijs'!H17</f>
        <v>-592</v>
      </c>
    </row>
    <row r="18" spans="1:10" ht="12.75">
      <c r="A18" s="17" t="s">
        <v>20</v>
      </c>
      <c r="B18" s="18">
        <v>83205727</v>
      </c>
      <c r="C18" s="18">
        <f>'[1]Augusts'!$D$17</f>
        <v>36846777</v>
      </c>
      <c r="D18" s="19">
        <f t="shared" si="0"/>
        <v>0.44283943339621323</v>
      </c>
      <c r="E18" s="18">
        <f>C18-'[2]Jūlijs'!C18</f>
        <v>4141055</v>
      </c>
      <c r="F18" s="17" t="s">
        <v>20</v>
      </c>
      <c r="G18" s="18">
        <f t="shared" si="2"/>
        <v>83206</v>
      </c>
      <c r="H18" s="18">
        <f>ROUND(C18/1000,0)</f>
        <v>36847</v>
      </c>
      <c r="I18" s="20">
        <f t="shared" si="1"/>
        <v>0.4428406605292888</v>
      </c>
      <c r="J18" s="18">
        <f>H18-'[2]Jūlijs'!H18</f>
        <v>4142</v>
      </c>
    </row>
    <row r="19" spans="1:10" ht="15.75" customHeight="1">
      <c r="A19" s="24" t="s">
        <v>21</v>
      </c>
      <c r="B19" s="18">
        <v>66344736</v>
      </c>
      <c r="C19" s="18">
        <f>'[1]Augusts'!$D$33</f>
        <v>37891920.79</v>
      </c>
      <c r="D19" s="19">
        <f t="shared" si="0"/>
        <v>0.5711368086535155</v>
      </c>
      <c r="E19" s="18">
        <f>C19-'[2]Jūlijs'!C19</f>
        <v>4730503.789999999</v>
      </c>
      <c r="F19" s="24" t="s">
        <v>21</v>
      </c>
      <c r="G19" s="18">
        <f>ROUND(B19/1000,0)</f>
        <v>66345</v>
      </c>
      <c r="H19" s="18">
        <f>ROUND(C19/1000,0)</f>
        <v>37892</v>
      </c>
      <c r="I19" s="20">
        <f t="shared" si="1"/>
        <v>0.5711357298967519</v>
      </c>
      <c r="J19" s="18">
        <f>H19-'[2]Jūlijs'!H19</f>
        <v>4731</v>
      </c>
    </row>
    <row r="20" spans="1:10" ht="15.75" customHeight="1">
      <c r="A20" s="25" t="s">
        <v>22</v>
      </c>
      <c r="B20" s="18">
        <v>45817545</v>
      </c>
      <c r="C20" s="18">
        <f>'[3]Augusts'!$D$20+'[3]Augusts'!$D$32</f>
        <v>9677181</v>
      </c>
      <c r="D20" s="19">
        <f t="shared" si="0"/>
        <v>0.21121125106113825</v>
      </c>
      <c r="E20" s="18">
        <f>C20-'[2]Jūlijs'!C20</f>
        <v>1021855</v>
      </c>
      <c r="F20" s="25" t="s">
        <v>23</v>
      </c>
      <c r="G20" s="26">
        <f>ROUND(B20/1000,0)-1</f>
        <v>45817</v>
      </c>
      <c r="H20" s="26">
        <f>ROUND(C20/1000,0)</f>
        <v>9677</v>
      </c>
      <c r="I20" s="27">
        <f t="shared" si="1"/>
        <v>0.21120981295152455</v>
      </c>
      <c r="J20" s="26">
        <f>H20-'[2]Jūlijs'!H20</f>
        <v>1021</v>
      </c>
    </row>
    <row r="21" spans="1:10" ht="19.5" customHeight="1">
      <c r="A21" s="14" t="s">
        <v>24</v>
      </c>
      <c r="B21" s="10">
        <f>SUM(B9-B20)</f>
        <v>619030901</v>
      </c>
      <c r="C21" s="10">
        <f>SUM(C9-C20)</f>
        <v>412906274.79</v>
      </c>
      <c r="D21" s="11">
        <f t="shared" si="0"/>
        <v>0.667020457497323</v>
      </c>
      <c r="E21" s="10">
        <f>SUM(E9-E20)</f>
        <v>54831405.79</v>
      </c>
      <c r="F21" s="14" t="s">
        <v>24</v>
      </c>
      <c r="G21" s="15">
        <f>SUM(G9-G20)</f>
        <v>619031</v>
      </c>
      <c r="H21" s="15">
        <f>SUM(H9-H20)</f>
        <v>412906</v>
      </c>
      <c r="I21" s="16">
        <f t="shared" si="1"/>
        <v>0.6670199069190396</v>
      </c>
      <c r="J21" s="15">
        <f>SUM(J9-J20)</f>
        <v>54832</v>
      </c>
    </row>
    <row r="22" spans="1:10" ht="20.25" customHeight="1">
      <c r="A22" s="28" t="s">
        <v>25</v>
      </c>
      <c r="B22" s="10">
        <f>SUM(B23)</f>
        <v>766212969</v>
      </c>
      <c r="C22" s="10">
        <f>SUM(C23)</f>
        <v>456100125</v>
      </c>
      <c r="D22" s="11">
        <f t="shared" si="0"/>
        <v>0.5952654724642229</v>
      </c>
      <c r="E22" s="10">
        <f>SUM(E23)</f>
        <v>60343569</v>
      </c>
      <c r="F22" s="28" t="s">
        <v>25</v>
      </c>
      <c r="G22" s="15">
        <f>SUM(G23)</f>
        <v>766213</v>
      </c>
      <c r="H22" s="15">
        <f>SUM(H23)</f>
        <v>456099</v>
      </c>
      <c r="I22" s="16">
        <f t="shared" si="1"/>
        <v>0.5952639801204104</v>
      </c>
      <c r="J22" s="15">
        <f>SUM(J23)</f>
        <v>60342</v>
      </c>
    </row>
    <row r="23" spans="1:10" ht="12.75">
      <c r="A23" s="17" t="s">
        <v>26</v>
      </c>
      <c r="B23" s="18">
        <f>SUM(B24:B27)</f>
        <v>766212969</v>
      </c>
      <c r="C23" s="18">
        <f>SUM(C24:C27)</f>
        <v>456100125</v>
      </c>
      <c r="D23" s="19">
        <f t="shared" si="0"/>
        <v>0.5952654724642229</v>
      </c>
      <c r="E23" s="18">
        <f>SUM(E24:E27)</f>
        <v>60343569</v>
      </c>
      <c r="F23" s="17" t="s">
        <v>26</v>
      </c>
      <c r="G23" s="18">
        <f>SUM(G24:G27)</f>
        <v>766213</v>
      </c>
      <c r="H23" s="18">
        <f>SUM(H24:H27)</f>
        <v>456099</v>
      </c>
      <c r="I23" s="20">
        <f t="shared" si="1"/>
        <v>0.5952639801204104</v>
      </c>
      <c r="J23" s="18">
        <f>SUM(J24:J27)</f>
        <v>60342</v>
      </c>
    </row>
    <row r="24" spans="1:211" s="29" customFormat="1" ht="12.75">
      <c r="A24" s="22" t="s">
        <v>27</v>
      </c>
      <c r="B24" s="18">
        <v>445475000</v>
      </c>
      <c r="C24" s="18">
        <f>'[4]Augusts'!$D$117</f>
        <v>291902344</v>
      </c>
      <c r="D24" s="19">
        <f t="shared" si="0"/>
        <v>0.6552608878163758</v>
      </c>
      <c r="E24" s="18">
        <f>C24-'[2]Jūlijs'!C24</f>
        <v>38796827</v>
      </c>
      <c r="F24" s="22" t="s">
        <v>27</v>
      </c>
      <c r="G24" s="18">
        <f aca="true" t="shared" si="3" ref="G24:H26">ROUND(B24/1000,0)</f>
        <v>445475</v>
      </c>
      <c r="H24" s="18">
        <f t="shared" si="3"/>
        <v>291902</v>
      </c>
      <c r="I24" s="20">
        <f t="shared" si="1"/>
        <v>0.6552601156069364</v>
      </c>
      <c r="J24" s="18">
        <f>H24-'[2]Jūlijs'!H24</f>
        <v>38796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29" customFormat="1" ht="12.75">
      <c r="A25" s="30" t="s">
        <v>28</v>
      </c>
      <c r="B25" s="18">
        <v>54248609</v>
      </c>
      <c r="C25" s="18">
        <f>'[4]Augusts'!$D$89+'[4]Augusts'!$D$186</f>
        <v>32320976</v>
      </c>
      <c r="D25" s="19">
        <f t="shared" si="0"/>
        <v>0.5957936359253009</v>
      </c>
      <c r="E25" s="18">
        <f>C25-'[2]Jūlijs'!C25</f>
        <v>4947799</v>
      </c>
      <c r="F25" s="30" t="s">
        <v>28</v>
      </c>
      <c r="G25" s="18">
        <f t="shared" si="3"/>
        <v>54249</v>
      </c>
      <c r="H25" s="18">
        <f t="shared" si="3"/>
        <v>32321</v>
      </c>
      <c r="I25" s="20">
        <f t="shared" si="1"/>
        <v>0.5957897841434865</v>
      </c>
      <c r="J25" s="18">
        <f>H25-'[2]Jūlijs'!H25</f>
        <v>4948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29" customFormat="1" ht="12.75">
      <c r="A26" s="30" t="s">
        <v>29</v>
      </c>
      <c r="B26" s="18">
        <v>71125600</v>
      </c>
      <c r="C26" s="18">
        <f>'[4]Augusts'!$D$174</f>
        <v>44824430</v>
      </c>
      <c r="D26" s="19">
        <f t="shared" si="0"/>
        <v>0.630215140540115</v>
      </c>
      <c r="E26" s="18">
        <f>C26-'[2]Jūlijs'!C26</f>
        <v>5691159</v>
      </c>
      <c r="F26" s="30" t="s">
        <v>29</v>
      </c>
      <c r="G26" s="18">
        <f>ROUND(B26/1000,0)-1</f>
        <v>71125</v>
      </c>
      <c r="H26" s="18">
        <f t="shared" si="3"/>
        <v>44824</v>
      </c>
      <c r="I26" s="20">
        <f t="shared" si="1"/>
        <v>0.6302144112478032</v>
      </c>
      <c r="J26" s="18">
        <f>H26-'[2]Jūlijs'!H26</f>
        <v>5691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9" customFormat="1" ht="12.75">
      <c r="A27" s="22" t="s">
        <v>30</v>
      </c>
      <c r="B27" s="18">
        <v>195363760</v>
      </c>
      <c r="C27" s="18">
        <f>'[4]Augusts'!$D$9-C24-C25-C26</f>
        <v>87052375</v>
      </c>
      <c r="D27" s="19">
        <f t="shared" si="0"/>
        <v>0.4455912140511628</v>
      </c>
      <c r="E27" s="18">
        <f>C27-'[2]Jūlijs'!C27</f>
        <v>10907784</v>
      </c>
      <c r="F27" s="22" t="s">
        <v>30</v>
      </c>
      <c r="G27" s="18">
        <f>ROUND(B27/1000,0)</f>
        <v>195364</v>
      </c>
      <c r="H27" s="18">
        <f>ROUND(C27/1000,0)</f>
        <v>87052</v>
      </c>
      <c r="I27" s="20">
        <f t="shared" si="1"/>
        <v>0.4455887471591491</v>
      </c>
      <c r="J27" s="18">
        <f>H27-'[2]Jūlijs'!H27</f>
        <v>10907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9" customFormat="1" ht="12.75">
      <c r="A28" s="31" t="s">
        <v>31</v>
      </c>
      <c r="B28" s="18">
        <v>62798622</v>
      </c>
      <c r="C28" s="18">
        <f>'[5]Augusts'!$D$33+C49</f>
        <v>41329875</v>
      </c>
      <c r="D28" s="19">
        <f t="shared" si="0"/>
        <v>0.6581334698713612</v>
      </c>
      <c r="E28" s="18">
        <f>C28-'[2]Jūlijs'!C28</f>
        <v>5458156</v>
      </c>
      <c r="F28" s="31" t="s">
        <v>32</v>
      </c>
      <c r="G28" s="26">
        <f>ROUND(B28/1000,0)</f>
        <v>62799</v>
      </c>
      <c r="H28" s="26">
        <f>ROUND(C28/1000,0)+1</f>
        <v>41331</v>
      </c>
      <c r="I28" s="27">
        <f t="shared" si="1"/>
        <v>0.6581474227296613</v>
      </c>
      <c r="J28" s="26">
        <f>H28-'[2]Jūlijs'!H28</f>
        <v>5459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14" t="s">
        <v>33</v>
      </c>
      <c r="B29" s="10">
        <f>SUM(B22-B28)</f>
        <v>703414347</v>
      </c>
      <c r="C29" s="10">
        <f>SUM(C22-C28)</f>
        <v>414770250</v>
      </c>
      <c r="D29" s="11">
        <f t="shared" si="0"/>
        <v>0.5896528152559846</v>
      </c>
      <c r="E29" s="10">
        <f>SUM(E22-E28)</f>
        <v>54885413</v>
      </c>
      <c r="F29" s="14" t="s">
        <v>33</v>
      </c>
      <c r="G29" s="15">
        <f>SUM(G22-G28)</f>
        <v>703414</v>
      </c>
      <c r="H29" s="15">
        <f>SUM(H22-H28)</f>
        <v>414768</v>
      </c>
      <c r="I29" s="16">
        <f t="shared" si="1"/>
        <v>0.5896499074513729</v>
      </c>
      <c r="J29" s="15">
        <f>SUM(J22-J28)</f>
        <v>54883</v>
      </c>
    </row>
    <row r="30" spans="1:10" ht="29.25" customHeight="1">
      <c r="A30" s="32" t="s">
        <v>34</v>
      </c>
      <c r="B30" s="10">
        <f>SUM(B31:B33)</f>
        <v>1447916129</v>
      </c>
      <c r="C30" s="10">
        <f>SUM(C31:C33)</f>
        <v>901719682.1</v>
      </c>
      <c r="D30" s="11">
        <f t="shared" si="0"/>
        <v>0.6227706591836716</v>
      </c>
      <c r="E30" s="10">
        <f>SUM(E31:E33)</f>
        <v>114153221.1</v>
      </c>
      <c r="F30" s="32" t="s">
        <v>34</v>
      </c>
      <c r="G30" s="12">
        <f>SUM(G31:G33)</f>
        <v>1447916</v>
      </c>
      <c r="H30" s="12">
        <f>SUM(H31:H33)</f>
        <v>901720</v>
      </c>
      <c r="I30" s="13">
        <f t="shared" si="1"/>
        <v>0.6227709342254661</v>
      </c>
      <c r="J30" s="12">
        <f>SUM(J31:J33)</f>
        <v>114153</v>
      </c>
    </row>
    <row r="31" spans="1:10" ht="28.5" customHeight="1">
      <c r="A31" s="32" t="s">
        <v>35</v>
      </c>
      <c r="B31" s="10">
        <f>SUM(B43+B65)</f>
        <v>1337649555</v>
      </c>
      <c r="C31" s="10">
        <f>SUM(C43+C65)</f>
        <v>838166751.38</v>
      </c>
      <c r="D31" s="11">
        <f t="shared" si="0"/>
        <v>0.626596665955606</v>
      </c>
      <c r="E31" s="10">
        <f>SUM(E43+E65)</f>
        <v>101677561.38</v>
      </c>
      <c r="F31" s="32" t="s">
        <v>36</v>
      </c>
      <c r="G31" s="12">
        <f>SUM(G43+G65)</f>
        <v>1337650</v>
      </c>
      <c r="H31" s="12">
        <f>SUM(H43+H65)</f>
        <v>838168</v>
      </c>
      <c r="I31" s="13">
        <f t="shared" si="1"/>
        <v>0.6265973909468097</v>
      </c>
      <c r="J31" s="12">
        <f>SUM(J43+J65)</f>
        <v>101678</v>
      </c>
    </row>
    <row r="32" spans="1:10" ht="25.5" customHeight="1">
      <c r="A32" s="32" t="s">
        <v>37</v>
      </c>
      <c r="B32" s="10">
        <f>SUM(B45+B67)</f>
        <v>30861975</v>
      </c>
      <c r="C32" s="10">
        <f>SUM(C45+C67)</f>
        <v>15251706.74</v>
      </c>
      <c r="D32" s="11">
        <f t="shared" si="0"/>
        <v>0.4941908850616333</v>
      </c>
      <c r="E32" s="10">
        <f>SUM(E45+E67)</f>
        <v>673594.7400000002</v>
      </c>
      <c r="F32" s="32" t="s">
        <v>38</v>
      </c>
      <c r="G32" s="12">
        <f>SUM(G45+G67)</f>
        <v>30862</v>
      </c>
      <c r="H32" s="12">
        <f>SUM(H45+H67)</f>
        <v>15252</v>
      </c>
      <c r="I32" s="13">
        <f t="shared" si="1"/>
        <v>0.4941999870390772</v>
      </c>
      <c r="J32" s="12">
        <f>SUM(J45+J67)</f>
        <v>674</v>
      </c>
    </row>
    <row r="33" spans="1:10" ht="30" customHeight="1">
      <c r="A33" s="32" t="s">
        <v>39</v>
      </c>
      <c r="B33" s="10">
        <f>SUM(B50+B69)</f>
        <v>79404599</v>
      </c>
      <c r="C33" s="10">
        <f>SUM(C50+C69)</f>
        <v>48301223.980000004</v>
      </c>
      <c r="D33" s="11">
        <f t="shared" si="0"/>
        <v>0.6082925244670023</v>
      </c>
      <c r="E33" s="10">
        <f>SUM(E50+E69)</f>
        <v>11802064.98</v>
      </c>
      <c r="F33" s="32" t="s">
        <v>40</v>
      </c>
      <c r="G33" s="12">
        <f>SUM(G50+G69)</f>
        <v>79404</v>
      </c>
      <c r="H33" s="12">
        <f>SUM(H50+H69)</f>
        <v>48300</v>
      </c>
      <c r="I33" s="13">
        <f t="shared" si="1"/>
        <v>0.6082816986549796</v>
      </c>
      <c r="J33" s="12">
        <f>SUM(J50+J69)</f>
        <v>11801</v>
      </c>
    </row>
    <row r="34" spans="1:10" ht="29.25" customHeight="1">
      <c r="A34" s="32" t="s">
        <v>41</v>
      </c>
      <c r="B34" s="10">
        <f>SUM(B8-B30)</f>
        <v>-125470881</v>
      </c>
      <c r="C34" s="10">
        <f>SUM(C8-C30)</f>
        <v>-74043157.31000006</v>
      </c>
      <c r="D34" s="11">
        <f t="shared" si="0"/>
        <v>0.5901222396772687</v>
      </c>
      <c r="E34" s="10">
        <f>SUM(E8-E30)</f>
        <v>-4436402.310000002</v>
      </c>
      <c r="F34" s="32" t="s">
        <v>41</v>
      </c>
      <c r="G34" s="12">
        <f>SUM(G8-G30)</f>
        <v>-125471</v>
      </c>
      <c r="H34" s="12">
        <f>SUM(H8-H30)</f>
        <v>-74046</v>
      </c>
      <c r="I34" s="13">
        <f t="shared" si="1"/>
        <v>0.5901443361414191</v>
      </c>
      <c r="J34" s="12">
        <f>SUM(J8-J30)</f>
        <v>-4438</v>
      </c>
    </row>
    <row r="35" spans="1:10" ht="19.5" customHeight="1">
      <c r="A35" s="32" t="s">
        <v>42</v>
      </c>
      <c r="B35" s="10">
        <f>SUM(B52+B71)</f>
        <v>15498224</v>
      </c>
      <c r="C35" s="10">
        <f>SUM(C52+C71)</f>
        <v>5479480.140000004</v>
      </c>
      <c r="D35" s="11">
        <f t="shared" si="0"/>
        <v>0.35355535834299495</v>
      </c>
      <c r="E35" s="10">
        <f>SUM(E52+E71)</f>
        <v>-224384.85999999568</v>
      </c>
      <c r="F35" s="32" t="s">
        <v>42</v>
      </c>
      <c r="G35" s="12">
        <f>SUM(G52+G71)</f>
        <v>15498</v>
      </c>
      <c r="H35" s="12">
        <f>SUM(H52+H71)</f>
        <v>5480</v>
      </c>
      <c r="I35" s="13">
        <f t="shared" si="1"/>
        <v>0.3535940121305975</v>
      </c>
      <c r="J35" s="12">
        <f>SUM(J52+J71)</f>
        <v>-224</v>
      </c>
    </row>
    <row r="36" spans="1:10" ht="30" customHeight="1">
      <c r="A36" s="32" t="s">
        <v>43</v>
      </c>
      <c r="B36" s="10">
        <f>SUM(B30+B35)</f>
        <v>1463414353</v>
      </c>
      <c r="C36" s="10">
        <f>SUM(C30+C35)</f>
        <v>907199162.24</v>
      </c>
      <c r="D36" s="11">
        <f t="shared" si="0"/>
        <v>0.6199195466275436</v>
      </c>
      <c r="E36" s="10">
        <f>SUM(E30+E35)</f>
        <v>113928836.24</v>
      </c>
      <c r="F36" s="32" t="s">
        <v>44</v>
      </c>
      <c r="G36" s="12">
        <f>SUM(G30+G35)</f>
        <v>1463414</v>
      </c>
      <c r="H36" s="12">
        <f>SUM(H30+H35)</f>
        <v>907200</v>
      </c>
      <c r="I36" s="13">
        <f t="shared" si="1"/>
        <v>0.6199202686321164</v>
      </c>
      <c r="J36" s="12">
        <f>SUM(J30+J35)</f>
        <v>113929</v>
      </c>
    </row>
    <row r="37" spans="1:10" ht="27" customHeight="1">
      <c r="A37" s="32" t="s">
        <v>45</v>
      </c>
      <c r="B37" s="10">
        <f>IF((B34-B35=B8-B36)=TRUE,B34-B35,9)</f>
        <v>-140969105</v>
      </c>
      <c r="C37" s="12">
        <f>C34-C35</f>
        <v>-79522637.45000006</v>
      </c>
      <c r="D37" s="11">
        <f t="shared" si="0"/>
        <v>0.5641139414909392</v>
      </c>
      <c r="E37" s="10">
        <f>IF((E34-E35=E8-E36)=TRUE,E34-E35,9)</f>
        <v>9</v>
      </c>
      <c r="F37" s="32" t="s">
        <v>45</v>
      </c>
      <c r="G37" s="12">
        <f>IF((G34-G35=G8-G36)=TRUE,G34-G35,9)</f>
        <v>-140969</v>
      </c>
      <c r="H37" s="12">
        <f>IF((H34-H35=H8-H36)=TRUE,H34-H35,9)</f>
        <v>-79526</v>
      </c>
      <c r="I37" s="13">
        <f t="shared" si="1"/>
        <v>0.5641382147848109</v>
      </c>
      <c r="J37" s="12">
        <f>IF((J34-J35=J8-J36)=TRUE,J34-J35,9)</f>
        <v>-4214</v>
      </c>
    </row>
    <row r="38" spans="1:10" ht="15.75" customHeight="1">
      <c r="A38" s="14" t="s">
        <v>46</v>
      </c>
      <c r="B38" s="10">
        <f>B41+B44+B48</f>
        <v>697570053</v>
      </c>
      <c r="C38" s="10">
        <f>C41+C44+C48</f>
        <v>436641813.1</v>
      </c>
      <c r="D38" s="11">
        <f t="shared" si="0"/>
        <v>0.6259469012784584</v>
      </c>
      <c r="E38" s="10">
        <f>E41+E44+E48</f>
        <v>50939029.099999994</v>
      </c>
      <c r="F38" s="14" t="s">
        <v>46</v>
      </c>
      <c r="G38" s="15">
        <f>G41+G44+G48</f>
        <v>697570</v>
      </c>
      <c r="H38" s="15">
        <f>H41+H44+H48</f>
        <v>436643</v>
      </c>
      <c r="I38" s="16">
        <f t="shared" si="1"/>
        <v>0.6259486503146637</v>
      </c>
      <c r="J38" s="15">
        <f>J41+J44+J48</f>
        <v>50939</v>
      </c>
    </row>
    <row r="39" spans="1:10" ht="12.75">
      <c r="A39" s="33" t="s">
        <v>47</v>
      </c>
      <c r="B39" s="18">
        <f>B42+B49</f>
        <v>62798622</v>
      </c>
      <c r="C39" s="18">
        <f>C42+C49</f>
        <v>41329875</v>
      </c>
      <c r="D39" s="19">
        <f t="shared" si="0"/>
        <v>0.6581334698713612</v>
      </c>
      <c r="E39" s="18">
        <f>E42+E49</f>
        <v>5458156</v>
      </c>
      <c r="F39" s="33" t="s">
        <v>48</v>
      </c>
      <c r="G39" s="26">
        <f>G42+G49</f>
        <v>62798</v>
      </c>
      <c r="H39" s="26">
        <f>H42+H49</f>
        <v>41331</v>
      </c>
      <c r="I39" s="27">
        <f t="shared" si="1"/>
        <v>0.6581579031179337</v>
      </c>
      <c r="J39" s="26">
        <f>J42+J49</f>
        <v>5459</v>
      </c>
    </row>
    <row r="40" spans="1:10" ht="20.25" customHeight="1">
      <c r="A40" s="14" t="s">
        <v>49</v>
      </c>
      <c r="B40" s="10">
        <f>SUM(B38-B39)</f>
        <v>634771431</v>
      </c>
      <c r="C40" s="10">
        <f>SUM(C38-C39)</f>
        <v>395311938.1</v>
      </c>
      <c r="D40" s="11">
        <f t="shared" si="0"/>
        <v>0.6227626493480297</v>
      </c>
      <c r="E40" s="10">
        <f>SUM(E38-E39)</f>
        <v>45480873.099999994</v>
      </c>
      <c r="F40" s="14" t="s">
        <v>49</v>
      </c>
      <c r="G40" s="15">
        <f>SUM(G38-G39)</f>
        <v>634772</v>
      </c>
      <c r="H40" s="15">
        <f>SUM(H38-H39)</f>
        <v>395312</v>
      </c>
      <c r="I40" s="16">
        <f t="shared" si="1"/>
        <v>0.6227621886283579</v>
      </c>
      <c r="J40" s="15">
        <f>SUM(J38-J39)</f>
        <v>45480</v>
      </c>
    </row>
    <row r="41" spans="1:10" ht="12.75">
      <c r="A41" s="17" t="s">
        <v>50</v>
      </c>
      <c r="B41" s="18">
        <v>635105734</v>
      </c>
      <c r="C41" s="18">
        <f>'[5]Augusts'!$D$16</f>
        <v>402084499.38</v>
      </c>
      <c r="D41" s="19">
        <f t="shared" si="0"/>
        <v>0.6330985186476052</v>
      </c>
      <c r="E41" s="18">
        <f>C41-'[2]Jūlijs'!C41</f>
        <v>44641519.379999995</v>
      </c>
      <c r="F41" s="17" t="s">
        <v>50</v>
      </c>
      <c r="G41" s="18">
        <f>ROUND(B41/1000,0)</f>
        <v>635106</v>
      </c>
      <c r="H41" s="18">
        <f>ROUND(C41/1000,0)+2</f>
        <v>402086</v>
      </c>
      <c r="I41" s="20">
        <f t="shared" si="1"/>
        <v>0.6331006162750785</v>
      </c>
      <c r="J41" s="18">
        <f>H41-'[2]Jūlijs'!H41</f>
        <v>44642</v>
      </c>
    </row>
    <row r="42" spans="1:10" ht="12.75">
      <c r="A42" s="31" t="s">
        <v>51</v>
      </c>
      <c r="B42" s="18">
        <v>60860622</v>
      </c>
      <c r="C42" s="18">
        <f>'[5]Augusts'!$D$33</f>
        <v>40517809</v>
      </c>
      <c r="D42" s="19">
        <f t="shared" si="0"/>
        <v>0.665747533766579</v>
      </c>
      <c r="E42" s="18">
        <f>C42-'[2]Jūlijs'!C42</f>
        <v>4793688</v>
      </c>
      <c r="F42" s="31" t="s">
        <v>52</v>
      </c>
      <c r="G42" s="26">
        <f>ROUND(B42/1000,0)-1</f>
        <v>60860</v>
      </c>
      <c r="H42" s="26">
        <f>ROUND(C42/1000,0)</f>
        <v>40518</v>
      </c>
      <c r="I42" s="27">
        <f t="shared" si="1"/>
        <v>0.6657574761748275</v>
      </c>
      <c r="J42" s="26">
        <f>H42-'[2]Jūlijs'!H42</f>
        <v>4794</v>
      </c>
    </row>
    <row r="43" spans="1:10" ht="15" customHeight="1">
      <c r="A43" s="14" t="s">
        <v>53</v>
      </c>
      <c r="B43" s="10">
        <f>SUM(B41-B42)</f>
        <v>574245112</v>
      </c>
      <c r="C43" s="10">
        <f>SUM(C41-C42)</f>
        <v>361566690.38</v>
      </c>
      <c r="D43" s="11">
        <f t="shared" si="0"/>
        <v>0.6296382552055576</v>
      </c>
      <c r="E43" s="10">
        <f>SUM(E41-E42)</f>
        <v>39847831.379999995</v>
      </c>
      <c r="F43" s="14" t="s">
        <v>53</v>
      </c>
      <c r="G43" s="15">
        <f>SUM(G41-G42)</f>
        <v>574246</v>
      </c>
      <c r="H43" s="15">
        <f>SUM(H41-H42)</f>
        <v>361568</v>
      </c>
      <c r="I43" s="16">
        <f t="shared" si="1"/>
        <v>0.6296395621388743</v>
      </c>
      <c r="J43" s="15">
        <f>SUM(J41-J42)</f>
        <v>39848</v>
      </c>
    </row>
    <row r="44" spans="1:10" ht="15.75" customHeight="1">
      <c r="A44" s="17" t="s">
        <v>54</v>
      </c>
      <c r="B44" s="18">
        <v>14475786</v>
      </c>
      <c r="C44" s="18">
        <f>'[5]Augusts'!$D$42</f>
        <v>7481774.74</v>
      </c>
      <c r="D44" s="19">
        <f t="shared" si="0"/>
        <v>0.516847564615835</v>
      </c>
      <c r="E44" s="18">
        <f>C44-'[2]Jūlijs'!C44</f>
        <v>1007181.7400000002</v>
      </c>
      <c r="F44" s="17" t="s">
        <v>54</v>
      </c>
      <c r="G44" s="18">
        <f>ROUND(B44/1000,0)</f>
        <v>14476</v>
      </c>
      <c r="H44" s="18">
        <f>ROUND(C44/1000,0)</f>
        <v>7482</v>
      </c>
      <c r="I44" s="20">
        <f t="shared" si="1"/>
        <v>0.5168554849405913</v>
      </c>
      <c r="J44" s="18">
        <f>H44-'[2]Jūlijs'!H44</f>
        <v>1007</v>
      </c>
    </row>
    <row r="45" spans="1:10" ht="19.5" customHeight="1">
      <c r="A45" s="14" t="s">
        <v>55</v>
      </c>
      <c r="B45" s="10">
        <f>SUM(B44)</f>
        <v>14475786</v>
      </c>
      <c r="C45" s="10">
        <f>SUM(C44)</f>
        <v>7481774.74</v>
      </c>
      <c r="D45" s="11">
        <f t="shared" si="0"/>
        <v>0.516847564615835</v>
      </c>
      <c r="E45" s="10">
        <f>SUM(E44)</f>
        <v>1007181.7400000002</v>
      </c>
      <c r="F45" s="14" t="s">
        <v>55</v>
      </c>
      <c r="G45" s="15">
        <f>SUM(G44)</f>
        <v>14476</v>
      </c>
      <c r="H45" s="15">
        <f>SUM(H44)</f>
        <v>7482</v>
      </c>
      <c r="I45" s="16">
        <f t="shared" si="1"/>
        <v>0.5168554849405913</v>
      </c>
      <c r="J45" s="15">
        <f>SUM(J44)</f>
        <v>1007</v>
      </c>
    </row>
    <row r="46" spans="1:10" ht="0.75" customHeight="1" hidden="1">
      <c r="A46" s="7" t="s">
        <v>5</v>
      </c>
      <c r="B46" s="8" t="s">
        <v>6</v>
      </c>
      <c r="C46" s="7" t="s">
        <v>7</v>
      </c>
      <c r="D46" s="7" t="s">
        <v>8</v>
      </c>
      <c r="E46" s="7" t="s">
        <v>56</v>
      </c>
      <c r="F46" s="7" t="s">
        <v>5</v>
      </c>
      <c r="G46" s="8" t="s">
        <v>6</v>
      </c>
      <c r="H46" s="7" t="s">
        <v>7</v>
      </c>
      <c r="I46" s="7" t="s">
        <v>8</v>
      </c>
      <c r="J46" s="7" t="s">
        <v>57</v>
      </c>
    </row>
    <row r="47" spans="1:10" ht="12.75" hidden="1">
      <c r="A47" s="7">
        <v>1</v>
      </c>
      <c r="B47" s="8">
        <v>2</v>
      </c>
      <c r="C47" s="7">
        <v>3</v>
      </c>
      <c r="D47" s="7">
        <v>4</v>
      </c>
      <c r="E47" s="7">
        <v>5</v>
      </c>
      <c r="F47" s="7">
        <v>1</v>
      </c>
      <c r="G47" s="8">
        <v>2</v>
      </c>
      <c r="H47" s="7">
        <v>3</v>
      </c>
      <c r="I47" s="7">
        <v>4</v>
      </c>
      <c r="J47" s="7">
        <v>5</v>
      </c>
    </row>
    <row r="48" spans="1:10" ht="12.75">
      <c r="A48" s="17" t="s">
        <v>58</v>
      </c>
      <c r="B48" s="18">
        <v>47988533</v>
      </c>
      <c r="C48" s="18">
        <f>'[5]Augusts'!$D$43</f>
        <v>27075538.98</v>
      </c>
      <c r="D48" s="19">
        <f aca="true" t="shared" si="4" ref="D48:D76">IF(ISERROR(C48/B48)," ",(C48/B48))</f>
        <v>0.564208515813559</v>
      </c>
      <c r="E48" s="18">
        <f>C48-'[2]Jūlijs'!C48</f>
        <v>5290327.98</v>
      </c>
      <c r="F48" s="17" t="s">
        <v>58</v>
      </c>
      <c r="G48" s="18">
        <f>ROUND(B48/1000,0)-1</f>
        <v>47988</v>
      </c>
      <c r="H48" s="18">
        <f>ROUND(C48/1000,0)-1</f>
        <v>27075</v>
      </c>
      <c r="I48" s="20">
        <f aca="true" t="shared" si="5" ref="I48:I76">IF(ISERROR(H48/G48)," ",(H48/G48))</f>
        <v>0.5642035508877219</v>
      </c>
      <c r="J48" s="18">
        <f>H48-'[2]Jūlijs'!H48</f>
        <v>5290</v>
      </c>
    </row>
    <row r="49" spans="1:211" s="17" customFormat="1" ht="12.75">
      <c r="A49" s="31" t="s">
        <v>59</v>
      </c>
      <c r="B49" s="18">
        <v>1938000</v>
      </c>
      <c r="C49" s="18">
        <f>627800+184266</f>
        <v>812066</v>
      </c>
      <c r="D49" s="19">
        <f t="shared" si="4"/>
        <v>0.4190227038183695</v>
      </c>
      <c r="E49" s="18">
        <f>C49-'[2]Jūlijs'!C49</f>
        <v>664468</v>
      </c>
      <c r="F49" s="31" t="s">
        <v>52</v>
      </c>
      <c r="G49" s="26">
        <f>ROUND(B49/1000,0)</f>
        <v>1938</v>
      </c>
      <c r="H49" s="26">
        <f>ROUND(C49/1000,0)+1</f>
        <v>813</v>
      </c>
      <c r="I49" s="27">
        <f t="shared" si="5"/>
        <v>0.4195046439628483</v>
      </c>
      <c r="J49" s="26">
        <f>H49-'[2]Jūlijs'!H49</f>
        <v>665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17" customFormat="1" ht="17.25" customHeight="1">
      <c r="A50" s="14" t="s">
        <v>60</v>
      </c>
      <c r="B50" s="10">
        <f>SUM(B48-B49)</f>
        <v>46050533</v>
      </c>
      <c r="C50" s="10">
        <f>SUM(C48-C49)</f>
        <v>26263472.98</v>
      </c>
      <c r="D50" s="11">
        <f t="shared" si="4"/>
        <v>0.5703185450643969</v>
      </c>
      <c r="E50" s="10">
        <f>SUM(E48-E49)</f>
        <v>4625859.98</v>
      </c>
      <c r="F50" s="14" t="s">
        <v>60</v>
      </c>
      <c r="G50" s="15">
        <f>SUM(G48-G49)</f>
        <v>46050</v>
      </c>
      <c r="H50" s="15">
        <f>SUM(H48-H49)</f>
        <v>26262</v>
      </c>
      <c r="I50" s="16">
        <f t="shared" si="5"/>
        <v>0.5702931596091205</v>
      </c>
      <c r="J50" s="15">
        <f>SUM(J48-J49)</f>
        <v>4625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17" customFormat="1" ht="30" customHeight="1">
      <c r="A51" s="32" t="s">
        <v>61</v>
      </c>
      <c r="B51" s="10">
        <f>SUM(B9-B38)</f>
        <v>-32721607</v>
      </c>
      <c r="C51" s="10">
        <f>SUM(C9-C38)</f>
        <v>-14058357.310000002</v>
      </c>
      <c r="D51" s="11">
        <f t="shared" si="4"/>
        <v>0.42963529602931794</v>
      </c>
      <c r="E51" s="10">
        <f>SUM(E9-E38)</f>
        <v>4914231.690000005</v>
      </c>
      <c r="F51" s="32" t="s">
        <v>61</v>
      </c>
      <c r="G51" s="12">
        <f>SUM(G9-G38)</f>
        <v>-32722</v>
      </c>
      <c r="H51" s="12">
        <f>SUM(H9-H38)</f>
        <v>-14060</v>
      </c>
      <c r="I51" s="13">
        <f t="shared" si="5"/>
        <v>0.42968033738769024</v>
      </c>
      <c r="J51" s="12">
        <f>SUM(J9-J38)</f>
        <v>4914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17" customFormat="1" ht="17.25" customHeight="1">
      <c r="A52" s="14" t="s">
        <v>62</v>
      </c>
      <c r="B52" s="10">
        <f>SUM(B55-B58)</f>
        <v>11747474</v>
      </c>
      <c r="C52" s="10">
        <f>SUM(C55-C58)</f>
        <v>3988166.1400000043</v>
      </c>
      <c r="D52" s="11">
        <f t="shared" si="4"/>
        <v>0.33949137831673465</v>
      </c>
      <c r="E52" s="10">
        <f>SUM(E55-E58)</f>
        <v>-223059.85999999568</v>
      </c>
      <c r="F52" s="14" t="s">
        <v>62</v>
      </c>
      <c r="G52" s="15">
        <f>SUM(G55-G58)</f>
        <v>11747</v>
      </c>
      <c r="H52" s="15">
        <f>SUM(H55-H58)</f>
        <v>3988</v>
      </c>
      <c r="I52" s="16">
        <f t="shared" si="5"/>
        <v>0.3394909338554525</v>
      </c>
      <c r="J52" s="15">
        <f>SUM(J55-J58)</f>
        <v>-223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17" customFormat="1" ht="16.5" customHeight="1">
      <c r="A53" s="17" t="s">
        <v>63</v>
      </c>
      <c r="B53" s="18">
        <v>89768122</v>
      </c>
      <c r="C53" s="18">
        <f>'[6]Augusts'!$C$9</f>
        <v>76462110.18</v>
      </c>
      <c r="D53" s="19">
        <f t="shared" si="4"/>
        <v>0.851773530251641</v>
      </c>
      <c r="E53" s="18">
        <f>C53-'[2]Jūlijs'!C53</f>
        <v>9076128.180000007</v>
      </c>
      <c r="F53" s="17" t="s">
        <v>63</v>
      </c>
      <c r="G53" s="18">
        <f>ROUND(B53/1000,0)</f>
        <v>89768</v>
      </c>
      <c r="H53" s="18">
        <f>ROUND(C53/1000,0)</f>
        <v>76462</v>
      </c>
      <c r="I53" s="20">
        <f t="shared" si="5"/>
        <v>0.8517734604758934</v>
      </c>
      <c r="J53" s="18">
        <f>H53-'[2]Jūlijs'!H53</f>
        <v>9076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17" customFormat="1" ht="14.25" customHeight="1">
      <c r="A54" s="31" t="s">
        <v>59</v>
      </c>
      <c r="B54" s="18">
        <v>78020648</v>
      </c>
      <c r="C54" s="18">
        <f>'[6]Augusts'!$C$24+'[6]Augusts'!$C$52</f>
        <v>57815920.45</v>
      </c>
      <c r="D54" s="19">
        <f t="shared" si="4"/>
        <v>0.7410335844685628</v>
      </c>
      <c r="E54" s="18">
        <f>C54-'[2]Jūlijs'!C54</f>
        <v>8008749.450000003</v>
      </c>
      <c r="F54" s="31" t="s">
        <v>52</v>
      </c>
      <c r="G54" s="26">
        <f>ROUND(B54/1000,0)</f>
        <v>78021</v>
      </c>
      <c r="H54" s="26">
        <f>ROUND(C54/1000,0)</f>
        <v>57816</v>
      </c>
      <c r="I54" s="27">
        <f t="shared" si="5"/>
        <v>0.7410312608143961</v>
      </c>
      <c r="J54" s="26">
        <f>H54-'[2]Jūlijs'!H54</f>
        <v>8009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17" customFormat="1" ht="15" customHeight="1">
      <c r="A55" s="17" t="s">
        <v>64</v>
      </c>
      <c r="B55" s="18">
        <f>SUM(B53-B54)</f>
        <v>11747474</v>
      </c>
      <c r="C55" s="18">
        <f>SUM(C53-C54)</f>
        <v>18646189.730000004</v>
      </c>
      <c r="D55" s="19">
        <f t="shared" si="4"/>
        <v>1.5872509894467528</v>
      </c>
      <c r="E55" s="18">
        <f>SUM(E53-E54)</f>
        <v>1067378.7300000042</v>
      </c>
      <c r="F55" s="17" t="s">
        <v>64</v>
      </c>
      <c r="G55" s="18">
        <f>SUM(G53-G54)</f>
        <v>11747</v>
      </c>
      <c r="H55" s="18">
        <f>SUM(H53-H54)</f>
        <v>18646</v>
      </c>
      <c r="I55" s="20">
        <f t="shared" si="5"/>
        <v>1.5872988848216565</v>
      </c>
      <c r="J55" s="18">
        <f>SUM(J53-J54)</f>
        <v>1067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17" customFormat="1" ht="15.75" customHeight="1">
      <c r="A56" s="17" t="s">
        <v>65</v>
      </c>
      <c r="B56" s="18"/>
      <c r="C56" s="18">
        <f>'[6]Augusts'!$C$10</f>
        <v>30941245.59</v>
      </c>
      <c r="D56" s="19" t="str">
        <f t="shared" si="4"/>
        <v> </v>
      </c>
      <c r="E56" s="18">
        <f>C56-'[2]Jūlijs'!C56</f>
        <v>1768406.5899999999</v>
      </c>
      <c r="F56" s="17" t="s">
        <v>65</v>
      </c>
      <c r="G56" s="18">
        <f>ROUND(B56/1000,0)</f>
        <v>0</v>
      </c>
      <c r="H56" s="18">
        <f>ROUND(C56/1000,0)</f>
        <v>30941</v>
      </c>
      <c r="I56" s="20" t="str">
        <f t="shared" si="5"/>
        <v> </v>
      </c>
      <c r="J56" s="18">
        <f>H56-'[2]Jūlijs'!H56</f>
        <v>1768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17" customFormat="1" ht="15.75" customHeight="1">
      <c r="A57" s="31" t="s">
        <v>66</v>
      </c>
      <c r="B57" s="18"/>
      <c r="C57" s="18">
        <f>'[6]Augusts'!$C$40+'[6]Augusts'!$C$83</f>
        <v>16283222</v>
      </c>
      <c r="D57" s="19" t="str">
        <f t="shared" si="4"/>
        <v> </v>
      </c>
      <c r="E57" s="18">
        <f>C57-'[2]Jūlijs'!C57</f>
        <v>477968</v>
      </c>
      <c r="F57" s="31" t="s">
        <v>67</v>
      </c>
      <c r="G57" s="26">
        <f>ROUND(B57/1000,0)</f>
        <v>0</v>
      </c>
      <c r="H57" s="26">
        <f>ROUND(C57/1000,0)</f>
        <v>16283</v>
      </c>
      <c r="I57" s="27" t="str">
        <f t="shared" si="5"/>
        <v> </v>
      </c>
      <c r="J57" s="26">
        <f>H57-'[2]Jūlijs'!H57</f>
        <v>478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17" customFormat="1" ht="16.5" customHeight="1">
      <c r="A58" s="17" t="s">
        <v>68</v>
      </c>
      <c r="B58" s="18">
        <f>SUM(B56-B57)</f>
        <v>0</v>
      </c>
      <c r="C58" s="18">
        <f>SUM(C56-C57)</f>
        <v>14658023.59</v>
      </c>
      <c r="D58" s="19" t="str">
        <f t="shared" si="4"/>
        <v> </v>
      </c>
      <c r="E58" s="18">
        <f>SUM(E56-E57)</f>
        <v>1290438.5899999999</v>
      </c>
      <c r="F58" s="17" t="s">
        <v>68</v>
      </c>
      <c r="G58" s="18">
        <f>SUM(G56-G57)</f>
        <v>0</v>
      </c>
      <c r="H58" s="18">
        <f>SUM(H56-H57)</f>
        <v>14658</v>
      </c>
      <c r="I58" s="20" t="str">
        <f t="shared" si="5"/>
        <v> </v>
      </c>
      <c r="J58" s="18">
        <f>SUM(J56-J57)</f>
        <v>1290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17" customFormat="1" ht="32.25" customHeight="1">
      <c r="A59" s="32" t="s">
        <v>69</v>
      </c>
      <c r="B59" s="10">
        <f>B51-(B53-B56)</f>
        <v>-122489729</v>
      </c>
      <c r="C59" s="10">
        <f>C51-(C53-C56)</f>
        <v>-59579221.900000006</v>
      </c>
      <c r="D59" s="11">
        <f t="shared" si="4"/>
        <v>0.4864017774094349</v>
      </c>
      <c r="E59" s="10">
        <f>E51-(E53-E56)</f>
        <v>-2393489.9000000022</v>
      </c>
      <c r="F59" s="32" t="s">
        <v>69</v>
      </c>
      <c r="G59" s="12">
        <f>G51-(G53-G56)</f>
        <v>-122490</v>
      </c>
      <c r="H59" s="12">
        <f>H51-(H53-H56)</f>
        <v>-59581</v>
      </c>
      <c r="I59" s="13">
        <f t="shared" si="5"/>
        <v>0.48641521756878114</v>
      </c>
      <c r="J59" s="12">
        <f>J51-(J53-J56)</f>
        <v>-2394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17" customFormat="1" ht="17.25" customHeight="1">
      <c r="A60" s="14" t="s">
        <v>70</v>
      </c>
      <c r="B60" s="10">
        <f>B63+B66+B68</f>
        <v>858962243</v>
      </c>
      <c r="C60" s="10">
        <f>C63+C66+C68</f>
        <v>516084925</v>
      </c>
      <c r="D60" s="11">
        <f t="shared" si="4"/>
        <v>0.6008237605386806</v>
      </c>
      <c r="E60" s="10">
        <f>E63+E66+E68</f>
        <v>69694203</v>
      </c>
      <c r="F60" s="14" t="s">
        <v>70</v>
      </c>
      <c r="G60" s="15">
        <f>G63+G66+G68</f>
        <v>858962</v>
      </c>
      <c r="H60" s="15">
        <f>H63+H66+H68</f>
        <v>516085</v>
      </c>
      <c r="I60" s="16">
        <f t="shared" si="5"/>
        <v>0.6008240178261669</v>
      </c>
      <c r="J60" s="15">
        <f>J63+J66+J68</f>
        <v>69694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17" customFormat="1" ht="19.5" customHeight="1">
      <c r="A61" s="31" t="s">
        <v>71</v>
      </c>
      <c r="B61" s="18">
        <f>B64</f>
        <v>45817545</v>
      </c>
      <c r="C61" s="18">
        <f>C20</f>
        <v>9677181</v>
      </c>
      <c r="D61" s="19">
        <f t="shared" si="4"/>
        <v>0.21121125106113825</v>
      </c>
      <c r="E61" s="18">
        <f>E64</f>
        <v>1021855</v>
      </c>
      <c r="F61" s="31" t="s">
        <v>72</v>
      </c>
      <c r="G61" s="26">
        <f>G64</f>
        <v>45818</v>
      </c>
      <c r="H61" s="26">
        <f>H64</f>
        <v>9677</v>
      </c>
      <c r="I61" s="27">
        <f t="shared" si="5"/>
        <v>0.21120520319525077</v>
      </c>
      <c r="J61" s="26">
        <f>J64</f>
        <v>1021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17" customFormat="1" ht="19.5" customHeight="1">
      <c r="A62" s="14" t="s">
        <v>73</v>
      </c>
      <c r="B62" s="10">
        <f>SUM(B60-B61)</f>
        <v>813144698</v>
      </c>
      <c r="C62" s="10">
        <f>SUM(C60-C61)</f>
        <v>506407744</v>
      </c>
      <c r="D62" s="11">
        <f t="shared" si="4"/>
        <v>0.6227769119635826</v>
      </c>
      <c r="E62" s="10">
        <f>SUM(E60-E61)</f>
        <v>68672348</v>
      </c>
      <c r="F62" s="14" t="s">
        <v>73</v>
      </c>
      <c r="G62" s="15">
        <f>SUM(G60-G61)</f>
        <v>813144</v>
      </c>
      <c r="H62" s="15">
        <f>SUM(H60-H61)</f>
        <v>506408</v>
      </c>
      <c r="I62" s="16">
        <f t="shared" si="5"/>
        <v>0.6227777613805181</v>
      </c>
      <c r="J62" s="15">
        <f>SUM(J60-J61)</f>
        <v>68673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17" customFormat="1" ht="15.75" customHeight="1">
      <c r="A63" s="17" t="s">
        <v>74</v>
      </c>
      <c r="B63" s="18">
        <v>809221988</v>
      </c>
      <c r="C63" s="18">
        <f>'[3]Augusts'!$D$14</f>
        <v>486277242</v>
      </c>
      <c r="D63" s="19">
        <f t="shared" si="4"/>
        <v>0.6009194624108508</v>
      </c>
      <c r="E63" s="18">
        <f>C63-'[2]Jūlijs'!C63</f>
        <v>62851585</v>
      </c>
      <c r="F63" s="17" t="s">
        <v>74</v>
      </c>
      <c r="G63" s="18">
        <f>ROUND(B63/1000,0)</f>
        <v>809222</v>
      </c>
      <c r="H63" s="18">
        <f>ROUND(C63/1000,0)</f>
        <v>486277</v>
      </c>
      <c r="I63" s="20">
        <f t="shared" si="5"/>
        <v>0.600919154447111</v>
      </c>
      <c r="J63" s="18">
        <f>H63-'[2]Jūlijs'!H63</f>
        <v>62851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17" customFormat="1" ht="15" customHeight="1">
      <c r="A64" s="31" t="s">
        <v>75</v>
      </c>
      <c r="B64" s="18">
        <v>45817545</v>
      </c>
      <c r="C64" s="18">
        <f>C20</f>
        <v>9677181</v>
      </c>
      <c r="D64" s="19">
        <f t="shared" si="4"/>
        <v>0.21121125106113825</v>
      </c>
      <c r="E64" s="18">
        <f>C64-'[2]Jūlijs'!C64</f>
        <v>1021855</v>
      </c>
      <c r="F64" s="31" t="s">
        <v>72</v>
      </c>
      <c r="G64" s="26">
        <f>ROUND(B64/1000,0)</f>
        <v>45818</v>
      </c>
      <c r="H64" s="26">
        <f>H20</f>
        <v>9677</v>
      </c>
      <c r="I64" s="27">
        <f t="shared" si="5"/>
        <v>0.21120520319525077</v>
      </c>
      <c r="J64" s="26">
        <f>H64-'[2]Jūlijs'!H64</f>
        <v>1021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17" customFormat="1" ht="27.75" customHeight="1">
      <c r="A65" s="14" t="s">
        <v>76</v>
      </c>
      <c r="B65" s="10">
        <f>SUM(B63-B64)</f>
        <v>763404443</v>
      </c>
      <c r="C65" s="10">
        <f>SUM(C63-C64)</f>
        <v>476600061</v>
      </c>
      <c r="D65" s="11">
        <f t="shared" si="4"/>
        <v>0.6243087335555368</v>
      </c>
      <c r="E65" s="10">
        <f>SUM(E63-E64)</f>
        <v>61829730</v>
      </c>
      <c r="F65" s="14" t="s">
        <v>76</v>
      </c>
      <c r="G65" s="15">
        <f>SUM(G63-G64)</f>
        <v>763404</v>
      </c>
      <c r="H65" s="15">
        <f>SUM(H63-H64)</f>
        <v>476600</v>
      </c>
      <c r="I65" s="16">
        <f t="shared" si="5"/>
        <v>0.6243090159338961</v>
      </c>
      <c r="J65" s="15">
        <f>SUM(J63-J64)</f>
        <v>61830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17" customFormat="1" ht="17.25" customHeight="1">
      <c r="A66" s="17" t="s">
        <v>77</v>
      </c>
      <c r="B66" s="18">
        <v>16386189</v>
      </c>
      <c r="C66" s="18">
        <f>'[3]Augusts'!$D$41</f>
        <v>7769932</v>
      </c>
      <c r="D66" s="19">
        <f t="shared" si="4"/>
        <v>0.47417566097888897</v>
      </c>
      <c r="E66" s="18">
        <f>C66-'[2]Jūlijs'!C66</f>
        <v>-333587</v>
      </c>
      <c r="F66" s="17" t="s">
        <v>77</v>
      </c>
      <c r="G66" s="18">
        <f>ROUND(B66/1000,0)</f>
        <v>16386</v>
      </c>
      <c r="H66" s="18">
        <f>ROUND(C66/1000,0)</f>
        <v>7770</v>
      </c>
      <c r="I66" s="20">
        <f t="shared" si="5"/>
        <v>0.4741852801171732</v>
      </c>
      <c r="J66" s="18">
        <f>H66-'[2]Jūlijs'!H66</f>
        <v>-333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17" customFormat="1" ht="18" customHeight="1">
      <c r="A67" s="14" t="s">
        <v>78</v>
      </c>
      <c r="B67" s="10">
        <f>SUM(B66)</f>
        <v>16386189</v>
      </c>
      <c r="C67" s="10">
        <f>SUM(C66)</f>
        <v>7769932</v>
      </c>
      <c r="D67" s="11">
        <f t="shared" si="4"/>
        <v>0.47417566097888897</v>
      </c>
      <c r="E67" s="10">
        <f>SUM(E66)</f>
        <v>-333587</v>
      </c>
      <c r="F67" s="14" t="s">
        <v>78</v>
      </c>
      <c r="G67" s="15">
        <f>SUM(G66)</f>
        <v>16386</v>
      </c>
      <c r="H67" s="15">
        <f>SUM(H66)</f>
        <v>7770</v>
      </c>
      <c r="I67" s="16">
        <f t="shared" si="5"/>
        <v>0.4741852801171732</v>
      </c>
      <c r="J67" s="15">
        <f>SUM(J66)</f>
        <v>-333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17" customFormat="1" ht="18" customHeight="1">
      <c r="A68" s="17" t="s">
        <v>79</v>
      </c>
      <c r="B68" s="18">
        <v>33354066</v>
      </c>
      <c r="C68" s="18">
        <f>'[3]Augusts'!$D$42</f>
        <v>22037751</v>
      </c>
      <c r="D68" s="19">
        <f t="shared" si="4"/>
        <v>0.6607215743951577</v>
      </c>
      <c r="E68" s="18">
        <f>C68-'[2]Jūlijs'!C68</f>
        <v>7176205</v>
      </c>
      <c r="F68" s="17" t="s">
        <v>79</v>
      </c>
      <c r="G68" s="18">
        <f>ROUND(B68/1000,0)</f>
        <v>33354</v>
      </c>
      <c r="H68" s="18">
        <f>ROUND(C68/1000,0)</f>
        <v>22038</v>
      </c>
      <c r="I68" s="20">
        <f t="shared" si="5"/>
        <v>0.6607303471847454</v>
      </c>
      <c r="J68" s="18">
        <f>H68-'[2]Jūlijs'!H68</f>
        <v>7176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17" customFormat="1" ht="16.5" customHeight="1">
      <c r="A69" s="14" t="s">
        <v>80</v>
      </c>
      <c r="B69" s="10">
        <f>SUM(B68)</f>
        <v>33354066</v>
      </c>
      <c r="C69" s="10">
        <f>SUM(C68)</f>
        <v>22037751</v>
      </c>
      <c r="D69" s="11">
        <f t="shared" si="4"/>
        <v>0.6607215743951577</v>
      </c>
      <c r="E69" s="10">
        <f>SUM(E68)</f>
        <v>7176205</v>
      </c>
      <c r="F69" s="14" t="s">
        <v>80</v>
      </c>
      <c r="G69" s="15">
        <f>SUM(G68)</f>
        <v>33354</v>
      </c>
      <c r="H69" s="15">
        <f>SUM(H68)</f>
        <v>22038</v>
      </c>
      <c r="I69" s="16">
        <f t="shared" si="5"/>
        <v>0.6607303471847454</v>
      </c>
      <c r="J69" s="15">
        <f>SUM(J68)</f>
        <v>7176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17" customFormat="1" ht="30.75" customHeight="1">
      <c r="A70" s="32" t="s">
        <v>81</v>
      </c>
      <c r="B70" s="10">
        <f>SUM(B22-B60)</f>
        <v>-92749274</v>
      </c>
      <c r="C70" s="10">
        <f>SUM(C22-C60)</f>
        <v>-59984800</v>
      </c>
      <c r="D70" s="11">
        <f t="shared" si="4"/>
        <v>0.6467414505045075</v>
      </c>
      <c r="E70" s="10">
        <f>SUM(E22-E60)</f>
        <v>-9350634</v>
      </c>
      <c r="F70" s="32" t="s">
        <v>81</v>
      </c>
      <c r="G70" s="12">
        <f>SUM(G22-G60)</f>
        <v>-92749</v>
      </c>
      <c r="H70" s="12">
        <f>SUM(H22-H60)</f>
        <v>-59986</v>
      </c>
      <c r="I70" s="13">
        <f t="shared" si="5"/>
        <v>0.6467562992592912</v>
      </c>
      <c r="J70" s="12">
        <f>SUM(J22-J60)</f>
        <v>-9352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17" customFormat="1" ht="16.5" customHeight="1">
      <c r="A71" s="14" t="s">
        <v>82</v>
      </c>
      <c r="B71" s="10">
        <f>SUM(B72-B74)</f>
        <v>3750750</v>
      </c>
      <c r="C71" s="10">
        <f>SUM(C72-C74)</f>
        <v>1491314</v>
      </c>
      <c r="D71" s="11">
        <f t="shared" si="4"/>
        <v>0.39760421249083516</v>
      </c>
      <c r="E71" s="10">
        <f>SUM(E72-E74)</f>
        <v>-1325</v>
      </c>
      <c r="F71" s="14" t="s">
        <v>82</v>
      </c>
      <c r="G71" s="15">
        <f>SUM(G72-G74)</f>
        <v>3751</v>
      </c>
      <c r="H71" s="15">
        <f>SUM(H72-H74)</f>
        <v>1492</v>
      </c>
      <c r="I71" s="16">
        <f t="shared" si="5"/>
        <v>0.3977605971740869</v>
      </c>
      <c r="J71" s="15">
        <f>SUM(J72-J74)</f>
        <v>-1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17" customFormat="1" ht="20.25" customHeight="1">
      <c r="A72" s="17" t="s">
        <v>83</v>
      </c>
      <c r="B72" s="18">
        <v>3750750</v>
      </c>
      <c r="C72" s="18">
        <f>'[3]Augusts'!$D$46</f>
        <v>1492638</v>
      </c>
      <c r="D72" s="19">
        <f t="shared" si="4"/>
        <v>0.39795720855828837</v>
      </c>
      <c r="E72" s="18">
        <f>C72-'[2]Jūlijs'!C72</f>
        <v>-1</v>
      </c>
      <c r="F72" s="17" t="s">
        <v>83</v>
      </c>
      <c r="G72" s="18">
        <f>ROUND(B72/1000,0)</f>
        <v>3751</v>
      </c>
      <c r="H72" s="18">
        <f>ROUND(C72/1000,0)</f>
        <v>1493</v>
      </c>
      <c r="I72" s="20">
        <f t="shared" si="5"/>
        <v>0.3980271927486004</v>
      </c>
      <c r="J72" s="18">
        <f>H72-'[2]Jūlijs'!H72</f>
        <v>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17" customFormat="1" ht="15.75" customHeight="1">
      <c r="A73" s="17" t="s">
        <v>84</v>
      </c>
      <c r="B73" s="18">
        <f>SUM(B72)</f>
        <v>3750750</v>
      </c>
      <c r="C73" s="18">
        <f>SUM(C72)</f>
        <v>1492638</v>
      </c>
      <c r="D73" s="19">
        <f t="shared" si="4"/>
        <v>0.39795720855828837</v>
      </c>
      <c r="E73" s="18">
        <f>SUM(E72)</f>
        <v>-1</v>
      </c>
      <c r="F73" s="17" t="s">
        <v>84</v>
      </c>
      <c r="G73" s="18">
        <f>SUM(G72)</f>
        <v>3751</v>
      </c>
      <c r="H73" s="18">
        <f>SUM(H72)</f>
        <v>1493</v>
      </c>
      <c r="I73" s="20">
        <f t="shared" si="5"/>
        <v>0.3980271927486004</v>
      </c>
      <c r="J73" s="18">
        <f>SUM(J72)</f>
        <v>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17" customFormat="1" ht="18" customHeight="1">
      <c r="A74" s="17" t="s">
        <v>85</v>
      </c>
      <c r="B74" s="18"/>
      <c r="C74" s="18">
        <f>'[3]Augusts'!$D$47</f>
        <v>1324</v>
      </c>
      <c r="D74" s="19" t="str">
        <f t="shared" si="4"/>
        <v> </v>
      </c>
      <c r="E74" s="18">
        <f>C74-'[2]Jūlijs'!C74</f>
        <v>1324</v>
      </c>
      <c r="F74" s="17" t="s">
        <v>85</v>
      </c>
      <c r="G74" s="18">
        <f>ROUND(B74/1000,0)</f>
        <v>0</v>
      </c>
      <c r="H74" s="18">
        <f>ROUND(C74/1000,0)</f>
        <v>1</v>
      </c>
      <c r="I74" s="20" t="str">
        <f t="shared" si="5"/>
        <v> </v>
      </c>
      <c r="J74" s="18">
        <f>H74-'[2]Jūlijs'!H74</f>
        <v>1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17" customFormat="1" ht="16.5" customHeight="1">
      <c r="A75" s="17" t="s">
        <v>86</v>
      </c>
      <c r="B75" s="18">
        <f>SUM(B74)</f>
        <v>0</v>
      </c>
      <c r="C75" s="18">
        <f>SUM(C74)</f>
        <v>1324</v>
      </c>
      <c r="D75" s="19" t="str">
        <f t="shared" si="4"/>
        <v> </v>
      </c>
      <c r="E75" s="18">
        <f>SUM(E74)</f>
        <v>1324</v>
      </c>
      <c r="F75" s="17" t="s">
        <v>86</v>
      </c>
      <c r="G75" s="18">
        <f>SUM(G74)</f>
        <v>0</v>
      </c>
      <c r="H75" s="18">
        <f>SUM(H74)</f>
        <v>1</v>
      </c>
      <c r="I75" s="20" t="str">
        <f t="shared" si="5"/>
        <v> </v>
      </c>
      <c r="J75" s="18">
        <f>SUM(J74)</f>
        <v>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17" customFormat="1" ht="30.75" customHeight="1">
      <c r="A76" s="32" t="s">
        <v>87</v>
      </c>
      <c r="B76" s="10">
        <f>SUM(B70-B71)</f>
        <v>-96500024</v>
      </c>
      <c r="C76" s="10">
        <f>SUM(C70-C71)</f>
        <v>-61476114</v>
      </c>
      <c r="D76" s="11">
        <f t="shared" si="4"/>
        <v>0.6370580177265034</v>
      </c>
      <c r="E76" s="10">
        <f>SUM(E70-E71)</f>
        <v>-9349309</v>
      </c>
      <c r="F76" s="32" t="s">
        <v>87</v>
      </c>
      <c r="G76" s="12">
        <f>SUM(G70-G71)</f>
        <v>-96500</v>
      </c>
      <c r="H76" s="12">
        <f>SUM(H70-H71)</f>
        <v>-61478</v>
      </c>
      <c r="I76" s="13">
        <f t="shared" si="5"/>
        <v>0.6370777202072538</v>
      </c>
      <c r="J76" s="12">
        <f>SUM(J70-J71)</f>
        <v>-9351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36" customFormat="1" ht="12.75">
      <c r="A77" s="34"/>
      <c r="B77" s="35"/>
      <c r="F77" s="34"/>
      <c r="G77" s="3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36" customFormat="1" ht="12.75">
      <c r="A78" s="34"/>
      <c r="B78" s="35"/>
      <c r="F78" s="37"/>
      <c r="G78" s="3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38"/>
      <c r="F79" s="38"/>
      <c r="G79" s="2"/>
      <c r="H79" s="1"/>
      <c r="I79" s="1"/>
      <c r="J79" s="1"/>
    </row>
    <row r="80" spans="1:10" ht="12.75">
      <c r="A80" s="38"/>
      <c r="F80" s="38"/>
      <c r="G80" s="2"/>
      <c r="H80" s="1"/>
      <c r="I80" s="1"/>
      <c r="J80" s="1"/>
    </row>
    <row r="81" spans="1:10" ht="12.75">
      <c r="A81" s="36"/>
      <c r="F81" s="36"/>
      <c r="G81" s="2"/>
      <c r="H81" s="1"/>
      <c r="I81" s="1"/>
      <c r="J81" s="1"/>
    </row>
    <row r="82" spans="1:10" ht="12.75">
      <c r="A82" s="39" t="s">
        <v>88</v>
      </c>
      <c r="B82" s="4"/>
      <c r="C82" s="40"/>
      <c r="D82" s="40"/>
      <c r="E82" s="40"/>
      <c r="F82" s="39" t="s">
        <v>88</v>
      </c>
      <c r="G82" s="4"/>
      <c r="H82" s="40"/>
      <c r="I82" s="40"/>
      <c r="J82" s="40"/>
    </row>
    <row r="83" spans="1:10" ht="12.75">
      <c r="A83" s="29"/>
      <c r="F83" s="29"/>
      <c r="G83" s="2"/>
      <c r="H83" s="1"/>
      <c r="I83" s="1"/>
      <c r="J83" s="1"/>
    </row>
    <row r="84" spans="1:10" ht="12.75">
      <c r="A84" s="29"/>
      <c r="C84" s="6"/>
      <c r="D84" s="6"/>
      <c r="E84" s="6"/>
      <c r="F84" s="29"/>
      <c r="G84" s="2"/>
      <c r="H84" s="6"/>
      <c r="I84" s="6"/>
      <c r="J84" s="6"/>
    </row>
    <row r="85" spans="6:10" ht="12.75">
      <c r="F85" s="1"/>
      <c r="G85" s="2"/>
      <c r="H85" s="1"/>
      <c r="I85" s="1"/>
      <c r="J85" s="1"/>
    </row>
    <row r="86" spans="6:10" ht="12.75">
      <c r="F86" s="1"/>
      <c r="G86" s="2"/>
      <c r="H86" s="1"/>
      <c r="I86" s="1"/>
      <c r="J86" s="1"/>
    </row>
    <row r="87" spans="6:10" ht="12.75">
      <c r="F87" s="1"/>
      <c r="G87" s="2"/>
      <c r="H87" s="1"/>
      <c r="I87" s="1"/>
      <c r="J87" s="1"/>
    </row>
    <row r="88" spans="1:10" ht="12.75">
      <c r="A88" s="29" t="s">
        <v>89</v>
      </c>
      <c r="F88" s="29" t="s">
        <v>89</v>
      </c>
      <c r="G88" s="2"/>
      <c r="H88" s="1"/>
      <c r="I88" s="1"/>
      <c r="J88" s="1"/>
    </row>
    <row r="89" spans="1:10" ht="12.75">
      <c r="A89" s="29" t="s">
        <v>90</v>
      </c>
      <c r="F89" s="29" t="s">
        <v>90</v>
      </c>
      <c r="G89" s="2"/>
      <c r="H89" s="1"/>
      <c r="I89" s="1"/>
      <c r="J89" s="1"/>
    </row>
    <row r="90" spans="6:10" ht="12.75">
      <c r="F90" s="1"/>
      <c r="G90" s="2"/>
      <c r="H90" s="1"/>
      <c r="I90" s="1"/>
      <c r="J90" s="1"/>
    </row>
    <row r="91" spans="1:5" ht="15" customHeight="1">
      <c r="A91"/>
      <c r="B91"/>
      <c r="C91"/>
      <c r="D91"/>
      <c r="E91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23" sqref="A23"/>
    </sheetView>
  </sheetViews>
  <sheetFormatPr defaultColWidth="9.140625" defaultRowHeight="12.75"/>
  <cols>
    <col min="1" max="1" width="24.7109375" style="296" customWidth="1"/>
    <col min="2" max="3" width="13.140625" style="296" customWidth="1"/>
    <col min="4" max="4" width="14.00390625" style="296" customWidth="1"/>
    <col min="5" max="5" width="16.57421875" style="296" customWidth="1"/>
    <col min="6" max="6" width="13.57421875" style="296" customWidth="1"/>
    <col min="7" max="7" width="9.7109375" style="296" customWidth="1"/>
    <col min="8" max="9" width="8.8515625" style="296" customWidth="1"/>
    <col min="10" max="10" width="14.8515625" style="296" customWidth="1"/>
    <col min="11" max="16384" width="8.00390625" style="296" customWidth="1"/>
  </cols>
  <sheetData>
    <row r="1" spans="1:11" ht="12.75" customHeight="1">
      <c r="A1" s="297" t="s">
        <v>698</v>
      </c>
      <c r="B1" s="297"/>
      <c r="C1" s="297"/>
      <c r="D1" s="297"/>
      <c r="E1" s="297"/>
      <c r="F1" s="297"/>
      <c r="G1" s="297"/>
      <c r="H1" s="297"/>
      <c r="I1" s="297"/>
      <c r="J1" s="508" t="s">
        <v>699</v>
      </c>
      <c r="K1" s="302"/>
    </row>
    <row r="2" spans="1:10" ht="12">
      <c r="A2" s="351"/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2">
      <c r="A3" s="351"/>
      <c r="B3" s="351"/>
      <c r="C3" s="351"/>
      <c r="D3" s="351"/>
      <c r="E3" s="351"/>
      <c r="F3" s="351"/>
      <c r="G3" s="351"/>
      <c r="H3" s="351"/>
      <c r="I3" s="351"/>
      <c r="J3" s="351"/>
    </row>
    <row r="4" spans="1:10" ht="15.75">
      <c r="A4" s="298" t="s">
        <v>700</v>
      </c>
      <c r="B4" s="408"/>
      <c r="C4" s="408"/>
      <c r="D4" s="408"/>
      <c r="E4" s="408"/>
      <c r="F4" s="408"/>
      <c r="G4" s="408"/>
      <c r="H4" s="408"/>
      <c r="I4" s="408"/>
      <c r="J4" s="408"/>
    </row>
    <row r="5" spans="1:10" ht="15.75">
      <c r="A5" s="298" t="s">
        <v>446</v>
      </c>
      <c r="B5" s="325"/>
      <c r="C5" s="298"/>
      <c r="D5" s="298"/>
      <c r="E5" s="298"/>
      <c r="F5" s="298"/>
      <c r="G5" s="322"/>
      <c r="H5" s="322"/>
      <c r="I5" s="322"/>
      <c r="J5" s="322"/>
    </row>
    <row r="6" spans="1:10" ht="15.75">
      <c r="A6" s="411"/>
      <c r="B6" s="351"/>
      <c r="C6" s="351"/>
      <c r="D6" s="351"/>
      <c r="E6" s="351"/>
      <c r="F6" s="351"/>
      <c r="G6" s="351"/>
      <c r="H6" s="351"/>
      <c r="I6" s="351"/>
      <c r="J6" s="351"/>
    </row>
    <row r="7" spans="1:10" ht="11.25">
      <c r="A7" s="482"/>
      <c r="B7" s="482"/>
      <c r="C7" s="482"/>
      <c r="D7" s="482"/>
      <c r="E7" s="482"/>
      <c r="F7" s="482"/>
      <c r="G7" s="482"/>
      <c r="H7" s="482"/>
      <c r="I7" s="482"/>
      <c r="J7" s="482" t="s">
        <v>701</v>
      </c>
    </row>
    <row r="8" spans="1:10" ht="56.25">
      <c r="A8" s="301" t="s">
        <v>702</v>
      </c>
      <c r="B8" s="301" t="s">
        <v>703</v>
      </c>
      <c r="C8" s="301" t="s">
        <v>704</v>
      </c>
      <c r="D8" s="301" t="s">
        <v>705</v>
      </c>
      <c r="E8" s="301" t="s">
        <v>706</v>
      </c>
      <c r="F8" s="301" t="s">
        <v>707</v>
      </c>
      <c r="G8" s="301" t="s">
        <v>708</v>
      </c>
      <c r="H8" s="509" t="s">
        <v>709</v>
      </c>
      <c r="I8" s="510"/>
      <c r="J8" s="301" t="s">
        <v>710</v>
      </c>
    </row>
    <row r="9" spans="1:10" ht="11.25">
      <c r="A9" s="301"/>
      <c r="B9" s="301"/>
      <c r="C9" s="301"/>
      <c r="D9" s="301"/>
      <c r="E9" s="301"/>
      <c r="F9" s="301"/>
      <c r="G9" s="301"/>
      <c r="H9" s="301" t="s">
        <v>711</v>
      </c>
      <c r="I9" s="301" t="s">
        <v>712</v>
      </c>
      <c r="J9" s="301"/>
    </row>
    <row r="10" spans="1:10" ht="11.2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1">
        <v>9</v>
      </c>
      <c r="J10" s="511">
        <v>10</v>
      </c>
    </row>
    <row r="11" spans="1:10" ht="12">
      <c r="A11" s="333" t="s">
        <v>713</v>
      </c>
      <c r="B11" s="512">
        <v>234000</v>
      </c>
      <c r="C11" s="512">
        <v>2336940</v>
      </c>
      <c r="D11" s="304">
        <f>11185+22350</f>
        <v>33535</v>
      </c>
      <c r="E11" s="512">
        <v>12013381</v>
      </c>
      <c r="F11" s="512">
        <f>5631+2813</f>
        <v>8444</v>
      </c>
      <c r="G11" s="304"/>
      <c r="H11" s="304"/>
      <c r="I11" s="304"/>
      <c r="J11" s="512">
        <f aca="true" t="shared" si="0" ref="J11:J44">SUM(B11:I11)</f>
        <v>14626300</v>
      </c>
    </row>
    <row r="12" spans="1:10" ht="12">
      <c r="A12" s="333" t="s">
        <v>714</v>
      </c>
      <c r="B12" s="304">
        <v>240000</v>
      </c>
      <c r="C12" s="304">
        <v>302383</v>
      </c>
      <c r="D12" s="304">
        <f>1098+2196</f>
        <v>3294</v>
      </c>
      <c r="E12" s="512">
        <v>1906062</v>
      </c>
      <c r="F12" s="512">
        <f>4861+2429</f>
        <v>7290</v>
      </c>
      <c r="G12" s="304"/>
      <c r="H12" s="304"/>
      <c r="I12" s="304"/>
      <c r="J12" s="512">
        <f t="shared" si="0"/>
        <v>2459029</v>
      </c>
    </row>
    <row r="13" spans="1:10" ht="12">
      <c r="A13" s="333" t="s">
        <v>715</v>
      </c>
      <c r="B13" s="304">
        <v>528700</v>
      </c>
      <c r="C13" s="304">
        <v>257715</v>
      </c>
      <c r="D13" s="304">
        <f>3110+6223</f>
        <v>9333</v>
      </c>
      <c r="E13" s="512">
        <v>1203462</v>
      </c>
      <c r="F13" s="304">
        <f>2097+1048</f>
        <v>3145</v>
      </c>
      <c r="G13" s="304"/>
      <c r="H13" s="304"/>
      <c r="I13" s="304"/>
      <c r="J13" s="512">
        <f t="shared" si="0"/>
        <v>2002355</v>
      </c>
    </row>
    <row r="14" spans="1:10" ht="12">
      <c r="A14" s="333" t="s">
        <v>716</v>
      </c>
      <c r="B14" s="304"/>
      <c r="C14" s="304">
        <v>76248</v>
      </c>
      <c r="D14" s="304">
        <f>195+390</f>
        <v>585</v>
      </c>
      <c r="E14" s="512">
        <v>939420</v>
      </c>
      <c r="F14" s="304">
        <f>588+295</f>
        <v>883</v>
      </c>
      <c r="G14" s="304"/>
      <c r="H14" s="304"/>
      <c r="I14" s="304"/>
      <c r="J14" s="512">
        <f t="shared" si="0"/>
        <v>1017136</v>
      </c>
    </row>
    <row r="15" spans="1:10" ht="12">
      <c r="A15" s="333" t="s">
        <v>717</v>
      </c>
      <c r="B15" s="304">
        <v>235000</v>
      </c>
      <c r="C15" s="304">
        <v>381247</v>
      </c>
      <c r="D15" s="304">
        <f>1097+2197</f>
        <v>3294</v>
      </c>
      <c r="E15" s="512">
        <v>1470280</v>
      </c>
      <c r="F15" s="304">
        <f>2138+1070</f>
        <v>3208</v>
      </c>
      <c r="G15" s="304"/>
      <c r="H15" s="304"/>
      <c r="I15" s="304"/>
      <c r="J15" s="512">
        <f t="shared" si="0"/>
        <v>2093029</v>
      </c>
    </row>
    <row r="16" spans="1:10" ht="12">
      <c r="A16" s="333" t="s">
        <v>718</v>
      </c>
      <c r="B16" s="304"/>
      <c r="C16" s="304">
        <v>271536</v>
      </c>
      <c r="D16" s="304">
        <f>915+1830</f>
        <v>2745</v>
      </c>
      <c r="E16" s="304">
        <v>720306</v>
      </c>
      <c r="F16" s="304">
        <f>2259+1129</f>
        <v>3388</v>
      </c>
      <c r="G16" s="304"/>
      <c r="H16" s="304"/>
      <c r="I16" s="304"/>
      <c r="J16" s="512">
        <f t="shared" si="0"/>
        <v>997975</v>
      </c>
    </row>
    <row r="17" spans="1:10" ht="12">
      <c r="A17" s="333" t="s">
        <v>719</v>
      </c>
      <c r="B17" s="304">
        <v>330000</v>
      </c>
      <c r="C17" s="304">
        <v>41828</v>
      </c>
      <c r="D17" s="304">
        <f>732+1464</f>
        <v>2196</v>
      </c>
      <c r="E17" s="512">
        <v>748803</v>
      </c>
      <c r="F17" s="304">
        <f>60+30</f>
        <v>90</v>
      </c>
      <c r="G17" s="304"/>
      <c r="H17" s="304"/>
      <c r="I17" s="304"/>
      <c r="J17" s="512">
        <f t="shared" si="0"/>
        <v>1122917</v>
      </c>
    </row>
    <row r="18" spans="1:10" ht="12">
      <c r="A18" s="333" t="s">
        <v>720</v>
      </c>
      <c r="B18" s="304">
        <v>327000</v>
      </c>
      <c r="C18" s="304">
        <v>256965</v>
      </c>
      <c r="D18" s="304">
        <f>732+1464</f>
        <v>2196</v>
      </c>
      <c r="E18" s="512">
        <v>1029208</v>
      </c>
      <c r="F18" s="304">
        <f>1280+641</f>
        <v>1921</v>
      </c>
      <c r="G18" s="304"/>
      <c r="H18" s="304">
        <v>1750</v>
      </c>
      <c r="I18" s="304"/>
      <c r="J18" s="512">
        <f t="shared" si="0"/>
        <v>1619040</v>
      </c>
    </row>
    <row r="19" spans="1:10" ht="12">
      <c r="A19" s="333" t="s">
        <v>721</v>
      </c>
      <c r="B19" s="304">
        <v>54000</v>
      </c>
      <c r="C19" s="304">
        <v>292840</v>
      </c>
      <c r="D19" s="304">
        <f>1830+915</f>
        <v>2745</v>
      </c>
      <c r="E19" s="304">
        <v>622355</v>
      </c>
      <c r="F19" s="304">
        <f>1174+587</f>
        <v>1761</v>
      </c>
      <c r="G19" s="304"/>
      <c r="H19" s="304">
        <v>1375</v>
      </c>
      <c r="I19" s="304"/>
      <c r="J19" s="512">
        <f t="shared" si="0"/>
        <v>975076</v>
      </c>
    </row>
    <row r="20" spans="1:10" ht="12">
      <c r="A20" s="333" t="s">
        <v>722</v>
      </c>
      <c r="B20" s="304">
        <v>148000</v>
      </c>
      <c r="C20" s="304">
        <v>240946</v>
      </c>
      <c r="D20" s="304">
        <f>2929+1463</f>
        <v>4392</v>
      </c>
      <c r="E20" s="304">
        <v>699976</v>
      </c>
      <c r="F20" s="304">
        <f>1878+940</f>
        <v>2818</v>
      </c>
      <c r="G20" s="304"/>
      <c r="H20" s="304">
        <v>1750</v>
      </c>
      <c r="I20" s="304"/>
      <c r="J20" s="512">
        <f t="shared" si="0"/>
        <v>1097882</v>
      </c>
    </row>
    <row r="21" spans="1:10" ht="12">
      <c r="A21" s="333" t="s">
        <v>723</v>
      </c>
      <c r="B21" s="304">
        <v>52000</v>
      </c>
      <c r="C21" s="304">
        <v>401644</v>
      </c>
      <c r="D21" s="304">
        <f>2563+1280</f>
        <v>3843</v>
      </c>
      <c r="E21" s="512">
        <v>1186966</v>
      </c>
      <c r="F21" s="304">
        <f>1166+583</f>
        <v>1749</v>
      </c>
      <c r="G21" s="304"/>
      <c r="H21" s="304"/>
      <c r="I21" s="304"/>
      <c r="J21" s="512">
        <f t="shared" si="0"/>
        <v>1646202</v>
      </c>
    </row>
    <row r="22" spans="1:10" ht="12">
      <c r="A22" s="333" t="s">
        <v>724</v>
      </c>
      <c r="B22" s="304">
        <v>30000</v>
      </c>
      <c r="C22" s="512">
        <v>714884</v>
      </c>
      <c r="D22" s="304">
        <f>2929+1464</f>
        <v>4393</v>
      </c>
      <c r="E22" s="512">
        <v>1432703</v>
      </c>
      <c r="F22" s="304">
        <f>1640+820</f>
        <v>2460</v>
      </c>
      <c r="G22" s="304"/>
      <c r="H22" s="304"/>
      <c r="I22" s="304"/>
      <c r="J22" s="512">
        <f t="shared" si="0"/>
        <v>2184440</v>
      </c>
    </row>
    <row r="23" spans="1:10" ht="12">
      <c r="A23" s="333" t="s">
        <v>725</v>
      </c>
      <c r="B23" s="304">
        <v>160000</v>
      </c>
      <c r="C23" s="304">
        <v>215295</v>
      </c>
      <c r="D23" s="304">
        <f>1098+549</f>
        <v>1647</v>
      </c>
      <c r="E23" s="512">
        <v>857203</v>
      </c>
      <c r="F23" s="304">
        <f>1623+811</f>
        <v>2434</v>
      </c>
      <c r="G23" s="304"/>
      <c r="H23" s="304"/>
      <c r="I23" s="304"/>
      <c r="J23" s="512">
        <f t="shared" si="0"/>
        <v>1236579</v>
      </c>
    </row>
    <row r="24" spans="1:10" ht="12">
      <c r="A24" s="333" t="s">
        <v>726</v>
      </c>
      <c r="B24" s="304">
        <v>55000</v>
      </c>
      <c r="C24" s="304">
        <v>94966</v>
      </c>
      <c r="D24" s="304">
        <f>1831+915</f>
        <v>2746</v>
      </c>
      <c r="E24" s="512">
        <v>1011659</v>
      </c>
      <c r="F24" s="304">
        <f>358+180</f>
        <v>538</v>
      </c>
      <c r="G24" s="304"/>
      <c r="H24" s="304">
        <v>3250</v>
      </c>
      <c r="I24" s="304"/>
      <c r="J24" s="512">
        <f t="shared" si="0"/>
        <v>1168159</v>
      </c>
    </row>
    <row r="25" spans="1:10" ht="12">
      <c r="A25" s="333" t="s">
        <v>727</v>
      </c>
      <c r="B25" s="304">
        <v>200000</v>
      </c>
      <c r="C25" s="304">
        <v>92348</v>
      </c>
      <c r="D25" s="304">
        <f>1098+549</f>
        <v>1647</v>
      </c>
      <c r="E25" s="304">
        <v>648704</v>
      </c>
      <c r="F25" s="304">
        <f>120+60</f>
        <v>180</v>
      </c>
      <c r="G25" s="304"/>
      <c r="H25" s="304"/>
      <c r="I25" s="304"/>
      <c r="J25" s="512">
        <f t="shared" si="0"/>
        <v>942879</v>
      </c>
    </row>
    <row r="26" spans="1:10" ht="12">
      <c r="A26" s="333" t="s">
        <v>728</v>
      </c>
      <c r="B26" s="304"/>
      <c r="C26" s="304">
        <v>185019</v>
      </c>
      <c r="D26" s="304">
        <f>1464+732</f>
        <v>2196</v>
      </c>
      <c r="E26" s="512">
        <v>857390</v>
      </c>
      <c r="F26" s="304">
        <f>2070+1036</f>
        <v>3106</v>
      </c>
      <c r="G26" s="304"/>
      <c r="H26" s="304">
        <v>1750</v>
      </c>
      <c r="I26" s="304"/>
      <c r="J26" s="512">
        <f t="shared" si="0"/>
        <v>1049461</v>
      </c>
    </row>
    <row r="27" spans="1:10" ht="12">
      <c r="A27" s="333" t="s">
        <v>729</v>
      </c>
      <c r="B27" s="304">
        <v>210000</v>
      </c>
      <c r="C27" s="304">
        <v>318891</v>
      </c>
      <c r="D27" s="304">
        <f>1831+915</f>
        <v>2746</v>
      </c>
      <c r="E27" s="512">
        <v>1175037</v>
      </c>
      <c r="F27" s="304">
        <f>3370+1684</f>
        <v>5054</v>
      </c>
      <c r="G27" s="304"/>
      <c r="H27" s="304">
        <v>3300</v>
      </c>
      <c r="I27" s="304"/>
      <c r="J27" s="512">
        <f t="shared" si="0"/>
        <v>1715028</v>
      </c>
    </row>
    <row r="28" spans="1:10" ht="12">
      <c r="A28" s="333" t="s">
        <v>730</v>
      </c>
      <c r="B28" s="304">
        <v>32000</v>
      </c>
      <c r="C28" s="304">
        <v>95605</v>
      </c>
      <c r="D28" s="304">
        <f>1164+582</f>
        <v>1746</v>
      </c>
      <c r="E28" s="512">
        <v>857793</v>
      </c>
      <c r="F28" s="304">
        <f>1964+982</f>
        <v>2946</v>
      </c>
      <c r="G28" s="304"/>
      <c r="H28" s="304">
        <v>3500</v>
      </c>
      <c r="I28" s="304"/>
      <c r="J28" s="512">
        <f t="shared" si="0"/>
        <v>993590</v>
      </c>
    </row>
    <row r="29" spans="1:10" ht="12">
      <c r="A29" s="333" t="s">
        <v>731</v>
      </c>
      <c r="B29" s="304">
        <v>702000</v>
      </c>
      <c r="C29" s="304">
        <v>309217</v>
      </c>
      <c r="D29" s="304">
        <f>1830+915</f>
        <v>2745</v>
      </c>
      <c r="E29" s="512">
        <v>1039363</v>
      </c>
      <c r="F29" s="304">
        <f>554+278</f>
        <v>832</v>
      </c>
      <c r="G29" s="304"/>
      <c r="H29" s="304">
        <v>3750</v>
      </c>
      <c r="I29" s="304"/>
      <c r="J29" s="512">
        <f t="shared" si="0"/>
        <v>2057907</v>
      </c>
    </row>
    <row r="30" spans="1:10" ht="12">
      <c r="A30" s="333" t="s">
        <v>732</v>
      </c>
      <c r="B30" s="304">
        <v>77000</v>
      </c>
      <c r="C30" s="304">
        <v>359365</v>
      </c>
      <c r="D30" s="304">
        <f>1830+915</f>
        <v>2745</v>
      </c>
      <c r="E30" s="512">
        <v>1138291</v>
      </c>
      <c r="F30" s="304">
        <f>543+271</f>
        <v>814</v>
      </c>
      <c r="G30" s="304"/>
      <c r="H30" s="304">
        <v>1750</v>
      </c>
      <c r="I30" s="304"/>
      <c r="J30" s="512">
        <f t="shared" si="0"/>
        <v>1579965</v>
      </c>
    </row>
    <row r="31" spans="1:10" ht="12">
      <c r="A31" s="333" t="s">
        <v>733</v>
      </c>
      <c r="B31" s="304">
        <v>376000</v>
      </c>
      <c r="C31" s="304">
        <v>110165</v>
      </c>
      <c r="D31" s="304">
        <f>1830+915</f>
        <v>2745</v>
      </c>
      <c r="E31" s="512">
        <v>924482</v>
      </c>
      <c r="F31" s="304">
        <f>696+348</f>
        <v>1044</v>
      </c>
      <c r="G31" s="304"/>
      <c r="H31" s="304">
        <v>1750</v>
      </c>
      <c r="I31" s="304"/>
      <c r="J31" s="512">
        <f t="shared" si="0"/>
        <v>1416186</v>
      </c>
    </row>
    <row r="32" spans="1:10" ht="12">
      <c r="A32" s="333" t="s">
        <v>734</v>
      </c>
      <c r="B32" s="304">
        <v>52900</v>
      </c>
      <c r="C32" s="304">
        <v>98777</v>
      </c>
      <c r="D32" s="304">
        <f>1830+915</f>
        <v>2745</v>
      </c>
      <c r="E32" s="512">
        <v>776814</v>
      </c>
      <c r="F32" s="304">
        <f>2484+1243</f>
        <v>3727</v>
      </c>
      <c r="G32" s="304"/>
      <c r="H32" s="304"/>
      <c r="I32" s="304"/>
      <c r="J32" s="512">
        <f t="shared" si="0"/>
        <v>934963</v>
      </c>
    </row>
    <row r="33" spans="1:10" ht="12">
      <c r="A33" s="333" t="s">
        <v>735</v>
      </c>
      <c r="B33" s="304">
        <v>315000</v>
      </c>
      <c r="C33" s="304">
        <v>188479</v>
      </c>
      <c r="D33" s="304">
        <f>3295+1647</f>
        <v>4942</v>
      </c>
      <c r="E33" s="512">
        <v>1039908</v>
      </c>
      <c r="F33" s="304">
        <f>1071+536</f>
        <v>1607</v>
      </c>
      <c r="G33" s="304"/>
      <c r="H33" s="304"/>
      <c r="I33" s="304"/>
      <c r="J33" s="512">
        <f t="shared" si="0"/>
        <v>1549936</v>
      </c>
    </row>
    <row r="34" spans="1:10" ht="12">
      <c r="A34" s="333" t="s">
        <v>736</v>
      </c>
      <c r="B34" s="304">
        <v>99000</v>
      </c>
      <c r="C34" s="304">
        <v>190310</v>
      </c>
      <c r="D34" s="304">
        <f>2929+1464</f>
        <v>4393</v>
      </c>
      <c r="E34" s="512">
        <v>1350371</v>
      </c>
      <c r="F34" s="304">
        <f>756+378</f>
        <v>1134</v>
      </c>
      <c r="G34" s="304"/>
      <c r="H34" s="304"/>
      <c r="I34" s="304"/>
      <c r="J34" s="512">
        <f t="shared" si="0"/>
        <v>1645208</v>
      </c>
    </row>
    <row r="35" spans="1:10" ht="12">
      <c r="A35" s="333" t="s">
        <v>737</v>
      </c>
      <c r="B35" s="304">
        <v>160000</v>
      </c>
      <c r="C35" s="304">
        <v>269207</v>
      </c>
      <c r="D35" s="304">
        <f>2928+1464</f>
        <v>4392</v>
      </c>
      <c r="E35" s="512">
        <v>968120</v>
      </c>
      <c r="F35" s="304">
        <f>1896+948</f>
        <v>2844</v>
      </c>
      <c r="G35" s="304"/>
      <c r="H35" s="304"/>
      <c r="I35" s="304"/>
      <c r="J35" s="512">
        <f t="shared" si="0"/>
        <v>1404563</v>
      </c>
    </row>
    <row r="36" spans="1:10" ht="12">
      <c r="A36" s="333" t="s">
        <v>738</v>
      </c>
      <c r="B36" s="304"/>
      <c r="C36" s="304">
        <v>411348</v>
      </c>
      <c r="D36" s="304">
        <f>1830+915</f>
        <v>2745</v>
      </c>
      <c r="E36" s="512">
        <v>896676</v>
      </c>
      <c r="F36" s="304">
        <f>3175+1585</f>
        <v>4760</v>
      </c>
      <c r="G36" s="304"/>
      <c r="H36" s="304"/>
      <c r="I36" s="304"/>
      <c r="J36" s="512">
        <f t="shared" si="0"/>
        <v>1315529</v>
      </c>
    </row>
    <row r="37" spans="1:10" ht="12">
      <c r="A37" s="333" t="s">
        <v>739</v>
      </c>
      <c r="B37" s="304">
        <v>435000</v>
      </c>
      <c r="C37" s="304">
        <v>373535</v>
      </c>
      <c r="D37" s="304">
        <f>5856+2928</f>
        <v>8784</v>
      </c>
      <c r="E37" s="512">
        <v>2556066</v>
      </c>
      <c r="F37" s="304">
        <f>1413+707</f>
        <v>2120</v>
      </c>
      <c r="G37" s="304"/>
      <c r="H37" s="304">
        <v>6520</v>
      </c>
      <c r="I37" s="304"/>
      <c r="J37" s="512">
        <f t="shared" si="0"/>
        <v>3382025</v>
      </c>
    </row>
    <row r="38" spans="1:10" ht="12">
      <c r="A38" s="333" t="s">
        <v>740</v>
      </c>
      <c r="B38" s="304">
        <v>255000</v>
      </c>
      <c r="C38" s="304">
        <v>416071</v>
      </c>
      <c r="D38" s="304">
        <f>1830+915</f>
        <v>2745</v>
      </c>
      <c r="E38" s="512">
        <v>921067</v>
      </c>
      <c r="F38" s="304">
        <f>727+363</f>
        <v>1090</v>
      </c>
      <c r="G38" s="304"/>
      <c r="H38" s="304"/>
      <c r="I38" s="304"/>
      <c r="J38" s="512">
        <f t="shared" si="0"/>
        <v>1595973</v>
      </c>
    </row>
    <row r="39" spans="1:10" ht="12">
      <c r="A39" s="333" t="s">
        <v>741</v>
      </c>
      <c r="B39" s="304">
        <v>381800</v>
      </c>
      <c r="C39" s="304">
        <v>141028</v>
      </c>
      <c r="D39" s="304">
        <f>2562+1281</f>
        <v>3843</v>
      </c>
      <c r="E39" s="512">
        <v>1194857</v>
      </c>
      <c r="F39" s="304">
        <f>1157+579</f>
        <v>1736</v>
      </c>
      <c r="G39" s="304"/>
      <c r="H39" s="304">
        <v>1750</v>
      </c>
      <c r="I39" s="304"/>
      <c r="J39" s="512">
        <f t="shared" si="0"/>
        <v>1725014</v>
      </c>
    </row>
    <row r="40" spans="1:10" ht="12">
      <c r="A40" s="333" t="s">
        <v>742</v>
      </c>
      <c r="B40" s="512">
        <v>168000</v>
      </c>
      <c r="C40" s="304">
        <v>540995</v>
      </c>
      <c r="D40" s="304">
        <f>1830+915</f>
        <v>2745</v>
      </c>
      <c r="E40" s="512">
        <v>1221773</v>
      </c>
      <c r="F40" s="304">
        <f>859+429</f>
        <v>1288</v>
      </c>
      <c r="G40" s="512"/>
      <c r="H40" s="512"/>
      <c r="I40" s="512"/>
      <c r="J40" s="512">
        <f t="shared" si="0"/>
        <v>1934801</v>
      </c>
    </row>
    <row r="41" spans="1:10" ht="12">
      <c r="A41" s="333" t="s">
        <v>743</v>
      </c>
      <c r="B41" s="304">
        <v>270600</v>
      </c>
      <c r="C41" s="304">
        <v>131158</v>
      </c>
      <c r="D41" s="304">
        <f>2928+1464</f>
        <v>4392</v>
      </c>
      <c r="E41" s="512">
        <v>795778</v>
      </c>
      <c r="F41" s="304">
        <f>124+62</f>
        <v>186</v>
      </c>
      <c r="G41" s="512"/>
      <c r="H41" s="512">
        <v>1750</v>
      </c>
      <c r="I41" s="512"/>
      <c r="J41" s="512">
        <f t="shared" si="0"/>
        <v>1203864</v>
      </c>
    </row>
    <row r="42" spans="1:10" ht="12">
      <c r="A42" s="333" t="s">
        <v>744</v>
      </c>
      <c r="B42" s="304"/>
      <c r="C42" s="304">
        <v>489738</v>
      </c>
      <c r="D42" s="304">
        <f>3294+1647</f>
        <v>4941</v>
      </c>
      <c r="E42" s="512">
        <v>1451997</v>
      </c>
      <c r="F42" s="304">
        <f>148+75</f>
        <v>223</v>
      </c>
      <c r="G42" s="512"/>
      <c r="H42" s="512"/>
      <c r="I42" s="512"/>
      <c r="J42" s="512">
        <f t="shared" si="0"/>
        <v>1946899</v>
      </c>
    </row>
    <row r="43" spans="1:10" ht="12">
      <c r="A43" s="333" t="s">
        <v>745</v>
      </c>
      <c r="B43" s="304">
        <f>500+1000+500</f>
        <v>2000</v>
      </c>
      <c r="C43" s="304">
        <v>126995</v>
      </c>
      <c r="D43" s="304">
        <f>1398+699</f>
        <v>2097</v>
      </c>
      <c r="E43" s="304">
        <v>343855</v>
      </c>
      <c r="F43" s="304">
        <f>120+60</f>
        <v>180</v>
      </c>
      <c r="G43" s="333"/>
      <c r="H43" s="512"/>
      <c r="I43" s="512"/>
      <c r="J43" s="512">
        <f t="shared" si="0"/>
        <v>475127</v>
      </c>
    </row>
    <row r="44" spans="1:10" ht="12">
      <c r="A44" s="513" t="s">
        <v>746</v>
      </c>
      <c r="B44" s="514">
        <f>SUM(B11:B43)</f>
        <v>6130000</v>
      </c>
      <c r="C44" s="514">
        <f>SUM(C11:C43)</f>
        <v>10733688</v>
      </c>
      <c r="D44" s="514">
        <f>SUM(D11:D43)</f>
        <v>142278</v>
      </c>
      <c r="E44" s="514">
        <f>SUM(E11:E43)</f>
        <v>46000126</v>
      </c>
      <c r="F44" s="514">
        <f>SUM(F11:F43)</f>
        <v>75000</v>
      </c>
      <c r="G44" s="512"/>
      <c r="H44" s="514">
        <f>SUM(H11:H43)</f>
        <v>33945</v>
      </c>
      <c r="I44" s="515"/>
      <c r="J44" s="514">
        <f t="shared" si="0"/>
        <v>63115037</v>
      </c>
    </row>
    <row r="45" spans="1:10" ht="12">
      <c r="A45" s="516"/>
      <c r="B45" s="517"/>
      <c r="C45" s="517"/>
      <c r="D45" s="517"/>
      <c r="E45" s="517"/>
      <c r="F45" s="517"/>
      <c r="G45" s="517"/>
      <c r="H45" s="517"/>
      <c r="I45" s="517"/>
      <c r="J45" s="517"/>
    </row>
    <row r="46" spans="1:10" ht="12">
      <c r="A46" s="516"/>
      <c r="B46" s="517"/>
      <c r="C46" s="517"/>
      <c r="D46" s="518"/>
      <c r="E46" s="517"/>
      <c r="F46" s="517"/>
      <c r="G46" s="517"/>
      <c r="H46" s="517"/>
      <c r="I46" s="517"/>
      <c r="J46" s="517"/>
    </row>
    <row r="47" spans="1:10" ht="12">
      <c r="A47" s="516"/>
      <c r="B47" s="517"/>
      <c r="C47" s="517"/>
      <c r="D47" s="517"/>
      <c r="E47" s="517"/>
      <c r="F47" s="517"/>
      <c r="G47" s="517"/>
      <c r="H47" s="517"/>
      <c r="I47" s="517"/>
      <c r="J47" s="517"/>
    </row>
    <row r="48" spans="1:9" ht="12.75">
      <c r="A48" s="519"/>
      <c r="B48" s="520"/>
      <c r="C48" s="521"/>
      <c r="D48" s="522"/>
      <c r="E48" s="522"/>
      <c r="F48" s="522"/>
      <c r="G48" s="522"/>
      <c r="H48" s="522"/>
      <c r="I48" s="522"/>
    </row>
    <row r="49" spans="1:10" s="351" customFormat="1" ht="12">
      <c r="A49" s="404" t="s">
        <v>532</v>
      </c>
      <c r="B49" s="404"/>
      <c r="C49" s="523"/>
      <c r="D49" s="524"/>
      <c r="E49" s="377"/>
      <c r="F49" s="377"/>
      <c r="G49" s="404" t="s">
        <v>666</v>
      </c>
      <c r="H49" s="524"/>
      <c r="I49" s="377"/>
      <c r="J49" s="315" t="s">
        <v>491</v>
      </c>
    </row>
    <row r="50" spans="1:10" ht="12">
      <c r="A50" s="525"/>
      <c r="B50" s="526"/>
      <c r="C50" s="526"/>
      <c r="D50" s="526"/>
      <c r="E50" s="524"/>
      <c r="F50" s="524"/>
      <c r="G50" s="527"/>
      <c r="H50" s="527"/>
      <c r="I50" s="527"/>
      <c r="J50" s="524"/>
    </row>
    <row r="62" ht="11.25">
      <c r="A62" s="300" t="s">
        <v>492</v>
      </c>
    </row>
    <row r="63" ht="11.25">
      <c r="A63" s="296" t="s">
        <v>493</v>
      </c>
    </row>
  </sheetData>
  <printOptions/>
  <pageMargins left="0.56" right="0.28" top="1" bottom="1" header="0.5" footer="0.5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47"/>
  <sheetViews>
    <sheetView workbookViewId="0" topLeftCell="G1">
      <selection activeCell="G10" sqref="G10"/>
    </sheetView>
  </sheetViews>
  <sheetFormatPr defaultColWidth="9.140625" defaultRowHeight="12.75"/>
  <cols>
    <col min="1" max="1" width="39.7109375" style="1" hidden="1" customWidth="1"/>
    <col min="2" max="2" width="15.140625" style="1" hidden="1" customWidth="1"/>
    <col min="3" max="3" width="10.28125" style="129" hidden="1" customWidth="1"/>
    <col min="4" max="4" width="13.140625" style="1" hidden="1" customWidth="1"/>
    <col min="5" max="5" width="9.421875" style="1" hidden="1" customWidth="1"/>
    <col min="6" max="6" width="15.00390625" style="1" hidden="1" customWidth="1"/>
    <col min="7" max="7" width="46.421875" style="1" customWidth="1"/>
    <col min="8" max="8" width="9.421875" style="1" customWidth="1"/>
    <col min="9" max="9" width="8.8515625" style="1" customWidth="1"/>
    <col min="10" max="11" width="9.421875" style="1" customWidth="1"/>
    <col min="12" max="12" width="9.57421875" style="1" customWidth="1"/>
    <col min="13" max="16384" width="9.140625" style="1" customWidth="1"/>
  </cols>
  <sheetData>
    <row r="1" spans="6:12" ht="11.25" customHeight="1">
      <c r="F1" s="130" t="s">
        <v>175</v>
      </c>
      <c r="L1" s="130" t="s">
        <v>175</v>
      </c>
    </row>
    <row r="2" spans="1:11" ht="14.25">
      <c r="A2" s="131" t="s">
        <v>123</v>
      </c>
      <c r="B2" s="3"/>
      <c r="C2" s="132"/>
      <c r="D2" s="133"/>
      <c r="E2" s="3"/>
      <c r="G2" s="131" t="s">
        <v>123</v>
      </c>
      <c r="H2" s="3"/>
      <c r="I2" s="131"/>
      <c r="J2" s="133"/>
      <c r="K2" s="3"/>
    </row>
    <row r="3" spans="1:11" ht="6" customHeight="1">
      <c r="A3" s="43"/>
      <c r="B3" s="29"/>
      <c r="C3" s="134"/>
      <c r="D3" s="29"/>
      <c r="E3" s="29"/>
      <c r="G3" s="43"/>
      <c r="H3" s="29"/>
      <c r="I3" s="29"/>
      <c r="J3" s="29"/>
      <c r="K3" s="29"/>
    </row>
    <row r="4" spans="1:11" ht="15.75">
      <c r="A4" s="74" t="s">
        <v>176</v>
      </c>
      <c r="B4" s="131"/>
      <c r="C4" s="132"/>
      <c r="D4" s="131"/>
      <c r="E4" s="131"/>
      <c r="G4" s="74" t="s">
        <v>177</v>
      </c>
      <c r="H4" s="131"/>
      <c r="I4" s="131"/>
      <c r="J4" s="131"/>
      <c r="K4" s="131"/>
    </row>
    <row r="5" spans="1:12" ht="12.75" customHeight="1">
      <c r="A5" s="135"/>
      <c r="B5" s="29"/>
      <c r="C5" s="134"/>
      <c r="D5" s="67"/>
      <c r="E5" s="136"/>
      <c r="F5" s="137" t="s">
        <v>97</v>
      </c>
      <c r="G5" s="135"/>
      <c r="H5" s="29"/>
      <c r="I5" s="29"/>
      <c r="J5" s="67"/>
      <c r="K5" s="136"/>
      <c r="L5" s="137" t="s">
        <v>97</v>
      </c>
    </row>
    <row r="6" spans="1:12" ht="44.25" customHeight="1">
      <c r="A6" s="7" t="s">
        <v>5</v>
      </c>
      <c r="B6" s="7" t="s">
        <v>6</v>
      </c>
      <c r="C6" s="138" t="s">
        <v>178</v>
      </c>
      <c r="D6" s="7" t="s">
        <v>7</v>
      </c>
      <c r="E6" s="7" t="s">
        <v>179</v>
      </c>
      <c r="F6" s="7" t="s">
        <v>130</v>
      </c>
      <c r="G6" s="7" t="s">
        <v>5</v>
      </c>
      <c r="H6" s="7" t="s">
        <v>6</v>
      </c>
      <c r="I6" s="7" t="s">
        <v>178</v>
      </c>
      <c r="J6" s="7" t="s">
        <v>7</v>
      </c>
      <c r="K6" s="7" t="s">
        <v>179</v>
      </c>
      <c r="L6" s="7" t="s">
        <v>130</v>
      </c>
    </row>
    <row r="7" spans="1:12" ht="11.25" customHeight="1">
      <c r="A7" s="48">
        <v>1</v>
      </c>
      <c r="B7" s="49">
        <v>2</v>
      </c>
      <c r="C7" s="139">
        <v>3</v>
      </c>
      <c r="D7" s="79">
        <v>4</v>
      </c>
      <c r="E7" s="79">
        <v>5</v>
      </c>
      <c r="F7" s="49">
        <v>6</v>
      </c>
      <c r="G7" s="48">
        <v>1</v>
      </c>
      <c r="H7" s="49">
        <v>2</v>
      </c>
      <c r="I7" s="79">
        <v>3</v>
      </c>
      <c r="J7" s="79">
        <v>4</v>
      </c>
      <c r="K7" s="79">
        <v>5</v>
      </c>
      <c r="L7" s="49">
        <v>6</v>
      </c>
    </row>
    <row r="8" spans="1:12" ht="15" customHeight="1">
      <c r="A8" s="140" t="s">
        <v>180</v>
      </c>
      <c r="B8" s="88">
        <f>SUM(B9,B17,B33)</f>
        <v>664848446</v>
      </c>
      <c r="C8" s="141">
        <v>0.925</v>
      </c>
      <c r="D8" s="88">
        <f>SUM(D9,D17,D33)</f>
        <v>422583455.79</v>
      </c>
      <c r="E8" s="19">
        <f aca="true" t="shared" si="0" ref="E8:E34">IF(ISERROR(D8/B8)," ",(D8/B8))</f>
        <v>0.635608698993635</v>
      </c>
      <c r="F8" s="88">
        <f>SUM(F9,F17,F33)</f>
        <v>55853260.79</v>
      </c>
      <c r="G8" s="140" t="s">
        <v>180</v>
      </c>
      <c r="H8" s="88">
        <f>SUM(H9,H17,H33)</f>
        <v>664848</v>
      </c>
      <c r="I8" s="142">
        <f>C8</f>
        <v>0.925</v>
      </c>
      <c r="J8" s="88">
        <f>SUM(J9,J17,J33)</f>
        <v>422583</v>
      </c>
      <c r="K8" s="143">
        <f>IF(ISERROR(ROUND(J8,0)/ROUND(H8,0))," ",(ROUND(J8,)/ROUND(H8,)))</f>
        <v>0.6356084398238394</v>
      </c>
      <c r="L8" s="88">
        <f>SUM(L9,L17,L33)</f>
        <v>55853</v>
      </c>
    </row>
    <row r="9" spans="1:12" ht="12.75">
      <c r="A9" s="90" t="s">
        <v>181</v>
      </c>
      <c r="B9" s="88">
        <f>SUM(B10,B12,B16)</f>
        <v>515297983</v>
      </c>
      <c r="C9" s="141">
        <v>0.9</v>
      </c>
      <c r="D9" s="88">
        <f>SUM(D10,D12,D16)</f>
        <v>347844758</v>
      </c>
      <c r="E9" s="19">
        <f t="shared" si="0"/>
        <v>0.6750361334133148</v>
      </c>
      <c r="F9" s="88">
        <f>SUM(F10,F12,F16)</f>
        <v>46981702</v>
      </c>
      <c r="G9" s="90" t="s">
        <v>181</v>
      </c>
      <c r="H9" s="89">
        <f>SUM(H10,H12,H16)</f>
        <v>515297</v>
      </c>
      <c r="I9" s="144">
        <f aca="true" t="shared" si="1" ref="I9:I34">C9</f>
        <v>0.9</v>
      </c>
      <c r="J9" s="89">
        <f>SUM(J10,J12,J16)</f>
        <v>347844</v>
      </c>
      <c r="K9" s="145">
        <f aca="true" t="shared" si="2" ref="K9:K34">IF(ISERROR(ROUND(J9,0)/ROUND(H9,0))," ",(ROUND(J9,)/ROUND(H9,)))</f>
        <v>0.6750359501413747</v>
      </c>
      <c r="L9" s="89">
        <f>SUM(L10,L12,L16)</f>
        <v>46980</v>
      </c>
    </row>
    <row r="10" spans="1:12" ht="15" customHeight="1">
      <c r="A10" s="91" t="s">
        <v>182</v>
      </c>
      <c r="B10" s="88">
        <f>SUM(B11)</f>
        <v>85300000</v>
      </c>
      <c r="C10" s="141">
        <v>0.938</v>
      </c>
      <c r="D10" s="88">
        <f>SUM(D11)</f>
        <v>60990432</v>
      </c>
      <c r="E10" s="19">
        <f t="shared" si="0"/>
        <v>0.7150109261430246</v>
      </c>
      <c r="F10" s="88">
        <f>SUM(F11)</f>
        <v>9311524</v>
      </c>
      <c r="G10" s="91" t="s">
        <v>182</v>
      </c>
      <c r="H10" s="92">
        <f>SUM(H11)</f>
        <v>85300</v>
      </c>
      <c r="I10" s="146">
        <f t="shared" si="1"/>
        <v>0.938</v>
      </c>
      <c r="J10" s="92">
        <f>SUM(J11)</f>
        <v>60990</v>
      </c>
      <c r="K10" s="147">
        <f t="shared" si="2"/>
        <v>0.7150058616647128</v>
      </c>
      <c r="L10" s="92">
        <f>SUM(L11)</f>
        <v>9311</v>
      </c>
    </row>
    <row r="11" spans="1:12" ht="12.75">
      <c r="A11" s="21" t="s">
        <v>183</v>
      </c>
      <c r="B11" s="96">
        <v>85300000</v>
      </c>
      <c r="C11" s="148">
        <v>0.938</v>
      </c>
      <c r="D11" s="96">
        <v>60990432</v>
      </c>
      <c r="E11" s="19">
        <f t="shared" si="0"/>
        <v>0.7150109261430246</v>
      </c>
      <c r="F11" s="96">
        <f>D11-'[1]Jūlijs'!D11</f>
        <v>9311524</v>
      </c>
      <c r="G11" s="21" t="s">
        <v>183</v>
      </c>
      <c r="H11" s="96">
        <f>ROUND(B11/1000,0)</f>
        <v>85300</v>
      </c>
      <c r="I11" s="149">
        <f t="shared" si="1"/>
        <v>0.938</v>
      </c>
      <c r="J11" s="96">
        <f>ROUND(D11/1000,0)</f>
        <v>60990</v>
      </c>
      <c r="K11" s="150">
        <f t="shared" si="2"/>
        <v>0.7150058616647128</v>
      </c>
      <c r="L11" s="96">
        <f>J11-'[1]Jūlijs'!J11</f>
        <v>9311</v>
      </c>
    </row>
    <row r="12" spans="1:12" ht="12.75">
      <c r="A12" s="91" t="s">
        <v>184</v>
      </c>
      <c r="B12" s="88">
        <f>SUM(B13:B15)</f>
        <v>429997983</v>
      </c>
      <c r="C12" s="141">
        <v>0.858</v>
      </c>
      <c r="D12" s="88">
        <f>SUM(D13:D15)</f>
        <v>282480444</v>
      </c>
      <c r="E12" s="19">
        <f t="shared" si="0"/>
        <v>0.6569343465966909</v>
      </c>
      <c r="F12" s="88">
        <f>SUM(F13:F15)</f>
        <v>38261923</v>
      </c>
      <c r="G12" s="91" t="s">
        <v>184</v>
      </c>
      <c r="H12" s="92">
        <f>SUM(H13:H15)</f>
        <v>429997</v>
      </c>
      <c r="I12" s="146">
        <f t="shared" si="1"/>
        <v>0.858</v>
      </c>
      <c r="J12" s="92">
        <f>SUM(J13:J15)</f>
        <v>282480</v>
      </c>
      <c r="K12" s="147">
        <f t="shared" si="2"/>
        <v>0.6569348158242965</v>
      </c>
      <c r="L12" s="92">
        <f>SUM(L13:L15)</f>
        <v>38261</v>
      </c>
    </row>
    <row r="13" spans="1:12" ht="12.75">
      <c r="A13" s="21" t="s">
        <v>185</v>
      </c>
      <c r="B13" s="96">
        <v>307331592</v>
      </c>
      <c r="C13" s="148">
        <v>0.889</v>
      </c>
      <c r="D13" s="96">
        <v>200729151</v>
      </c>
      <c r="E13" s="19">
        <f t="shared" si="0"/>
        <v>0.6531354283942277</v>
      </c>
      <c r="F13" s="96">
        <f>D13-'[1]Jūlijs'!D13</f>
        <v>26648647</v>
      </c>
      <c r="G13" s="21" t="s">
        <v>185</v>
      </c>
      <c r="H13" s="96">
        <f>ROUND(B13/1000,0)-1</f>
        <v>307331</v>
      </c>
      <c r="I13" s="149">
        <f t="shared" si="1"/>
        <v>0.889</v>
      </c>
      <c r="J13" s="96">
        <f>ROUND(D13/1000,0)</f>
        <v>200729</v>
      </c>
      <c r="K13" s="150">
        <f t="shared" si="2"/>
        <v>0.6531361951771868</v>
      </c>
      <c r="L13" s="96">
        <f>J13-'[1]Jūlijs'!J13</f>
        <v>26648</v>
      </c>
    </row>
    <row r="14" spans="1:12" ht="12.75">
      <c r="A14" s="21" t="s">
        <v>186</v>
      </c>
      <c r="B14" s="96">
        <v>107751391</v>
      </c>
      <c r="C14" s="148">
        <v>0.882</v>
      </c>
      <c r="D14" s="96">
        <v>71379952</v>
      </c>
      <c r="E14" s="19">
        <f t="shared" si="0"/>
        <v>0.6624503993642179</v>
      </c>
      <c r="F14" s="96">
        <f>D14-'[1]Jūlijs'!D14</f>
        <v>10313983</v>
      </c>
      <c r="G14" s="21" t="s">
        <v>186</v>
      </c>
      <c r="H14" s="96">
        <f>ROUND(B14/1000,0)</f>
        <v>107751</v>
      </c>
      <c r="I14" s="149">
        <f t="shared" si="1"/>
        <v>0.882</v>
      </c>
      <c r="J14" s="96">
        <f>ROUND(D14/1000,0)</f>
        <v>71380</v>
      </c>
      <c r="K14" s="150">
        <f t="shared" si="2"/>
        <v>0.6624532486937477</v>
      </c>
      <c r="L14" s="96">
        <f>J14-'[1]Jūlijs'!J14</f>
        <v>10314</v>
      </c>
    </row>
    <row r="15" spans="1:12" ht="15.75" customHeight="1">
      <c r="A15" s="151" t="s">
        <v>187</v>
      </c>
      <c r="B15" s="96">
        <v>14915000</v>
      </c>
      <c r="C15" s="148">
        <v>0.802</v>
      </c>
      <c r="D15" s="96">
        <v>10371341</v>
      </c>
      <c r="E15" s="19">
        <f t="shared" si="0"/>
        <v>0.6953631243714381</v>
      </c>
      <c r="F15" s="96">
        <f>D15-'[1]Jūlijs'!D15</f>
        <v>1299293</v>
      </c>
      <c r="G15" s="151" t="s">
        <v>187</v>
      </c>
      <c r="H15" s="96">
        <f>ROUND(B15/1000,0)</f>
        <v>14915</v>
      </c>
      <c r="I15" s="149">
        <f t="shared" si="1"/>
        <v>0.802</v>
      </c>
      <c r="J15" s="96">
        <f>ROUND(D15/1000,0)</f>
        <v>10371</v>
      </c>
      <c r="K15" s="150">
        <f t="shared" si="2"/>
        <v>0.6953402614817298</v>
      </c>
      <c r="L15" s="96">
        <f>J15-'[1]Jūlijs'!J15</f>
        <v>1299</v>
      </c>
    </row>
    <row r="16" spans="1:12" ht="17.25" customHeight="1">
      <c r="A16" s="105" t="s">
        <v>188</v>
      </c>
      <c r="B16" s="96"/>
      <c r="C16" s="148"/>
      <c r="D16" s="96">
        <f>1919291-324533+1097412+1681712</f>
        <v>4373882</v>
      </c>
      <c r="E16" s="19" t="str">
        <f t="shared" si="0"/>
        <v> </v>
      </c>
      <c r="F16" s="96">
        <f>D16-'[1]Jūlijs'!D16</f>
        <v>-591745</v>
      </c>
      <c r="G16" s="105" t="s">
        <v>188</v>
      </c>
      <c r="H16" s="92">
        <f>ROUND(B16/1000,0)</f>
        <v>0</v>
      </c>
      <c r="I16" s="146">
        <f t="shared" si="1"/>
        <v>0</v>
      </c>
      <c r="J16" s="92">
        <f>ROUND(D16/1000,0)</f>
        <v>4374</v>
      </c>
      <c r="K16" s="147" t="str">
        <f t="shared" si="2"/>
        <v> </v>
      </c>
      <c r="L16" s="96">
        <f>J16-'[1]Jūlijs'!J16</f>
        <v>-592</v>
      </c>
    </row>
    <row r="17" spans="1:12" ht="15.75" customHeight="1">
      <c r="A17" s="90" t="s">
        <v>189</v>
      </c>
      <c r="B17" s="88">
        <f>SUM(B18,B19,B20,B21,B22,B23,B24,B28,B30)</f>
        <v>83205727</v>
      </c>
      <c r="C17" s="141">
        <v>1.033</v>
      </c>
      <c r="D17" s="88">
        <f>SUM(D18,D19,D20,D21,D22,D23,D24,D28,D30)</f>
        <v>36846777</v>
      </c>
      <c r="E17" s="19">
        <f t="shared" si="0"/>
        <v>0.44283943339621323</v>
      </c>
      <c r="F17" s="88">
        <f>SUM(F18,F19,F20,F21,F22,F23,F24,F28,F30)</f>
        <v>4141055</v>
      </c>
      <c r="G17" s="90" t="s">
        <v>189</v>
      </c>
      <c r="H17" s="89">
        <f>SUM(H18,H19,H20,H21,H22,H23,H24,H28,H30)</f>
        <v>83206</v>
      </c>
      <c r="I17" s="144">
        <f t="shared" si="1"/>
        <v>1.033</v>
      </c>
      <c r="J17" s="89">
        <f>SUM(J18,J19,J20,J21,J22,J23,J24,J28,J30)</f>
        <v>36847</v>
      </c>
      <c r="K17" s="145">
        <f t="shared" si="2"/>
        <v>0.4428406605292888</v>
      </c>
      <c r="L17" s="89">
        <f>SUM(L18,L19,L20,L21,L22,L23,L24,L28,L30)</f>
        <v>4142</v>
      </c>
    </row>
    <row r="18" spans="1:12" ht="15.75" customHeight="1">
      <c r="A18" s="63" t="s">
        <v>190</v>
      </c>
      <c r="B18" s="96">
        <v>3464000</v>
      </c>
      <c r="C18" s="148">
        <v>3.464</v>
      </c>
      <c r="D18" s="96">
        <v>4208068</v>
      </c>
      <c r="E18" s="19">
        <f t="shared" si="0"/>
        <v>1.2148002309468822</v>
      </c>
      <c r="F18" s="96">
        <f>D18-'[1]Jūlijs'!D18</f>
        <v>826472</v>
      </c>
      <c r="G18" s="63" t="s">
        <v>190</v>
      </c>
      <c r="H18" s="96">
        <f aca="true" t="shared" si="3" ref="H18:H23">ROUND(B18/1000,0)</f>
        <v>3464</v>
      </c>
      <c r="I18" s="149">
        <f t="shared" si="1"/>
        <v>3.464</v>
      </c>
      <c r="J18" s="96">
        <f aca="true" t="shared" si="4" ref="J18:J29">ROUND(D18/1000,0)</f>
        <v>4208</v>
      </c>
      <c r="K18" s="150">
        <f t="shared" si="2"/>
        <v>1.2147806004618937</v>
      </c>
      <c r="L18" s="96">
        <f>J18-'[1]Jūlijs'!J18</f>
        <v>827</v>
      </c>
    </row>
    <row r="19" spans="1:12" ht="15" customHeight="1">
      <c r="A19" s="21" t="s">
        <v>191</v>
      </c>
      <c r="B19" s="96">
        <v>8219605</v>
      </c>
      <c r="C19" s="148">
        <v>1.173</v>
      </c>
      <c r="D19" s="96">
        <f>1385001+3655841</f>
        <v>5040842</v>
      </c>
      <c r="E19" s="19">
        <f t="shared" si="0"/>
        <v>0.6132705890368211</v>
      </c>
      <c r="F19" s="96">
        <f>D19-'[1]Jūlijs'!D19</f>
        <v>653754</v>
      </c>
      <c r="G19" s="21" t="s">
        <v>191</v>
      </c>
      <c r="H19" s="96">
        <f t="shared" si="3"/>
        <v>8220</v>
      </c>
      <c r="I19" s="149">
        <f t="shared" si="1"/>
        <v>1.173</v>
      </c>
      <c r="J19" s="96">
        <f t="shared" si="4"/>
        <v>5041</v>
      </c>
      <c r="K19" s="150">
        <f t="shared" si="2"/>
        <v>0.6132603406326034</v>
      </c>
      <c r="L19" s="96">
        <f>J19-'[1]Jūlijs'!J19</f>
        <v>654</v>
      </c>
    </row>
    <row r="20" spans="1:12" ht="30" customHeight="1">
      <c r="A20" s="63" t="s">
        <v>192</v>
      </c>
      <c r="B20" s="96">
        <v>10860000</v>
      </c>
      <c r="C20" s="148">
        <v>1</v>
      </c>
      <c r="D20" s="96">
        <v>6439841</v>
      </c>
      <c r="E20" s="19">
        <f t="shared" si="0"/>
        <v>0.5929872007366482</v>
      </c>
      <c r="F20" s="96">
        <f>D20-'[1]Jūlijs'!D20</f>
        <v>631993</v>
      </c>
      <c r="G20" s="63" t="s">
        <v>192</v>
      </c>
      <c r="H20" s="96">
        <f t="shared" si="3"/>
        <v>10860</v>
      </c>
      <c r="I20" s="149">
        <f t="shared" si="1"/>
        <v>1</v>
      </c>
      <c r="J20" s="96">
        <f t="shared" si="4"/>
        <v>6440</v>
      </c>
      <c r="K20" s="150">
        <f t="shared" si="2"/>
        <v>0.5930018416206262</v>
      </c>
      <c r="L20" s="96">
        <f>J20-'[1]Jūlijs'!J20</f>
        <v>632</v>
      </c>
    </row>
    <row r="21" spans="1:12" ht="25.5" customHeight="1">
      <c r="A21" s="63" t="s">
        <v>193</v>
      </c>
      <c r="B21" s="96">
        <v>450000</v>
      </c>
      <c r="C21" s="148">
        <v>1.125</v>
      </c>
      <c r="D21" s="96">
        <v>417894</v>
      </c>
      <c r="E21" s="19">
        <f t="shared" si="0"/>
        <v>0.9286533333333333</v>
      </c>
      <c r="F21" s="96">
        <f>D21-'[1]Jūlijs'!D21</f>
        <v>53446</v>
      </c>
      <c r="G21" s="63" t="s">
        <v>193</v>
      </c>
      <c r="H21" s="96">
        <f t="shared" si="3"/>
        <v>450</v>
      </c>
      <c r="I21" s="149">
        <f t="shared" si="1"/>
        <v>1.125</v>
      </c>
      <c r="J21" s="96">
        <f t="shared" si="4"/>
        <v>418</v>
      </c>
      <c r="K21" s="150">
        <f t="shared" si="2"/>
        <v>0.9288888888888889</v>
      </c>
      <c r="L21" s="96">
        <f>J21-'[1]Jūlijs'!J21</f>
        <v>54</v>
      </c>
    </row>
    <row r="22" spans="1:12" ht="15.75" customHeight="1">
      <c r="A22" s="63" t="s">
        <v>194</v>
      </c>
      <c r="B22" s="96">
        <v>702000</v>
      </c>
      <c r="C22" s="148">
        <v>2.808</v>
      </c>
      <c r="D22" s="96">
        <v>683709</v>
      </c>
      <c r="E22" s="19">
        <f t="shared" si="0"/>
        <v>0.9739444444444444</v>
      </c>
      <c r="F22" s="96">
        <f>D22-'[1]Jūlijs'!D22</f>
        <v>6642</v>
      </c>
      <c r="G22" s="63" t="s">
        <v>194</v>
      </c>
      <c r="H22" s="96">
        <f t="shared" si="3"/>
        <v>702</v>
      </c>
      <c r="I22" s="149">
        <f t="shared" si="1"/>
        <v>2.808</v>
      </c>
      <c r="J22" s="96">
        <f t="shared" si="4"/>
        <v>684</v>
      </c>
      <c r="K22" s="150">
        <f t="shared" si="2"/>
        <v>0.9743589743589743</v>
      </c>
      <c r="L22" s="96">
        <f>J22-'[1]Jūlijs'!J22</f>
        <v>7</v>
      </c>
    </row>
    <row r="23" spans="1:12" ht="15.75" customHeight="1">
      <c r="A23" s="21" t="s">
        <v>195</v>
      </c>
      <c r="B23" s="96">
        <v>4250000</v>
      </c>
      <c r="C23" s="148">
        <v>1</v>
      </c>
      <c r="D23" s="96">
        <v>3298736</v>
      </c>
      <c r="E23" s="19">
        <f t="shared" si="0"/>
        <v>0.7761731764705883</v>
      </c>
      <c r="F23" s="96">
        <f>D23-'[1]Jūlijs'!D23</f>
        <v>499054</v>
      </c>
      <c r="G23" s="21" t="s">
        <v>195</v>
      </c>
      <c r="H23" s="96">
        <f t="shared" si="3"/>
        <v>4250</v>
      </c>
      <c r="I23" s="149">
        <f t="shared" si="1"/>
        <v>1</v>
      </c>
      <c r="J23" s="96">
        <f t="shared" si="4"/>
        <v>3299</v>
      </c>
      <c r="K23" s="150">
        <f t="shared" si="2"/>
        <v>0.776235294117647</v>
      </c>
      <c r="L23" s="96">
        <f>J23-'[1]Jūlijs'!J23</f>
        <v>499</v>
      </c>
    </row>
    <row r="24" spans="1:12" ht="15.75" customHeight="1">
      <c r="A24" s="21" t="s">
        <v>196</v>
      </c>
      <c r="B24" s="96">
        <f>SUM(B25,B26,B27)</f>
        <v>12496253</v>
      </c>
      <c r="C24" s="148">
        <v>0.76</v>
      </c>
      <c r="D24" s="96">
        <f>775+9+2268642+4234+8196550+208603+7388</f>
        <v>10686201</v>
      </c>
      <c r="E24" s="19">
        <f t="shared" si="0"/>
        <v>0.855152420489566</v>
      </c>
      <c r="F24" s="96">
        <f>D24-'[1]Jūlijs'!D24</f>
        <v>1455204</v>
      </c>
      <c r="G24" s="21" t="s">
        <v>196</v>
      </c>
      <c r="H24" s="96">
        <f>SUM(H25,H26,H27)</f>
        <v>12496</v>
      </c>
      <c r="I24" s="149">
        <f t="shared" si="1"/>
        <v>0.76</v>
      </c>
      <c r="J24" s="96">
        <f t="shared" si="4"/>
        <v>10686</v>
      </c>
      <c r="K24" s="150">
        <f t="shared" si="2"/>
        <v>0.8551536491677336</v>
      </c>
      <c r="L24" s="96">
        <f>J24-'[1]Jūlijs'!J24</f>
        <v>1455</v>
      </c>
    </row>
    <row r="25" spans="1:12" ht="27" customHeight="1">
      <c r="A25" s="100" t="s">
        <v>197</v>
      </c>
      <c r="B25" s="96">
        <v>6000000</v>
      </c>
      <c r="C25" s="148">
        <v>0.508</v>
      </c>
      <c r="D25" s="96">
        <v>5364385</v>
      </c>
      <c r="E25" s="19">
        <f t="shared" si="0"/>
        <v>0.8940641666666667</v>
      </c>
      <c r="F25" s="96">
        <f>D25-'[1]Jūlijs'!D25</f>
        <v>821626</v>
      </c>
      <c r="G25" s="100" t="s">
        <v>197</v>
      </c>
      <c r="H25" s="102">
        <f>ROUND(B25/1000,0)</f>
        <v>6000</v>
      </c>
      <c r="I25" s="152">
        <f t="shared" si="1"/>
        <v>0.508</v>
      </c>
      <c r="J25" s="102">
        <f t="shared" si="4"/>
        <v>5364</v>
      </c>
      <c r="K25" s="153">
        <f t="shared" si="2"/>
        <v>0.894</v>
      </c>
      <c r="L25" s="102">
        <f>J25-'[1]Jūlijs'!J25</f>
        <v>821</v>
      </c>
    </row>
    <row r="26" spans="1:12" ht="25.5" customHeight="1">
      <c r="A26" s="100" t="s">
        <v>198</v>
      </c>
      <c r="B26" s="96">
        <v>1201200</v>
      </c>
      <c r="C26" s="148">
        <v>1</v>
      </c>
      <c r="D26" s="96">
        <v>800796</v>
      </c>
      <c r="E26" s="19">
        <f t="shared" si="0"/>
        <v>0.6666633366633367</v>
      </c>
      <c r="F26" s="96">
        <f>D26-'[1]Maijs'!D26</f>
        <v>400397</v>
      </c>
      <c r="G26" s="100" t="s">
        <v>198</v>
      </c>
      <c r="H26" s="102">
        <f>ROUND(B26/1000,0)</f>
        <v>1201</v>
      </c>
      <c r="I26" s="152">
        <f t="shared" si="1"/>
        <v>1</v>
      </c>
      <c r="J26" s="102">
        <f t="shared" si="4"/>
        <v>801</v>
      </c>
      <c r="K26" s="153">
        <f t="shared" si="2"/>
        <v>0.6669442131557036</v>
      </c>
      <c r="L26" s="102">
        <f>J26-'[1]Jūlijs'!J26</f>
        <v>200</v>
      </c>
    </row>
    <row r="27" spans="1:12" ht="18" customHeight="1">
      <c r="A27" s="100" t="s">
        <v>199</v>
      </c>
      <c r="B27" s="96">
        <v>5295053</v>
      </c>
      <c r="C27" s="148">
        <v>0.772</v>
      </c>
      <c r="D27" s="96">
        <v>4521020</v>
      </c>
      <c r="E27" s="19">
        <f t="shared" si="0"/>
        <v>0.8538195934960424</v>
      </c>
      <c r="F27" s="96">
        <f>D27-'[1]Jūlijs'!D27</f>
        <v>641985</v>
      </c>
      <c r="G27" s="100" t="s">
        <v>199</v>
      </c>
      <c r="H27" s="102">
        <f>ROUND(B27/1000,0)</f>
        <v>5295</v>
      </c>
      <c r="I27" s="152">
        <f t="shared" si="1"/>
        <v>0.772</v>
      </c>
      <c r="J27" s="102">
        <f t="shared" si="4"/>
        <v>4521</v>
      </c>
      <c r="K27" s="153">
        <f t="shared" si="2"/>
        <v>0.8538243626062323</v>
      </c>
      <c r="L27" s="102">
        <f>J27-'[1]Jūlijs'!J27</f>
        <v>642</v>
      </c>
    </row>
    <row r="28" spans="1:12" ht="15" customHeight="1">
      <c r="A28" s="63" t="s">
        <v>200</v>
      </c>
      <c r="B28" s="96">
        <v>38313869</v>
      </c>
      <c r="C28" s="148">
        <v>1.058</v>
      </c>
      <c r="D28" s="96">
        <v>3512000</v>
      </c>
      <c r="E28" s="19">
        <f t="shared" si="0"/>
        <v>0.09166393506226166</v>
      </c>
      <c r="F28" s="96">
        <f>D28-'[1]Jūlijs'!D28</f>
        <v>0</v>
      </c>
      <c r="G28" s="63" t="s">
        <v>200</v>
      </c>
      <c r="H28" s="96">
        <f>ROUND(B28/1000,0)</f>
        <v>38314</v>
      </c>
      <c r="I28" s="149">
        <f t="shared" si="1"/>
        <v>1.058</v>
      </c>
      <c r="J28" s="96">
        <f t="shared" si="4"/>
        <v>3512</v>
      </c>
      <c r="K28" s="150">
        <f t="shared" si="2"/>
        <v>0.09166362165265961</v>
      </c>
      <c r="L28" s="96">
        <f>J28-'[1]Jūlijs'!J28</f>
        <v>0</v>
      </c>
    </row>
    <row r="29" spans="1:12" ht="27" customHeight="1">
      <c r="A29" s="100" t="s">
        <v>201</v>
      </c>
      <c r="B29" s="96">
        <v>38313869</v>
      </c>
      <c r="C29" s="148">
        <v>1.058</v>
      </c>
      <c r="D29" s="96">
        <v>3512000</v>
      </c>
      <c r="E29" s="19">
        <f t="shared" si="0"/>
        <v>0.09166393506226166</v>
      </c>
      <c r="F29" s="96">
        <f>D29-'[1]Jūlijs'!D29</f>
        <v>0</v>
      </c>
      <c r="G29" s="100" t="s">
        <v>201</v>
      </c>
      <c r="H29" s="102">
        <f>ROUND(B29/1000,0)</f>
        <v>38314</v>
      </c>
      <c r="I29" s="152">
        <f t="shared" si="1"/>
        <v>1.058</v>
      </c>
      <c r="J29" s="154">
        <f t="shared" si="4"/>
        <v>3512</v>
      </c>
      <c r="K29" s="153">
        <f t="shared" si="2"/>
        <v>0.09166362165265961</v>
      </c>
      <c r="L29" s="96">
        <f>J29-'[1]Jūlijs'!J29</f>
        <v>0</v>
      </c>
    </row>
    <row r="30" spans="1:12" ht="15" customHeight="1">
      <c r="A30" s="63" t="s">
        <v>202</v>
      </c>
      <c r="B30" s="96">
        <f>SUM(B31,B32)</f>
        <v>4450000</v>
      </c>
      <c r="C30" s="148">
        <v>1</v>
      </c>
      <c r="D30" s="96">
        <f>SUM(D31,D32)</f>
        <v>2559486</v>
      </c>
      <c r="E30" s="19">
        <f t="shared" si="0"/>
        <v>0.575165393258427</v>
      </c>
      <c r="F30" s="96">
        <f>D30-'[1]Jūlijs'!D30</f>
        <v>14490</v>
      </c>
      <c r="G30" s="63" t="s">
        <v>202</v>
      </c>
      <c r="H30" s="96">
        <f>SUM(H31,H32)</f>
        <v>4450</v>
      </c>
      <c r="I30" s="149">
        <f t="shared" si="1"/>
        <v>1</v>
      </c>
      <c r="J30" s="96">
        <f>SUM(J31,J32)</f>
        <v>2559</v>
      </c>
      <c r="K30" s="150">
        <f t="shared" si="2"/>
        <v>0.5750561797752809</v>
      </c>
      <c r="L30" s="96">
        <f>J30-'[1]Jūlijs'!J30</f>
        <v>14</v>
      </c>
    </row>
    <row r="31" spans="1:12" ht="26.25" customHeight="1">
      <c r="A31" s="100" t="s">
        <v>203</v>
      </c>
      <c r="B31" s="96">
        <v>1450000</v>
      </c>
      <c r="C31" s="148">
        <v>1</v>
      </c>
      <c r="D31" s="96">
        <v>1462500</v>
      </c>
      <c r="E31" s="19">
        <f t="shared" si="0"/>
        <v>1.0086206896551724</v>
      </c>
      <c r="F31" s="96">
        <f>D31-'[1]Jūlijs'!D31</f>
        <v>0</v>
      </c>
      <c r="G31" s="100" t="s">
        <v>203</v>
      </c>
      <c r="H31" s="102">
        <f>ROUND(B31/1000,0)</f>
        <v>1450</v>
      </c>
      <c r="I31" s="152">
        <f t="shared" si="1"/>
        <v>1</v>
      </c>
      <c r="J31" s="102">
        <f>ROUND(D31/1000,0)</f>
        <v>1463</v>
      </c>
      <c r="K31" s="153">
        <f t="shared" si="2"/>
        <v>1.0089655172413794</v>
      </c>
      <c r="L31" s="102">
        <f>J31-'[1]Jūlijs'!J31</f>
        <v>0</v>
      </c>
    </row>
    <row r="32" spans="1:12" ht="30.75" customHeight="1">
      <c r="A32" s="100" t="s">
        <v>204</v>
      </c>
      <c r="B32" s="96">
        <v>3000000</v>
      </c>
      <c r="C32" s="148">
        <v>1</v>
      </c>
      <c r="D32" s="96">
        <v>1096986</v>
      </c>
      <c r="E32" s="19">
        <f t="shared" si="0"/>
        <v>0.365662</v>
      </c>
      <c r="F32" s="96">
        <f>D32-'[1]Jūlijs'!D32</f>
        <v>14490</v>
      </c>
      <c r="G32" s="100" t="s">
        <v>204</v>
      </c>
      <c r="H32" s="102">
        <f>ROUND(B32/1000,0)</f>
        <v>3000</v>
      </c>
      <c r="I32" s="152">
        <f t="shared" si="1"/>
        <v>1</v>
      </c>
      <c r="J32" s="102">
        <f>ROUND(D32/1000,0)-1</f>
        <v>1096</v>
      </c>
      <c r="K32" s="153">
        <f t="shared" si="2"/>
        <v>0.36533333333333334</v>
      </c>
      <c r="L32" s="102">
        <f>J32-'[1]Jūlijs'!J32</f>
        <v>14</v>
      </c>
    </row>
    <row r="33" spans="1:12" ht="12.75">
      <c r="A33" s="107" t="s">
        <v>205</v>
      </c>
      <c r="B33" s="88">
        <f>SUM(B34)</f>
        <v>66344736</v>
      </c>
      <c r="C33" s="141">
        <v>1.019</v>
      </c>
      <c r="D33" s="88">
        <f>SUM(D34)</f>
        <v>37891920.79</v>
      </c>
      <c r="E33" s="19">
        <f t="shared" si="0"/>
        <v>0.5711368086535155</v>
      </c>
      <c r="F33" s="88">
        <f>SUM(F34)</f>
        <v>4730503.789999999</v>
      </c>
      <c r="G33" s="107" t="s">
        <v>205</v>
      </c>
      <c r="H33" s="89">
        <f>SUM(H34)</f>
        <v>66345</v>
      </c>
      <c r="I33" s="144">
        <f t="shared" si="1"/>
        <v>1.019</v>
      </c>
      <c r="J33" s="89">
        <f>SUM(J34)</f>
        <v>37892</v>
      </c>
      <c r="K33" s="145">
        <f t="shared" si="2"/>
        <v>0.5711357298967519</v>
      </c>
      <c r="L33" s="92">
        <f>J33-'[1]Jūlijs'!J33</f>
        <v>4731</v>
      </c>
    </row>
    <row r="34" spans="1:12" ht="12.75">
      <c r="A34" s="63" t="s">
        <v>206</v>
      </c>
      <c r="B34" s="96">
        <v>66344736</v>
      </c>
      <c r="C34" s="148">
        <v>1.019</v>
      </c>
      <c r="D34" s="96">
        <f>37792157+99763.79</f>
        <v>37891920.79</v>
      </c>
      <c r="E34" s="19">
        <f t="shared" si="0"/>
        <v>0.5711368086535155</v>
      </c>
      <c r="F34" s="96">
        <f>D34-'[1]Jūlijs'!D34</f>
        <v>4730503.789999999</v>
      </c>
      <c r="G34" s="63" t="s">
        <v>206</v>
      </c>
      <c r="H34" s="96">
        <f>ROUND(B34/1000,0)</f>
        <v>66345</v>
      </c>
      <c r="I34" s="149">
        <f t="shared" si="1"/>
        <v>1.019</v>
      </c>
      <c r="J34" s="96">
        <f>ROUND(D34/1000,0)</f>
        <v>37892</v>
      </c>
      <c r="K34" s="150">
        <f t="shared" si="2"/>
        <v>0.5711357298967519</v>
      </c>
      <c r="L34" s="96">
        <f>J34-'[1]Jūlijs'!J34</f>
        <v>4731</v>
      </c>
    </row>
    <row r="35" spans="1:12" ht="4.5" customHeight="1">
      <c r="A35" s="113"/>
      <c r="B35" s="114"/>
      <c r="C35" s="155"/>
      <c r="D35" s="114">
        <v>0.3</v>
      </c>
      <c r="E35" s="156"/>
      <c r="F35" s="96"/>
      <c r="G35" s="113"/>
      <c r="H35" s="114"/>
      <c r="I35" s="157"/>
      <c r="J35" s="114"/>
      <c r="K35" s="156"/>
      <c r="L35" s="158"/>
    </row>
    <row r="36" spans="1:11" ht="12.75">
      <c r="A36" s="159" t="s">
        <v>207</v>
      </c>
      <c r="B36" s="114"/>
      <c r="C36" s="155"/>
      <c r="D36" s="114"/>
      <c r="E36" s="156"/>
      <c r="G36" s="159" t="s">
        <v>208</v>
      </c>
      <c r="H36" s="114"/>
      <c r="I36" s="157"/>
      <c r="J36" s="114"/>
      <c r="K36" s="156"/>
    </row>
    <row r="37" spans="1:11" ht="12.75">
      <c r="A37" s="159" t="s">
        <v>209</v>
      </c>
      <c r="B37" s="114"/>
      <c r="C37" s="155"/>
      <c r="D37" s="114"/>
      <c r="E37" s="156"/>
      <c r="G37" s="159" t="s">
        <v>210</v>
      </c>
      <c r="H37" s="114"/>
      <c r="I37" s="157"/>
      <c r="J37" s="114"/>
      <c r="K37" s="156"/>
    </row>
    <row r="38" spans="1:11" ht="13.5" customHeight="1">
      <c r="A38" s="159"/>
      <c r="B38" s="123"/>
      <c r="C38" s="132"/>
      <c r="D38" s="160"/>
      <c r="E38" s="160"/>
      <c r="G38" s="159"/>
      <c r="H38" s="123"/>
      <c r="I38" s="123"/>
      <c r="J38" s="160"/>
      <c r="K38" s="160"/>
    </row>
    <row r="39" spans="1:11" ht="29.25" customHeight="1">
      <c r="A39" s="29" t="s">
        <v>211</v>
      </c>
      <c r="B39" s="121"/>
      <c r="C39" s="134"/>
      <c r="D39" s="65"/>
      <c r="E39" s="66"/>
      <c r="H39" s="121"/>
      <c r="I39" s="69"/>
      <c r="J39" s="65"/>
      <c r="K39" s="66"/>
    </row>
    <row r="40" spans="1:11" ht="32.25" customHeight="1">
      <c r="A40" s="159"/>
      <c r="B40" s="126"/>
      <c r="C40" s="134"/>
      <c r="D40" s="69"/>
      <c r="E40" s="66"/>
      <c r="G40" s="159"/>
      <c r="H40" s="126"/>
      <c r="I40" s="69"/>
      <c r="J40" s="69"/>
      <c r="K40" s="66"/>
    </row>
    <row r="41" spans="1:11" ht="12.75">
      <c r="A41" s="29" t="s">
        <v>89</v>
      </c>
      <c r="B41" s="29"/>
      <c r="C41" s="134"/>
      <c r="D41" s="29"/>
      <c r="E41" s="29"/>
      <c r="G41" s="29" t="s">
        <v>211</v>
      </c>
      <c r="H41" s="29"/>
      <c r="I41" s="29"/>
      <c r="J41" s="29"/>
      <c r="K41" s="29"/>
    </row>
    <row r="42" spans="1:5" ht="12.75">
      <c r="A42" s="29" t="s">
        <v>90</v>
      </c>
      <c r="B42" s="29"/>
      <c r="C42" s="134"/>
      <c r="D42" s="29"/>
      <c r="E42" s="29"/>
    </row>
    <row r="43" spans="1:11" ht="12.75" hidden="1">
      <c r="A43" s="29"/>
      <c r="B43" s="69"/>
      <c r="C43" s="134"/>
      <c r="D43" s="69"/>
      <c r="E43" s="29"/>
      <c r="G43" s="29"/>
      <c r="H43" s="69"/>
      <c r="I43" s="69"/>
      <c r="J43" s="69"/>
      <c r="K43" s="29"/>
    </row>
    <row r="46" spans="1:7" ht="12.75">
      <c r="A46" s="29"/>
      <c r="B46" s="29"/>
      <c r="C46" s="134"/>
      <c r="D46" s="29"/>
      <c r="E46" s="29"/>
      <c r="G46" s="29" t="s">
        <v>89</v>
      </c>
    </row>
    <row r="47" ht="12.75">
      <c r="G47" s="29" t="s">
        <v>90</v>
      </c>
    </row>
    <row r="48" ht="12.75" hidden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256"/>
  <sheetViews>
    <sheetView workbookViewId="0" topLeftCell="H1">
      <selection activeCell="C6" sqref="C6"/>
    </sheetView>
  </sheetViews>
  <sheetFormatPr defaultColWidth="9.140625" defaultRowHeight="12.75"/>
  <cols>
    <col min="1" max="1" width="29.57421875" style="1" hidden="1" customWidth="1"/>
    <col min="2" max="2" width="11.421875" style="1" hidden="1" customWidth="1"/>
    <col min="3" max="3" width="13.421875" style="1" hidden="1" customWidth="1"/>
    <col min="4" max="4" width="12.8515625" style="1" hidden="1" customWidth="1"/>
    <col min="5" max="5" width="9.00390625" style="1" hidden="1" customWidth="1"/>
    <col min="6" max="6" width="10.57421875" style="1" hidden="1" customWidth="1"/>
    <col min="7" max="7" width="11.57421875" style="1" hidden="1" customWidth="1"/>
    <col min="8" max="8" width="32.57421875" style="1" customWidth="1"/>
    <col min="9" max="9" width="9.8515625" style="1" customWidth="1"/>
    <col min="10" max="10" width="11.00390625" style="1" customWidth="1"/>
    <col min="11" max="11" width="10.28125" style="1" customWidth="1"/>
    <col min="12" max="12" width="9.8515625" style="1" customWidth="1"/>
    <col min="13" max="13" width="10.140625" style="1" customWidth="1"/>
    <col min="14" max="14" width="9.00390625" style="1" customWidth="1"/>
    <col min="15" max="16384" width="9.140625" style="1" customWidth="1"/>
  </cols>
  <sheetData>
    <row r="1" spans="1:24" ht="17.25" customHeight="1">
      <c r="A1" s="3" t="s">
        <v>325</v>
      </c>
      <c r="B1" s="3"/>
      <c r="C1" s="131"/>
      <c r="D1" s="3"/>
      <c r="E1" s="3"/>
      <c r="F1" s="131"/>
      <c r="G1" s="1" t="s">
        <v>326</v>
      </c>
      <c r="H1" s="3" t="s">
        <v>325</v>
      </c>
      <c r="I1" s="3"/>
      <c r="J1" s="131"/>
      <c r="K1" s="3"/>
      <c r="L1" s="3"/>
      <c r="M1" s="131"/>
      <c r="N1" s="1" t="s">
        <v>326</v>
      </c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6" customHeight="1">
      <c r="A2" s="3"/>
      <c r="B2" s="3"/>
      <c r="C2" s="131"/>
      <c r="D2" s="3"/>
      <c r="E2" s="3"/>
      <c r="F2" s="131"/>
      <c r="G2" s="29"/>
      <c r="H2" s="3"/>
      <c r="I2" s="3"/>
      <c r="J2" s="131"/>
      <c r="K2" s="3"/>
      <c r="L2" s="3"/>
      <c r="M2" s="131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.75" customHeight="1">
      <c r="A3" s="74" t="s">
        <v>327</v>
      </c>
      <c r="B3" s="131"/>
      <c r="C3" s="131"/>
      <c r="D3" s="131"/>
      <c r="E3" s="131"/>
      <c r="F3" s="131"/>
      <c r="G3" s="29"/>
      <c r="H3" s="74" t="s">
        <v>327</v>
      </c>
      <c r="I3" s="131"/>
      <c r="J3" s="131"/>
      <c r="K3" s="131"/>
      <c r="L3" s="131"/>
      <c r="M3" s="131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9.5" customHeight="1">
      <c r="A4" s="74" t="s">
        <v>96</v>
      </c>
      <c r="B4" s="131"/>
      <c r="C4" s="131"/>
      <c r="D4" s="131"/>
      <c r="E4" s="131"/>
      <c r="F4" s="131"/>
      <c r="G4" s="29"/>
      <c r="H4" s="74" t="s">
        <v>96</v>
      </c>
      <c r="I4" s="131"/>
      <c r="J4" s="131"/>
      <c r="K4" s="131"/>
      <c r="L4" s="131"/>
      <c r="M4" s="131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3.5" customHeight="1">
      <c r="A5" s="29"/>
      <c r="B5" s="29"/>
      <c r="C5" s="29"/>
      <c r="D5" s="67"/>
      <c r="E5" s="130"/>
      <c r="F5" s="29"/>
      <c r="G5" s="29" t="s">
        <v>97</v>
      </c>
      <c r="H5" s="29"/>
      <c r="I5" s="29"/>
      <c r="J5" s="29"/>
      <c r="K5" s="67"/>
      <c r="L5" s="130"/>
      <c r="M5" s="29"/>
      <c r="N5" s="29" t="s">
        <v>97</v>
      </c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4.25" customHeight="1">
      <c r="A6" s="7" t="s">
        <v>5</v>
      </c>
      <c r="B6" s="7" t="s">
        <v>6</v>
      </c>
      <c r="C6" s="7" t="s">
        <v>328</v>
      </c>
      <c r="D6" s="7" t="s">
        <v>7</v>
      </c>
      <c r="E6" s="7" t="s">
        <v>329</v>
      </c>
      <c r="F6" s="7" t="s">
        <v>330</v>
      </c>
      <c r="G6" s="7" t="s">
        <v>331</v>
      </c>
      <c r="H6" s="7" t="s">
        <v>5</v>
      </c>
      <c r="I6" s="7" t="s">
        <v>6</v>
      </c>
      <c r="J6" s="7" t="s">
        <v>328</v>
      </c>
      <c r="K6" s="7" t="s">
        <v>7</v>
      </c>
      <c r="L6" s="7" t="s">
        <v>329</v>
      </c>
      <c r="M6" s="7" t="s">
        <v>330</v>
      </c>
      <c r="N6" s="7" t="s">
        <v>331</v>
      </c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198">
        <v>7</v>
      </c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  <c r="N7" s="198">
        <v>7</v>
      </c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221" customFormat="1" ht="15" customHeight="1">
      <c r="A8" s="140" t="s">
        <v>332</v>
      </c>
      <c r="B8" s="108">
        <f>SUM(B9:B10)</f>
        <v>697570052</v>
      </c>
      <c r="C8" s="108">
        <f>SUM(C9:C10)</f>
        <v>466986789</v>
      </c>
      <c r="D8" s="108">
        <f>SUM(D9:D10)</f>
        <v>436643019.4000001</v>
      </c>
      <c r="E8" s="11">
        <f>IF(ISERROR(D8/B8)," ",(D8/B8))</f>
        <v>0.6259486314644713</v>
      </c>
      <c r="F8" s="11">
        <f>IF(ISERROR(D8/C8)," ",(D8/C8))</f>
        <v>0.935022209803884</v>
      </c>
      <c r="G8" s="108">
        <f>SUM(G9:G10)</f>
        <v>50939021.400000006</v>
      </c>
      <c r="H8" s="140" t="s">
        <v>332</v>
      </c>
      <c r="I8" s="108">
        <f>SUM(I9:I10)</f>
        <v>697570</v>
      </c>
      <c r="J8" s="108">
        <f>SUM(J9:J10)</f>
        <v>466987</v>
      </c>
      <c r="K8" s="108">
        <f>SUM(K9:K10)</f>
        <v>436643</v>
      </c>
      <c r="L8" s="219">
        <f>IF(ISERROR(ROUND(K8,0)/ROUND(I8,0))," ",(ROUND(K8,)/ROUND(I8,)))</f>
        <v>0.6259486503146637</v>
      </c>
      <c r="M8" s="219">
        <f>IF(ISERROR(ROUND(K8,0)/ROUND(J8,0))," ",(ROUND(K8,)/ROUND(J8,)))</f>
        <v>0.935021745787356</v>
      </c>
      <c r="N8" s="108">
        <f>SUM(N9:N10)</f>
        <v>50939</v>
      </c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1:24" s="17" customFormat="1" ht="13.5" customHeight="1">
      <c r="A9" s="222" t="s">
        <v>333</v>
      </c>
      <c r="B9" s="99">
        <f>SUM(B12,B15,B18,B21,B24,B27,B30,B33,B36,B39,B42,B45,B48,B53,B56,B59,B62,B65,B68,B71,B74,B77,B79,B81,B84,B92,B95,B86,B89)</f>
        <v>635105733</v>
      </c>
      <c r="C9" s="99">
        <f>SUM(C12,C15,C18,C21,C24,C27,C30,C33,C36,C39,C42,C45,C48,C53,C56,C59,C62,C65,C68,C71,C74,C77,C79,C81,C84,C92,C95,C86,C89)</f>
        <v>422050100</v>
      </c>
      <c r="D9" s="99">
        <f>SUM(D12,D15,D18,D21,D24,D27,D30,D33,D36,D39,D42,D45,D48,D53,D56,D59,D62,D65,D68,D71,D74,D77,D79,D81,D84,D92,D95,D86,D89)</f>
        <v>402085705.68000007</v>
      </c>
      <c r="E9" s="19">
        <f aca="true" t="shared" si="0" ref="E9:E72">IF(ISERROR(D9/B9)," ",(D9/B9))</f>
        <v>0.6331004190132229</v>
      </c>
      <c r="F9" s="19">
        <f aca="true" t="shared" si="1" ref="F9:F72">IF(ISERROR(D9/C9)," ",(D9/C9))</f>
        <v>0.9526966245950423</v>
      </c>
      <c r="G9" s="99">
        <f>SUM(G12,G15,G18,G21,G24,G27,G30,G33,G36,G39,G42,G45,G48,G53,G56,G59,G62,G65,G68,G71,G74,G77,G79,G81,G84,G92,G95,G86,G89)</f>
        <v>44641500.68000001</v>
      </c>
      <c r="H9" s="222" t="s">
        <v>333</v>
      </c>
      <c r="I9" s="99">
        <f>SUM(I12,I15,I18,I21,I24,I27,I30,I33,I36,I39,I42,I45,I48,I53,I56,I59,I62,I65,I68,I71,I74,I77,I79,I81,I84,I92,I95,I86,I89)</f>
        <v>635106</v>
      </c>
      <c r="J9" s="99">
        <f>SUM(J12,J15,J18,J21,J24,J27,J30,J33,J36,J39,J42,J45,J48,J53,J56,J59,J62,J65,J68,J71,J74,J77,J79,J81,J84,J92,J95,J86,J89)</f>
        <v>422050</v>
      </c>
      <c r="K9" s="99">
        <f>SUM(K12,K15,K18,K21,K24,K27,K30,K33,K36,K39,K42,K45,K48,K53,K56,K59,K62,K65,K68,K71,K74,K77,K79,K81,K84,K92,K95,K86,K89)</f>
        <v>402086</v>
      </c>
      <c r="L9" s="223">
        <f aca="true" t="shared" si="2" ref="L9:L49">IF(ISERROR(ROUND(K9,0)/ROUND(I9,0))," ",(ROUND(K9,)/ROUND(I9,)))</f>
        <v>0.6331006162750785</v>
      </c>
      <c r="M9" s="223">
        <f aca="true" t="shared" si="3" ref="M9:M49">IF(ISERROR(ROUND(K9,0)/ROUND(J9,0))," ",(ROUND(K9,)/ROUND(J9,)))</f>
        <v>0.9526975476839237</v>
      </c>
      <c r="N9" s="99">
        <f>SUM(N12,N15,N18,N21,N24,N27,N30,N33,N36,N39,N42,N45,N48,N53,N56,N59,N62,N65,N68,N71,N74,N77,N79,N81,N84,N92,N95,N86,N89)</f>
        <v>44642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17" customFormat="1" ht="14.25" customHeight="1">
      <c r="A10" s="222" t="s">
        <v>334</v>
      </c>
      <c r="B10" s="99">
        <f>SUM(B13,B16,B19,B22,B25,B28,B31,B34,B37,B40,B43,B46,B49,B54,B57,B60,B63,B66,B69,B72,B75,B82,B93,B87,B90)</f>
        <v>62464319</v>
      </c>
      <c r="C10" s="99">
        <f>SUM(C13,C16,C19,C22,C25,C28,C31,C34,C37,C40,C43,C46,C49,C54,C57,C60,C63,C66,C69,C72,C75,C82,C93,C87,C90)</f>
        <v>44936689</v>
      </c>
      <c r="D10" s="99">
        <f>SUM(D13,D16,D19,D22,D25,D28,D31,D34,D37,D40,D43,D46,D49,D54,D57,D60,D63,D66,D69,D72,D75,D82,D93,D87,D90)</f>
        <v>34557313.720000006</v>
      </c>
      <c r="E10" s="19">
        <f t="shared" si="0"/>
        <v>0.5532328579456699</v>
      </c>
      <c r="F10" s="19">
        <f t="shared" si="1"/>
        <v>0.7690222508382851</v>
      </c>
      <c r="G10" s="99">
        <f>SUM(G13,G16,G19,G22,G25,G28,G31,G34,G37,G40,G43,G46,G49,G54,G57,G60,G63,G66,G69,G72,G75,G82,G93,G87,G90)</f>
        <v>6297520.72</v>
      </c>
      <c r="H10" s="222" t="s">
        <v>334</v>
      </c>
      <c r="I10" s="99">
        <f>SUM(I13,I16,I19,I22,I25,I28,I31,I34,I37,I40,I43,I46,I49,I54,I57,I60,I63,I66,I69,I72,I75,I82,I93,I87,I90)</f>
        <v>62464</v>
      </c>
      <c r="J10" s="99">
        <f>SUM(J13,J16,J19,J22,J25,J28,J31,J34,J37,J40,J43,J46,J49,J54,J57,J60,J63,J66,J69,J72,J75,J82,J93,J87,J90)</f>
        <v>44937</v>
      </c>
      <c r="K10" s="99">
        <f>SUM(K13,K16,K19,K22,K25,K28,K31,K34,K37,K40,K43,K46,K49,K54,K57,K60,K63,K66,K69,K72,K75,K82,K93,K87,K90)</f>
        <v>34557</v>
      </c>
      <c r="L10" s="223">
        <f t="shared" si="2"/>
        <v>0.5532306608606558</v>
      </c>
      <c r="M10" s="223">
        <f t="shared" si="3"/>
        <v>0.7690099472594967</v>
      </c>
      <c r="N10" s="99">
        <f>SUM(N13,N16,N19,N22,N25,N28,N31,N34,N37,N40,N43,N46,N49,N54,N57,N60,N63,N66,N69,N72,N75,N82,N93,N87,N90)</f>
        <v>6297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7" customFormat="1" ht="12" customHeight="1">
      <c r="A11" s="32" t="s">
        <v>335</v>
      </c>
      <c r="B11" s="52">
        <f>SUM(B12:B13)</f>
        <v>904668</v>
      </c>
      <c r="C11" s="52">
        <f>SUM(C12:C13)</f>
        <v>680212</v>
      </c>
      <c r="D11" s="52">
        <f>SUM(D12:D13)</f>
        <v>650902.33</v>
      </c>
      <c r="E11" s="11">
        <f t="shared" si="0"/>
        <v>0.7194930405408393</v>
      </c>
      <c r="F11" s="11">
        <f t="shared" si="1"/>
        <v>0.9569109777539943</v>
      </c>
      <c r="G11" s="52">
        <f>SUM(G12:G13)</f>
        <v>58099.33</v>
      </c>
      <c r="H11" s="32" t="s">
        <v>335</v>
      </c>
      <c r="I11" s="183">
        <f>SUM(I12:I13)</f>
        <v>904</v>
      </c>
      <c r="J11" s="183">
        <f>SUM(J12:J13)</f>
        <v>680</v>
      </c>
      <c r="K11" s="183">
        <f>SUM(K12:K13)</f>
        <v>651</v>
      </c>
      <c r="L11" s="224">
        <f t="shared" si="2"/>
        <v>0.7201327433628318</v>
      </c>
      <c r="M11" s="224">
        <f t="shared" si="3"/>
        <v>0.9573529411764706</v>
      </c>
      <c r="N11" s="183">
        <f>SUM(N12:N13)</f>
        <v>58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17" customFormat="1" ht="12.75">
      <c r="A12" s="151" t="s">
        <v>333</v>
      </c>
      <c r="B12" s="168">
        <v>845228</v>
      </c>
      <c r="C12" s="168">
        <v>621772</v>
      </c>
      <c r="D12" s="168">
        <f>650902.33-29227.58</f>
        <v>621674.75</v>
      </c>
      <c r="E12" s="19">
        <f t="shared" si="0"/>
        <v>0.7355113058251738</v>
      </c>
      <c r="F12" s="19">
        <f t="shared" si="1"/>
        <v>0.9998435921849167</v>
      </c>
      <c r="G12" s="168">
        <f>D12-'[8]Jūlijs'!D12</f>
        <v>54061.75</v>
      </c>
      <c r="H12" s="151" t="s">
        <v>333</v>
      </c>
      <c r="I12" s="168">
        <f aca="true" t="shared" si="4" ref="I12:K13">ROUND(B12/1000,0)</f>
        <v>845</v>
      </c>
      <c r="J12" s="168">
        <f>ROUND(C12/1000,0)</f>
        <v>622</v>
      </c>
      <c r="K12" s="168">
        <f t="shared" si="4"/>
        <v>622</v>
      </c>
      <c r="L12" s="223">
        <f t="shared" si="2"/>
        <v>0.736094674556213</v>
      </c>
      <c r="M12" s="223">
        <f t="shared" si="3"/>
        <v>1</v>
      </c>
      <c r="N12" s="168">
        <f>K12-'[8]Jūlijs'!K12</f>
        <v>54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17" customFormat="1" ht="12.75">
      <c r="A13" s="151" t="s">
        <v>334</v>
      </c>
      <c r="B13" s="168">
        <v>59440</v>
      </c>
      <c r="C13" s="168">
        <v>58440</v>
      </c>
      <c r="D13" s="168">
        <v>29227.58</v>
      </c>
      <c r="E13" s="19">
        <f t="shared" si="0"/>
        <v>0.4917156796769852</v>
      </c>
      <c r="F13" s="19">
        <f t="shared" si="1"/>
        <v>0.5001297056810404</v>
      </c>
      <c r="G13" s="168">
        <f>D13-'[8]Jūlijs'!D13</f>
        <v>4037.5800000000017</v>
      </c>
      <c r="H13" s="151" t="s">
        <v>334</v>
      </c>
      <c r="I13" s="168">
        <f t="shared" si="4"/>
        <v>59</v>
      </c>
      <c r="J13" s="168">
        <f>ROUND(C13/1000,0)</f>
        <v>58</v>
      </c>
      <c r="K13" s="168">
        <f t="shared" si="4"/>
        <v>29</v>
      </c>
      <c r="L13" s="223">
        <f t="shared" si="2"/>
        <v>0.4915254237288136</v>
      </c>
      <c r="M13" s="223">
        <f t="shared" si="3"/>
        <v>0.5</v>
      </c>
      <c r="N13" s="168">
        <f>K13-'[8]Jūlijs'!K13</f>
        <v>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17" customFormat="1" ht="12.75" customHeight="1">
      <c r="A14" s="225" t="s">
        <v>336</v>
      </c>
      <c r="B14" s="52">
        <f>SUM(B15:B16)</f>
        <v>6091301</v>
      </c>
      <c r="C14" s="52">
        <f>SUM(C15:C16)</f>
        <v>4105503</v>
      </c>
      <c r="D14" s="52">
        <f>SUM(D15:D16)</f>
        <v>3525424.9299999997</v>
      </c>
      <c r="E14" s="11">
        <f t="shared" si="0"/>
        <v>0.5787638683427399</v>
      </c>
      <c r="F14" s="11">
        <f t="shared" si="1"/>
        <v>0.8587071864275826</v>
      </c>
      <c r="G14" s="52">
        <f>SUM(G15:G16)</f>
        <v>476308.92999999993</v>
      </c>
      <c r="H14" s="225" t="s">
        <v>336</v>
      </c>
      <c r="I14" s="183">
        <f>SUM(I15:I16)</f>
        <v>6091</v>
      </c>
      <c r="J14" s="183">
        <f>SUM(J15:J16)</f>
        <v>4105</v>
      </c>
      <c r="K14" s="183">
        <f>SUM(K15:K16)</f>
        <v>3526</v>
      </c>
      <c r="L14" s="224">
        <f t="shared" si="2"/>
        <v>0.578886882285339</v>
      </c>
      <c r="M14" s="224">
        <f t="shared" si="3"/>
        <v>0.858952496954933</v>
      </c>
      <c r="N14" s="183">
        <f>SUM(N15:N16)</f>
        <v>477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17" customFormat="1" ht="12.75">
      <c r="A15" s="151" t="s">
        <v>333</v>
      </c>
      <c r="B15" s="168">
        <v>4992250</v>
      </c>
      <c r="C15" s="168">
        <v>3204227</v>
      </c>
      <c r="D15" s="168">
        <f>3525425.27-594775</f>
        <v>2930650.27</v>
      </c>
      <c r="E15" s="19">
        <f t="shared" si="0"/>
        <v>0.5870399659472182</v>
      </c>
      <c r="F15" s="19">
        <f t="shared" si="1"/>
        <v>0.9146200534481483</v>
      </c>
      <c r="G15" s="168">
        <f>D15-'[8]Jūlijs'!D15</f>
        <v>299313.27</v>
      </c>
      <c r="H15" s="151" t="s">
        <v>333</v>
      </c>
      <c r="I15" s="168">
        <f aca="true" t="shared" si="5" ref="I15:K16">ROUND(B15/1000,0)</f>
        <v>4992</v>
      </c>
      <c r="J15" s="168">
        <f t="shared" si="5"/>
        <v>3204</v>
      </c>
      <c r="K15" s="168">
        <f t="shared" si="5"/>
        <v>2931</v>
      </c>
      <c r="L15" s="223">
        <f t="shared" si="2"/>
        <v>0.5871394230769231</v>
      </c>
      <c r="M15" s="223">
        <f t="shared" si="3"/>
        <v>0.9147940074906367</v>
      </c>
      <c r="N15" s="168">
        <f>K15-'[8]Jūlijs'!K15</f>
        <v>300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17" customFormat="1" ht="12.75">
      <c r="A16" s="151" t="s">
        <v>334</v>
      </c>
      <c r="B16" s="168">
        <v>1099051</v>
      </c>
      <c r="C16" s="168">
        <v>901276</v>
      </c>
      <c r="D16" s="168">
        <f>244136+350638.66</f>
        <v>594774.6599999999</v>
      </c>
      <c r="E16" s="19">
        <f t="shared" si="0"/>
        <v>0.5411711194475961</v>
      </c>
      <c r="F16" s="19">
        <f t="shared" si="1"/>
        <v>0.6599251061827897</v>
      </c>
      <c r="G16" s="168">
        <f>D16-'[8]Jūlijs'!D16</f>
        <v>176995.65999999992</v>
      </c>
      <c r="H16" s="151" t="s">
        <v>334</v>
      </c>
      <c r="I16" s="168">
        <f>ROUND(B16/1000,0)</f>
        <v>1099</v>
      </c>
      <c r="J16" s="168">
        <f t="shared" si="5"/>
        <v>901</v>
      </c>
      <c r="K16" s="168">
        <f t="shared" si="5"/>
        <v>595</v>
      </c>
      <c r="L16" s="223">
        <f t="shared" si="2"/>
        <v>0.5414012738853503</v>
      </c>
      <c r="M16" s="223">
        <f t="shared" si="3"/>
        <v>0.660377358490566</v>
      </c>
      <c r="N16" s="168">
        <f>K16-'[8]Jūlijs'!K16</f>
        <v>177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17" customFormat="1" ht="13.5" customHeight="1">
      <c r="A17" s="225" t="s">
        <v>337</v>
      </c>
      <c r="B17" s="52">
        <f>SUM(B18:B19)</f>
        <v>3472724</v>
      </c>
      <c r="C17" s="52">
        <f>SUM(C18:C19)</f>
        <v>2554866</v>
      </c>
      <c r="D17" s="52">
        <f>SUM(D18:D19)</f>
        <v>2443205.44</v>
      </c>
      <c r="E17" s="11">
        <f t="shared" si="0"/>
        <v>0.7035414965312533</v>
      </c>
      <c r="F17" s="11">
        <f t="shared" si="1"/>
        <v>0.9562949446272329</v>
      </c>
      <c r="G17" s="52">
        <f>SUM(G18:G19)</f>
        <v>272479.4400000002</v>
      </c>
      <c r="H17" s="225" t="s">
        <v>337</v>
      </c>
      <c r="I17" s="183">
        <f>SUM(I18:I19)</f>
        <v>3473</v>
      </c>
      <c r="J17" s="183">
        <f>SUM(J18:J19)</f>
        <v>2554</v>
      </c>
      <c r="K17" s="183">
        <f>SUM(K18:K19)</f>
        <v>2443</v>
      </c>
      <c r="L17" s="224">
        <f t="shared" si="2"/>
        <v>0.7034264324791247</v>
      </c>
      <c r="M17" s="224">
        <f t="shared" si="3"/>
        <v>0.956538762725137</v>
      </c>
      <c r="N17" s="183">
        <f>SUM(N18:N19)</f>
        <v>272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17" customFormat="1" ht="12.75">
      <c r="A18" s="151" t="s">
        <v>333</v>
      </c>
      <c r="B18" s="168">
        <v>3265809</v>
      </c>
      <c r="C18" s="168">
        <v>2414470</v>
      </c>
      <c r="D18" s="168">
        <f>2443205.44-131985.28</f>
        <v>2311220.16</v>
      </c>
      <c r="E18" s="19">
        <f t="shared" si="0"/>
        <v>0.7077021834406115</v>
      </c>
      <c r="F18" s="19">
        <f t="shared" si="1"/>
        <v>0.9572370582363832</v>
      </c>
      <c r="G18" s="168">
        <f>D18-'[8]Jūlijs'!D18</f>
        <v>257412.16000000015</v>
      </c>
      <c r="H18" s="151" t="s">
        <v>333</v>
      </c>
      <c r="I18" s="168">
        <f>ROUND(B18/1000,0)</f>
        <v>3266</v>
      </c>
      <c r="J18" s="168">
        <f aca="true" t="shared" si="6" ref="I18:K19">ROUND(C18/1000,0)</f>
        <v>2414</v>
      </c>
      <c r="K18" s="168">
        <f t="shared" si="6"/>
        <v>2311</v>
      </c>
      <c r="L18" s="223">
        <f t="shared" si="2"/>
        <v>0.7075933864053888</v>
      </c>
      <c r="M18" s="223">
        <f t="shared" si="3"/>
        <v>0.9573322286661143</v>
      </c>
      <c r="N18" s="168">
        <f>K18-'[8]Jūlijs'!K18</f>
        <v>257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17" customFormat="1" ht="12.75">
      <c r="A19" s="151" t="s">
        <v>334</v>
      </c>
      <c r="B19" s="168">
        <v>206915</v>
      </c>
      <c r="C19" s="168">
        <v>140396</v>
      </c>
      <c r="D19" s="168">
        <v>131985.28</v>
      </c>
      <c r="E19" s="19">
        <f t="shared" si="0"/>
        <v>0.6378719764154362</v>
      </c>
      <c r="F19" s="19">
        <f t="shared" si="1"/>
        <v>0.9400928801390352</v>
      </c>
      <c r="G19" s="168">
        <f>D19-'[8]Jūlijs'!D19</f>
        <v>15067.279999999999</v>
      </c>
      <c r="H19" s="151" t="s">
        <v>334</v>
      </c>
      <c r="I19" s="168">
        <f t="shared" si="6"/>
        <v>207</v>
      </c>
      <c r="J19" s="168">
        <f t="shared" si="6"/>
        <v>140</v>
      </c>
      <c r="K19" s="168">
        <f t="shared" si="6"/>
        <v>132</v>
      </c>
      <c r="L19" s="223">
        <f t="shared" si="2"/>
        <v>0.6376811594202898</v>
      </c>
      <c r="M19" s="223">
        <f t="shared" si="3"/>
        <v>0.9428571428571428</v>
      </c>
      <c r="N19" s="168">
        <f>K19-'[8]Jūlijs'!K19</f>
        <v>15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17" customFormat="1" ht="15" customHeight="1">
      <c r="A20" s="225" t="s">
        <v>338</v>
      </c>
      <c r="B20" s="52">
        <f>SUM(B21:B22)</f>
        <v>33198959</v>
      </c>
      <c r="C20" s="52">
        <f>SUM(C21:C22)</f>
        <v>21031553</v>
      </c>
      <c r="D20" s="52">
        <f>SUM(D21:D22)</f>
        <v>16831158.57</v>
      </c>
      <c r="E20" s="11">
        <f t="shared" si="0"/>
        <v>0.5069785040549013</v>
      </c>
      <c r="F20" s="11">
        <f t="shared" si="1"/>
        <v>0.8002812997214234</v>
      </c>
      <c r="G20" s="52">
        <f>SUM(G21:G22)</f>
        <v>2685668.570000001</v>
      </c>
      <c r="H20" s="225" t="s">
        <v>338</v>
      </c>
      <c r="I20" s="183">
        <f>SUM(I21:I22)</f>
        <v>33199</v>
      </c>
      <c r="J20" s="183">
        <f>SUM(J21:J22)</f>
        <v>21032</v>
      </c>
      <c r="K20" s="183">
        <f>SUM(K21:K22)</f>
        <v>16831</v>
      </c>
      <c r="L20" s="224">
        <f t="shared" si="2"/>
        <v>0.5069731015994458</v>
      </c>
      <c r="M20" s="224">
        <f t="shared" si="3"/>
        <v>0.8002567516165843</v>
      </c>
      <c r="N20" s="183">
        <f>SUM(N21:N22)</f>
        <v>2685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17" customFormat="1" ht="12.75">
      <c r="A21" s="151" t="s">
        <v>333</v>
      </c>
      <c r="B21" s="168">
        <v>29258899</v>
      </c>
      <c r="C21" s="168">
        <v>18459912</v>
      </c>
      <c r="D21" s="168">
        <f>16831158.78-610334</f>
        <v>16220824.780000001</v>
      </c>
      <c r="E21" s="19">
        <f t="shared" si="0"/>
        <v>0.5543894450710535</v>
      </c>
      <c r="F21" s="19">
        <f t="shared" si="1"/>
        <v>0.8787054228644211</v>
      </c>
      <c r="G21" s="168">
        <f>D21-'[8]Jūlijs'!D21</f>
        <v>2567229.780000001</v>
      </c>
      <c r="H21" s="151" t="s">
        <v>333</v>
      </c>
      <c r="I21" s="168">
        <f aca="true" t="shared" si="7" ref="I21:K22">ROUND(B21/1000,0)</f>
        <v>29259</v>
      </c>
      <c r="J21" s="168">
        <f>ROUND(C21/1000,0)</f>
        <v>18460</v>
      </c>
      <c r="K21" s="168">
        <f t="shared" si="7"/>
        <v>16221</v>
      </c>
      <c r="L21" s="223">
        <f t="shared" si="2"/>
        <v>0.5543935199425818</v>
      </c>
      <c r="M21" s="223">
        <f t="shared" si="3"/>
        <v>0.8787107258938245</v>
      </c>
      <c r="N21" s="168">
        <f>K21-'[8]Jūlijs'!K21</f>
        <v>2567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17" customFormat="1" ht="12.75">
      <c r="A22" s="151" t="s">
        <v>334</v>
      </c>
      <c r="B22" s="168">
        <v>3940060</v>
      </c>
      <c r="C22" s="168">
        <v>2571641</v>
      </c>
      <c r="D22" s="168">
        <f>72499.17+2700+32972.94+502161.68</f>
        <v>610333.79</v>
      </c>
      <c r="E22" s="19">
        <f t="shared" si="0"/>
        <v>0.15490469434475618</v>
      </c>
      <c r="F22" s="19">
        <f t="shared" si="1"/>
        <v>0.2373324231492654</v>
      </c>
      <c r="G22" s="168">
        <f>D22-'[8]Jūlijs'!D22</f>
        <v>118438.79000000004</v>
      </c>
      <c r="H22" s="151" t="s">
        <v>334</v>
      </c>
      <c r="I22" s="168">
        <f t="shared" si="7"/>
        <v>3940</v>
      </c>
      <c r="J22" s="168">
        <f t="shared" si="7"/>
        <v>2572</v>
      </c>
      <c r="K22" s="168">
        <f t="shared" si="7"/>
        <v>610</v>
      </c>
      <c r="L22" s="223">
        <f t="shared" si="2"/>
        <v>0.1548223350253807</v>
      </c>
      <c r="M22" s="223">
        <f t="shared" si="3"/>
        <v>0.23716951788491447</v>
      </c>
      <c r="N22" s="168">
        <f>K22-'[8]Jūlijs'!K22</f>
        <v>118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17" customFormat="1" ht="16.5" customHeight="1">
      <c r="A23" s="225" t="s">
        <v>339</v>
      </c>
      <c r="B23" s="52">
        <f>SUM(B24:B25)</f>
        <v>10849663</v>
      </c>
      <c r="C23" s="52">
        <f>SUM(C24:C25)</f>
        <v>7877277</v>
      </c>
      <c r="D23" s="52">
        <f>SUM(D24:D25)</f>
        <v>6903629.69</v>
      </c>
      <c r="E23" s="11">
        <f t="shared" si="0"/>
        <v>0.6362989974895995</v>
      </c>
      <c r="F23" s="11">
        <f t="shared" si="1"/>
        <v>0.8763979849889753</v>
      </c>
      <c r="G23" s="52">
        <f>SUM(G24:G25)</f>
        <v>686856.6900000004</v>
      </c>
      <c r="H23" s="225" t="s">
        <v>339</v>
      </c>
      <c r="I23" s="183">
        <f>SUM(I24:I25)</f>
        <v>10850</v>
      </c>
      <c r="J23" s="183">
        <f>SUM(J24:J25)</f>
        <v>7877</v>
      </c>
      <c r="K23" s="183">
        <f>SUM(K24:K25)</f>
        <v>6904</v>
      </c>
      <c r="L23" s="224">
        <f t="shared" si="2"/>
        <v>0.6363133640552996</v>
      </c>
      <c r="M23" s="224">
        <f t="shared" si="3"/>
        <v>0.8764758156658626</v>
      </c>
      <c r="N23" s="183">
        <f>SUM(N24:N25)</f>
        <v>687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17" customFormat="1" ht="12.75">
      <c r="A24" s="151" t="s">
        <v>333</v>
      </c>
      <c r="B24" s="168">
        <v>10533064</v>
      </c>
      <c r="C24" s="168">
        <v>7553998</v>
      </c>
      <c r="D24" s="168">
        <f>6903629.73-230457</f>
        <v>6673172.73</v>
      </c>
      <c r="E24" s="19">
        <f t="shared" si="0"/>
        <v>0.6335452561571828</v>
      </c>
      <c r="F24" s="19">
        <f t="shared" si="1"/>
        <v>0.883396147311662</v>
      </c>
      <c r="G24" s="168">
        <f>D24-'[8]Jūlijs'!D24</f>
        <v>650251.7300000004</v>
      </c>
      <c r="H24" s="151" t="s">
        <v>333</v>
      </c>
      <c r="I24" s="168">
        <f aca="true" t="shared" si="8" ref="I24:K25">ROUND(B24/1000,0)</f>
        <v>10533</v>
      </c>
      <c r="J24" s="168">
        <f t="shared" si="8"/>
        <v>7554</v>
      </c>
      <c r="K24" s="168">
        <f t="shared" si="8"/>
        <v>6673</v>
      </c>
      <c r="L24" s="223">
        <f t="shared" si="2"/>
        <v>0.6335327067312256</v>
      </c>
      <c r="M24" s="223">
        <f t="shared" si="3"/>
        <v>0.8833730473921101</v>
      </c>
      <c r="N24" s="168">
        <f>K24-'[8]Jūlijs'!K24</f>
        <v>650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s="17" customFormat="1" ht="12.75">
      <c r="A25" s="151" t="s">
        <v>334</v>
      </c>
      <c r="B25" s="168">
        <v>316599</v>
      </c>
      <c r="C25" s="168">
        <v>323279</v>
      </c>
      <c r="D25" s="168">
        <f>99036.33+131420.63</f>
        <v>230456.96000000002</v>
      </c>
      <c r="E25" s="19">
        <f t="shared" si="0"/>
        <v>0.7279143648590173</v>
      </c>
      <c r="F25" s="19">
        <f t="shared" si="1"/>
        <v>0.7128732766433947</v>
      </c>
      <c r="G25" s="168">
        <f>D25-'[8]Jūlijs'!D25</f>
        <v>36604.96000000002</v>
      </c>
      <c r="H25" s="151" t="s">
        <v>334</v>
      </c>
      <c r="I25" s="168">
        <f>ROUND(B25/1000,0)</f>
        <v>317</v>
      </c>
      <c r="J25" s="168">
        <f t="shared" si="8"/>
        <v>323</v>
      </c>
      <c r="K25" s="168">
        <f>ROUND(D25/1000,0)+1</f>
        <v>231</v>
      </c>
      <c r="L25" s="223">
        <f t="shared" si="2"/>
        <v>0.7287066246056783</v>
      </c>
      <c r="M25" s="223">
        <f t="shared" si="3"/>
        <v>0.7151702786377709</v>
      </c>
      <c r="N25" s="168">
        <f>K25-'[8]Jūlijs'!K25</f>
        <v>37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s="17" customFormat="1" ht="14.25" customHeight="1">
      <c r="A26" s="225" t="s">
        <v>257</v>
      </c>
      <c r="B26" s="52">
        <f>SUM(B27:B28)</f>
        <v>4477300</v>
      </c>
      <c r="C26" s="52">
        <f>SUM(C27:C28)</f>
        <v>2620270</v>
      </c>
      <c r="D26" s="52">
        <f>SUM(D27:D28)</f>
        <v>2734648.7</v>
      </c>
      <c r="E26" s="11">
        <f t="shared" si="0"/>
        <v>0.6107807607263307</v>
      </c>
      <c r="F26" s="11">
        <f t="shared" si="1"/>
        <v>1.043651493930015</v>
      </c>
      <c r="G26" s="52">
        <f>SUM(G27:G28)</f>
        <v>286108.70000000007</v>
      </c>
      <c r="H26" s="225" t="s">
        <v>257</v>
      </c>
      <c r="I26" s="183">
        <f>SUM(I27:I28)</f>
        <v>4477</v>
      </c>
      <c r="J26" s="183">
        <f>SUM(J27:J28)</f>
        <v>2620</v>
      </c>
      <c r="K26" s="183">
        <f>SUM(K27:K28)</f>
        <v>2734</v>
      </c>
      <c r="L26" s="224">
        <f t="shared" si="2"/>
        <v>0.6106767924949743</v>
      </c>
      <c r="M26" s="224">
        <f t="shared" si="3"/>
        <v>1.0435114503816794</v>
      </c>
      <c r="N26" s="183">
        <f>SUM(N27:N28)</f>
        <v>285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7" customFormat="1" ht="12.75">
      <c r="A27" s="151" t="s">
        <v>333</v>
      </c>
      <c r="B27" s="168">
        <v>4198960</v>
      </c>
      <c r="C27" s="168">
        <v>2446190</v>
      </c>
      <c r="D27" s="168">
        <f>2734648.37-166471</f>
        <v>2568177.37</v>
      </c>
      <c r="E27" s="19">
        <f t="shared" si="0"/>
        <v>0.6116222517004211</v>
      </c>
      <c r="F27" s="19">
        <f t="shared" si="1"/>
        <v>1.0498683135815288</v>
      </c>
      <c r="G27" s="168">
        <f>D27-'[8]Jūlijs'!D27</f>
        <v>258281.3700000001</v>
      </c>
      <c r="H27" s="151" t="s">
        <v>333</v>
      </c>
      <c r="I27" s="168">
        <f aca="true" t="shared" si="9" ref="I27:K28">ROUND(B27/1000,0)</f>
        <v>4199</v>
      </c>
      <c r="J27" s="168">
        <f t="shared" si="9"/>
        <v>2446</v>
      </c>
      <c r="K27" s="168">
        <f t="shared" si="9"/>
        <v>2568</v>
      </c>
      <c r="L27" s="223">
        <f t="shared" si="2"/>
        <v>0.6115741843296023</v>
      </c>
      <c r="M27" s="223">
        <f t="shared" si="3"/>
        <v>1.0498773507767785</v>
      </c>
      <c r="N27" s="168">
        <f>K27-'[8]Jūlijs'!K27</f>
        <v>258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s="17" customFormat="1" ht="12.75">
      <c r="A28" s="151" t="s">
        <v>334</v>
      </c>
      <c r="B28" s="168">
        <v>278340</v>
      </c>
      <c r="C28" s="168">
        <v>174080</v>
      </c>
      <c r="D28" s="168">
        <f>50046.04+64746.8+51678.49</f>
        <v>166471.33</v>
      </c>
      <c r="E28" s="19">
        <f t="shared" si="0"/>
        <v>0.5980862614069123</v>
      </c>
      <c r="F28" s="19">
        <f t="shared" si="1"/>
        <v>0.9562921070772058</v>
      </c>
      <c r="G28" s="168">
        <f>D28-'[8]Jūlijs'!D28</f>
        <v>27827.329999999987</v>
      </c>
      <c r="H28" s="151" t="s">
        <v>334</v>
      </c>
      <c r="I28" s="168">
        <f t="shared" si="9"/>
        <v>278</v>
      </c>
      <c r="J28" s="168">
        <f t="shared" si="9"/>
        <v>174</v>
      </c>
      <c r="K28" s="168">
        <f>ROUND(D28/1000,0)</f>
        <v>166</v>
      </c>
      <c r="L28" s="223">
        <f t="shared" si="2"/>
        <v>0.5971223021582733</v>
      </c>
      <c r="M28" s="223">
        <f t="shared" si="3"/>
        <v>0.9540229885057471</v>
      </c>
      <c r="N28" s="168">
        <f>K28-'[8]Jūlijs'!K28</f>
        <v>27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17" customFormat="1" ht="14.25" customHeight="1">
      <c r="A29" s="225" t="s">
        <v>263</v>
      </c>
      <c r="B29" s="52">
        <f>SUM(B30:B31)</f>
        <v>95479287</v>
      </c>
      <c r="C29" s="52">
        <f>SUM(C30:C31)</f>
        <v>62042733</v>
      </c>
      <c r="D29" s="52">
        <f>SUM(D30:D31)</f>
        <v>53517437.79</v>
      </c>
      <c r="E29" s="11">
        <f t="shared" si="0"/>
        <v>0.5605135885650256</v>
      </c>
      <c r="F29" s="11">
        <f t="shared" si="1"/>
        <v>0.8625899473190518</v>
      </c>
      <c r="G29" s="52">
        <f>SUM(G30:G31)</f>
        <v>6611395.789999999</v>
      </c>
      <c r="H29" s="225" t="s">
        <v>263</v>
      </c>
      <c r="I29" s="183">
        <f>SUM(I30:I31)</f>
        <v>95480</v>
      </c>
      <c r="J29" s="183">
        <f>SUM(J30:J31)</f>
        <v>62043</v>
      </c>
      <c r="K29" s="183">
        <f>SUM(K30:K31)</f>
        <v>53517</v>
      </c>
      <c r="L29" s="224">
        <f t="shared" si="2"/>
        <v>0.5605048177628823</v>
      </c>
      <c r="M29" s="224">
        <f t="shared" si="3"/>
        <v>0.8625791789565301</v>
      </c>
      <c r="N29" s="183">
        <f>SUM(N30:N31)</f>
        <v>6611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s="17" customFormat="1" ht="12.75">
      <c r="A30" s="151" t="s">
        <v>333</v>
      </c>
      <c r="B30" s="168">
        <v>85311412</v>
      </c>
      <c r="C30" s="168">
        <v>54167081</v>
      </c>
      <c r="D30" s="168">
        <f>53384682.82-234460.76-170466.78-5955636.71+9561.07+1712.9</f>
        <v>47035392.54</v>
      </c>
      <c r="E30" s="19">
        <f t="shared" si="0"/>
        <v>0.551337639798999</v>
      </c>
      <c r="F30" s="19">
        <f t="shared" si="1"/>
        <v>0.8683390663048651</v>
      </c>
      <c r="G30" s="168">
        <f>D30-'[8]Jūlijs'!D30</f>
        <v>5732872.539999999</v>
      </c>
      <c r="H30" s="151" t="s">
        <v>333</v>
      </c>
      <c r="I30" s="168">
        <f>ROUND(B30/1000,0)+1</f>
        <v>85312</v>
      </c>
      <c r="J30" s="168">
        <f aca="true" t="shared" si="10" ref="I30:K31">ROUND(C30/1000,0)</f>
        <v>54167</v>
      </c>
      <c r="K30" s="168">
        <f t="shared" si="10"/>
        <v>47035</v>
      </c>
      <c r="L30" s="223">
        <f t="shared" si="2"/>
        <v>0.5513292385596399</v>
      </c>
      <c r="M30" s="223">
        <f t="shared" si="3"/>
        <v>0.8683331179500434</v>
      </c>
      <c r="N30" s="168">
        <f>K30-'[8]Jūlijs'!K30</f>
        <v>5733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s="17" customFormat="1" ht="12.75">
      <c r="A31" s="151" t="s">
        <v>334</v>
      </c>
      <c r="B31" s="168">
        <v>10167875</v>
      </c>
      <c r="C31" s="168">
        <v>7875652</v>
      </c>
      <c r="D31" s="168">
        <f>234460.76+170466.78+5955636.71+121481</f>
        <v>6482045.25</v>
      </c>
      <c r="E31" s="19">
        <f t="shared" si="0"/>
        <v>0.6375024525773576</v>
      </c>
      <c r="F31" s="19">
        <f t="shared" si="1"/>
        <v>0.8230487139350494</v>
      </c>
      <c r="G31" s="168">
        <f>D31-'[8]Jūlijs'!D31</f>
        <v>878523.25</v>
      </c>
      <c r="H31" s="151" t="s">
        <v>334</v>
      </c>
      <c r="I31" s="168">
        <f t="shared" si="10"/>
        <v>10168</v>
      </c>
      <c r="J31" s="168">
        <f t="shared" si="10"/>
        <v>7876</v>
      </c>
      <c r="K31" s="168">
        <f t="shared" si="10"/>
        <v>6482</v>
      </c>
      <c r="L31" s="223">
        <f t="shared" si="2"/>
        <v>0.6374901652242329</v>
      </c>
      <c r="M31" s="223">
        <f t="shared" si="3"/>
        <v>0.8230066023362113</v>
      </c>
      <c r="N31" s="168">
        <f>K31-'[8]Jūlijs'!K31</f>
        <v>878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s="17" customFormat="1" ht="18" customHeight="1">
      <c r="A32" s="225" t="s">
        <v>340</v>
      </c>
      <c r="B32" s="52">
        <f>SUM(B33:B34)</f>
        <v>97612397</v>
      </c>
      <c r="C32" s="52">
        <f>SUM(C33:C34)</f>
        <v>65201381</v>
      </c>
      <c r="D32" s="52">
        <f>SUM(D33:D34)</f>
        <v>61641226.59</v>
      </c>
      <c r="E32" s="11">
        <f t="shared" si="0"/>
        <v>0.6314897337271618</v>
      </c>
      <c r="F32" s="11">
        <f t="shared" si="1"/>
        <v>0.9453975612878507</v>
      </c>
      <c r="G32" s="52">
        <f>SUM(G33:G34)</f>
        <v>7848072.590000001</v>
      </c>
      <c r="H32" s="225" t="s">
        <v>340</v>
      </c>
      <c r="I32" s="183">
        <f>SUM(I33:I34)</f>
        <v>97613</v>
      </c>
      <c r="J32" s="183">
        <f>SUM(J33:J34)</f>
        <v>65202</v>
      </c>
      <c r="K32" s="183">
        <f>SUM(K33:K34)</f>
        <v>61642</v>
      </c>
      <c r="L32" s="224">
        <f t="shared" si="2"/>
        <v>0.6314937559546372</v>
      </c>
      <c r="M32" s="224">
        <f t="shared" si="3"/>
        <v>0.9454004478390233</v>
      </c>
      <c r="N32" s="183">
        <f>SUM(N33:N34)</f>
        <v>7849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17" customFormat="1" ht="12.75">
      <c r="A33" s="151" t="s">
        <v>333</v>
      </c>
      <c r="B33" s="168">
        <v>83788658</v>
      </c>
      <c r="C33" s="168">
        <v>56427926</v>
      </c>
      <c r="D33" s="168">
        <f>61641226.21-6561502</f>
        <v>55079724.21</v>
      </c>
      <c r="E33" s="19">
        <f t="shared" si="0"/>
        <v>0.657364916979575</v>
      </c>
      <c r="F33" s="19">
        <f t="shared" si="1"/>
        <v>0.9761075430984297</v>
      </c>
      <c r="G33" s="168">
        <f>D33-'[8]Jūlijs'!D33</f>
        <v>6789391.210000001</v>
      </c>
      <c r="H33" s="151" t="s">
        <v>333</v>
      </c>
      <c r="I33" s="168">
        <f aca="true" t="shared" si="11" ref="I33:K34">ROUND(B33/1000,0)</f>
        <v>83789</v>
      </c>
      <c r="J33" s="168">
        <f t="shared" si="11"/>
        <v>56428</v>
      </c>
      <c r="K33" s="168">
        <f t="shared" si="11"/>
        <v>55080</v>
      </c>
      <c r="L33" s="223">
        <f t="shared" si="2"/>
        <v>0.6573655253076179</v>
      </c>
      <c r="M33" s="223">
        <f t="shared" si="3"/>
        <v>0.9761111504926632</v>
      </c>
      <c r="N33" s="168">
        <f>K33-'[8]Jūlijs'!K33</f>
        <v>6790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17" customFormat="1" ht="12.75">
      <c r="A34" s="151" t="s">
        <v>334</v>
      </c>
      <c r="B34" s="168">
        <v>13823739</v>
      </c>
      <c r="C34" s="168">
        <v>8773455</v>
      </c>
      <c r="D34" s="168">
        <f>1043277.28+23417+361557.19+9186+5124064.91</f>
        <v>6561502.38</v>
      </c>
      <c r="E34" s="19">
        <f t="shared" si="0"/>
        <v>0.47465467772503517</v>
      </c>
      <c r="F34" s="19">
        <f t="shared" si="1"/>
        <v>0.7478812372092865</v>
      </c>
      <c r="G34" s="168">
        <f>D34-'[8]Jūlijs'!D34</f>
        <v>1058681.38</v>
      </c>
      <c r="H34" s="151" t="s">
        <v>334</v>
      </c>
      <c r="I34" s="168">
        <f t="shared" si="11"/>
        <v>13824</v>
      </c>
      <c r="J34" s="168">
        <f>ROUND(C34/1000,0)+1</f>
        <v>8774</v>
      </c>
      <c r="K34" s="168">
        <f>ROUND(D34/1000,0)</f>
        <v>6562</v>
      </c>
      <c r="L34" s="223">
        <f t="shared" si="2"/>
        <v>0.47468171296296297</v>
      </c>
      <c r="M34" s="223">
        <f t="shared" si="3"/>
        <v>0.7478914976065648</v>
      </c>
      <c r="N34" s="168">
        <f>K34-'[8]Jūlijs'!K34</f>
        <v>1059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17" customFormat="1" ht="12.75" customHeight="1">
      <c r="A35" s="32" t="s">
        <v>273</v>
      </c>
      <c r="B35" s="52">
        <f>SUM(B36:B37)</f>
        <v>61575955</v>
      </c>
      <c r="C35" s="52">
        <f>SUM(C36:C37)</f>
        <v>42803321</v>
      </c>
      <c r="D35" s="52">
        <f>SUM(D36:D37)</f>
        <v>37316341.39</v>
      </c>
      <c r="E35" s="11">
        <f t="shared" si="0"/>
        <v>0.6060213177367691</v>
      </c>
      <c r="F35" s="11">
        <f t="shared" si="1"/>
        <v>0.8718094885674875</v>
      </c>
      <c r="G35" s="52">
        <f>SUM(G36:G37)</f>
        <v>3754142.3900000015</v>
      </c>
      <c r="H35" s="32" t="s">
        <v>273</v>
      </c>
      <c r="I35" s="183">
        <f>SUM(I36:I37)</f>
        <v>61576</v>
      </c>
      <c r="J35" s="183">
        <f>SUM(J36:J37)</f>
        <v>42804</v>
      </c>
      <c r="K35" s="183">
        <f>SUM(K36:K37)</f>
        <v>37316</v>
      </c>
      <c r="L35" s="224">
        <f t="shared" si="2"/>
        <v>0.6060153306483045</v>
      </c>
      <c r="M35" s="224">
        <f t="shared" si="3"/>
        <v>0.8717876833940753</v>
      </c>
      <c r="N35" s="183">
        <f>SUM(N36:N37)</f>
        <v>3754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17" customFormat="1" ht="14.25" customHeight="1">
      <c r="A36" s="151" t="s">
        <v>333</v>
      </c>
      <c r="B36" s="168">
        <v>56615699</v>
      </c>
      <c r="C36" s="168">
        <v>38847734</v>
      </c>
      <c r="D36" s="168">
        <f>37292334.64-1999178+24006.39</f>
        <v>35317163.03</v>
      </c>
      <c r="E36" s="19">
        <f t="shared" si="0"/>
        <v>0.6238051221446547</v>
      </c>
      <c r="F36" s="19">
        <f t="shared" si="1"/>
        <v>0.9091177114732097</v>
      </c>
      <c r="G36" s="168">
        <f>D36-'[8]Jūlijs'!D36</f>
        <v>3090079.030000001</v>
      </c>
      <c r="H36" s="151" t="s">
        <v>333</v>
      </c>
      <c r="I36" s="168">
        <f aca="true" t="shared" si="12" ref="I36:K37">ROUND(B36/1000,0)</f>
        <v>56616</v>
      </c>
      <c r="J36" s="168">
        <f>ROUND(C36/1000,0)</f>
        <v>38848</v>
      </c>
      <c r="K36" s="168">
        <f t="shared" si="12"/>
        <v>35317</v>
      </c>
      <c r="L36" s="223">
        <f t="shared" si="2"/>
        <v>0.6237989260986294</v>
      </c>
      <c r="M36" s="223">
        <f t="shared" si="3"/>
        <v>0.9091072899505767</v>
      </c>
      <c r="N36" s="168">
        <f>K36-'[8]Jūlijs'!K36</f>
        <v>3090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17" customFormat="1" ht="12.75" customHeight="1">
      <c r="A37" s="151" t="s">
        <v>334</v>
      </c>
      <c r="B37" s="168">
        <v>4960256</v>
      </c>
      <c r="C37" s="168">
        <v>3955587</v>
      </c>
      <c r="D37" s="168">
        <f>697862.29+74573.72+1226742.35</f>
        <v>1999178.36</v>
      </c>
      <c r="E37" s="19">
        <f t="shared" si="0"/>
        <v>0.4030393511947771</v>
      </c>
      <c r="F37" s="19">
        <f t="shared" si="1"/>
        <v>0.5054062418548751</v>
      </c>
      <c r="G37" s="168">
        <f>D37-'[8]Jūlijs'!D37</f>
        <v>664063.3600000001</v>
      </c>
      <c r="H37" s="151" t="s">
        <v>334</v>
      </c>
      <c r="I37" s="168">
        <f>ROUND(B37/1000,0)</f>
        <v>4960</v>
      </c>
      <c r="J37" s="168">
        <f t="shared" si="12"/>
        <v>3956</v>
      </c>
      <c r="K37" s="168">
        <f t="shared" si="12"/>
        <v>1999</v>
      </c>
      <c r="L37" s="223">
        <f t="shared" si="2"/>
        <v>0.4030241935483871</v>
      </c>
      <c r="M37" s="223">
        <f t="shared" si="3"/>
        <v>0.5053083923154702</v>
      </c>
      <c r="N37" s="168">
        <f>K37-'[8]Jūlijs'!K37</f>
        <v>664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customHeight="1">
      <c r="A38" s="225" t="s">
        <v>278</v>
      </c>
      <c r="B38" s="52">
        <f>SUM(B39:B40)</f>
        <v>47956645</v>
      </c>
      <c r="C38" s="52">
        <f>SUM(C39:C40)</f>
        <v>31108630</v>
      </c>
      <c r="D38" s="52">
        <f>SUM(D39:D40)</f>
        <v>29545925.36</v>
      </c>
      <c r="E38" s="11">
        <f t="shared" si="0"/>
        <v>0.6160965880744994</v>
      </c>
      <c r="F38" s="11">
        <f t="shared" si="1"/>
        <v>0.9497662018545979</v>
      </c>
      <c r="G38" s="52">
        <f>SUM(G39:G40)</f>
        <v>3173551.3599999985</v>
      </c>
      <c r="H38" s="225" t="s">
        <v>278</v>
      </c>
      <c r="I38" s="183">
        <f>SUM(I39:I40)</f>
        <v>47956</v>
      </c>
      <c r="J38" s="183">
        <f>SUM(J39:J40)</f>
        <v>31108</v>
      </c>
      <c r="K38" s="183">
        <f>SUM(K39:K40)</f>
        <v>29546</v>
      </c>
      <c r="L38" s="224">
        <f t="shared" si="2"/>
        <v>0.6161064308949871</v>
      </c>
      <c r="M38" s="224">
        <f t="shared" si="3"/>
        <v>0.9497878359264498</v>
      </c>
      <c r="N38" s="183">
        <f>SUM(N39:N40)</f>
        <v>3173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2.75">
      <c r="A39" s="151" t="s">
        <v>333</v>
      </c>
      <c r="B39" s="168">
        <v>44546304</v>
      </c>
      <c r="C39" s="168">
        <v>28380382</v>
      </c>
      <c r="D39" s="168">
        <f>29545925.65-2454183</f>
        <v>27091742.65</v>
      </c>
      <c r="E39" s="19">
        <f t="shared" si="0"/>
        <v>0.6081703804203374</v>
      </c>
      <c r="F39" s="19">
        <f t="shared" si="1"/>
        <v>0.9545940096930337</v>
      </c>
      <c r="G39" s="168">
        <f>D39-'[8]Jūlijs'!D39</f>
        <v>2865890.6499999985</v>
      </c>
      <c r="H39" s="151" t="s">
        <v>333</v>
      </c>
      <c r="I39" s="168">
        <f aca="true" t="shared" si="13" ref="I39:K40">ROUND(B39/1000,0)</f>
        <v>44546</v>
      </c>
      <c r="J39" s="168">
        <f t="shared" si="13"/>
        <v>28380</v>
      </c>
      <c r="K39" s="168">
        <f t="shared" si="13"/>
        <v>27092</v>
      </c>
      <c r="L39" s="223">
        <f t="shared" si="2"/>
        <v>0.6081803079962286</v>
      </c>
      <c r="M39" s="223">
        <f t="shared" si="3"/>
        <v>0.95461592670895</v>
      </c>
      <c r="N39" s="168">
        <f>K39-'[8]Jūlijs'!K39</f>
        <v>2866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2.75">
      <c r="A40" s="151" t="s">
        <v>334</v>
      </c>
      <c r="B40" s="168">
        <v>3410341</v>
      </c>
      <c r="C40" s="168">
        <v>2728248</v>
      </c>
      <c r="D40" s="168">
        <f>601194.19+350.5+244.2+273087.08+4955.2+1574351.54</f>
        <v>2454182.71</v>
      </c>
      <c r="E40" s="19">
        <f t="shared" si="0"/>
        <v>0.7196297115156519</v>
      </c>
      <c r="F40" s="19">
        <f t="shared" si="1"/>
        <v>0.8995453162615715</v>
      </c>
      <c r="G40" s="168">
        <f>D40-'[8]Jūlijs'!D40</f>
        <v>307660.70999999996</v>
      </c>
      <c r="H40" s="151" t="s">
        <v>334</v>
      </c>
      <c r="I40" s="168">
        <f t="shared" si="13"/>
        <v>3410</v>
      </c>
      <c r="J40" s="168">
        <f t="shared" si="13"/>
        <v>2728</v>
      </c>
      <c r="K40" s="168">
        <f t="shared" si="13"/>
        <v>2454</v>
      </c>
      <c r="L40" s="223">
        <f t="shared" si="2"/>
        <v>0.7196480938416422</v>
      </c>
      <c r="M40" s="223">
        <f t="shared" si="3"/>
        <v>0.8995601173020528</v>
      </c>
      <c r="N40" s="168">
        <f>K40-'[8]Jūlijs'!K40</f>
        <v>307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2.75" customHeight="1">
      <c r="A41" s="225" t="s">
        <v>284</v>
      </c>
      <c r="B41" s="52">
        <f>SUM(B42:B43)</f>
        <v>8153796</v>
      </c>
      <c r="C41" s="52">
        <f>SUM(C42:C43)</f>
        <v>5476787</v>
      </c>
      <c r="D41" s="52">
        <f>SUM(D42:D43)</f>
        <v>5308995.21</v>
      </c>
      <c r="E41" s="11">
        <f t="shared" si="0"/>
        <v>0.6511071910555525</v>
      </c>
      <c r="F41" s="11">
        <f t="shared" si="1"/>
        <v>0.9693630973780795</v>
      </c>
      <c r="G41" s="52">
        <f>SUM(G42:G43)</f>
        <v>994097.2100000002</v>
      </c>
      <c r="H41" s="225" t="s">
        <v>284</v>
      </c>
      <c r="I41" s="183">
        <f>SUM(I42:I43)</f>
        <v>8154</v>
      </c>
      <c r="J41" s="183">
        <f>SUM(J42:J43)</f>
        <v>5476</v>
      </c>
      <c r="K41" s="183">
        <f>SUM(K42:K43)</f>
        <v>5309</v>
      </c>
      <c r="L41" s="224">
        <f t="shared" si="2"/>
        <v>0.6510914888398333</v>
      </c>
      <c r="M41" s="224">
        <f t="shared" si="3"/>
        <v>0.9695032870708546</v>
      </c>
      <c r="N41" s="183">
        <f>SUM(N42:N43)</f>
        <v>994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2.75">
      <c r="A42" s="151" t="s">
        <v>333</v>
      </c>
      <c r="B42" s="168">
        <v>4897796</v>
      </c>
      <c r="C42" s="168">
        <v>3309467</v>
      </c>
      <c r="D42" s="168">
        <f>5308995.45-2048181</f>
        <v>3260814.45</v>
      </c>
      <c r="E42" s="19">
        <f t="shared" si="0"/>
        <v>0.6657717981720758</v>
      </c>
      <c r="F42" s="19">
        <f t="shared" si="1"/>
        <v>0.9852989771464711</v>
      </c>
      <c r="G42" s="168">
        <f>D42-'[8]Jūlijs'!D42</f>
        <v>350253.4500000002</v>
      </c>
      <c r="H42" s="151" t="s">
        <v>333</v>
      </c>
      <c r="I42" s="168">
        <f>ROUND(B42/1000,0)</f>
        <v>4898</v>
      </c>
      <c r="J42" s="168">
        <f aca="true" t="shared" si="14" ref="I42:K43">ROUND(C42/1000,0)</f>
        <v>3309</v>
      </c>
      <c r="K42" s="168">
        <f t="shared" si="14"/>
        <v>3261</v>
      </c>
      <c r="L42" s="223">
        <f t="shared" si="2"/>
        <v>0.6657819518170682</v>
      </c>
      <c r="M42" s="223">
        <f t="shared" si="3"/>
        <v>0.985494106980961</v>
      </c>
      <c r="N42" s="168">
        <f>K42-'[8]Jūlijs'!K42</f>
        <v>350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2.75">
      <c r="A43" s="151" t="s">
        <v>334</v>
      </c>
      <c r="B43" s="168">
        <v>3256000</v>
      </c>
      <c r="C43" s="168">
        <v>2167320</v>
      </c>
      <c r="D43" s="168">
        <f>16578.84+2031601.92</f>
        <v>2048180.76</v>
      </c>
      <c r="E43" s="19">
        <f t="shared" si="0"/>
        <v>0.629048144963145</v>
      </c>
      <c r="F43" s="19">
        <f t="shared" si="1"/>
        <v>0.9450292342616687</v>
      </c>
      <c r="G43" s="168">
        <f>D43-'[8]Jūlijs'!D43</f>
        <v>643843.76</v>
      </c>
      <c r="H43" s="151" t="s">
        <v>334</v>
      </c>
      <c r="I43" s="168">
        <f t="shared" si="14"/>
        <v>3256</v>
      </c>
      <c r="J43" s="168">
        <f t="shared" si="14"/>
        <v>2167</v>
      </c>
      <c r="K43" s="168">
        <f t="shared" si="14"/>
        <v>2048</v>
      </c>
      <c r="L43" s="223">
        <f t="shared" si="2"/>
        <v>0.628992628992629</v>
      </c>
      <c r="M43" s="223">
        <f t="shared" si="3"/>
        <v>0.9450853714813106</v>
      </c>
      <c r="N43" s="168">
        <f>K43-'[8]Jūlijs'!K43</f>
        <v>644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5" customHeight="1">
      <c r="A44" s="225" t="s">
        <v>296</v>
      </c>
      <c r="B44" s="52">
        <f>SUM(B45:B46)</f>
        <v>158815191</v>
      </c>
      <c r="C44" s="52">
        <f>SUM(C45:C46)</f>
        <v>106421462</v>
      </c>
      <c r="D44" s="52">
        <f>SUM(D45:D46)</f>
        <v>105113571.53</v>
      </c>
      <c r="E44" s="11">
        <f t="shared" si="0"/>
        <v>0.6618609395495422</v>
      </c>
      <c r="F44" s="11">
        <f t="shared" si="1"/>
        <v>0.9877102753014237</v>
      </c>
      <c r="G44" s="52">
        <f>SUM(G45:G46)</f>
        <v>13819751.53</v>
      </c>
      <c r="H44" s="225" t="s">
        <v>296</v>
      </c>
      <c r="I44" s="183">
        <f>SUM(I45:I46)</f>
        <v>158815</v>
      </c>
      <c r="J44" s="183">
        <f>SUM(J45:J46)</f>
        <v>106421</v>
      </c>
      <c r="K44" s="183">
        <f>SUM(K45:K46)</f>
        <v>105114</v>
      </c>
      <c r="L44" s="224">
        <f t="shared" si="2"/>
        <v>0.6618644334603154</v>
      </c>
      <c r="M44" s="224">
        <f t="shared" si="3"/>
        <v>0.987718589376157</v>
      </c>
      <c r="N44" s="183">
        <f>SUM(N45:N46)</f>
        <v>13820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12.75">
      <c r="A45" s="151" t="s">
        <v>333</v>
      </c>
      <c r="B45" s="168">
        <v>153988269</v>
      </c>
      <c r="C45" s="168">
        <v>102582431</v>
      </c>
      <c r="D45" s="168">
        <f>105113571.53-551324.76-934-278361.23-30000.05-1803277.27</f>
        <v>102449674.22</v>
      </c>
      <c r="E45" s="19">
        <f t="shared" si="0"/>
        <v>0.6653083048813283</v>
      </c>
      <c r="F45" s="19">
        <f t="shared" si="1"/>
        <v>0.9987058526620411</v>
      </c>
      <c r="G45" s="168">
        <f>D45-'[8]Jūlijs'!D45</f>
        <v>13392645.219999999</v>
      </c>
      <c r="H45" s="151" t="s">
        <v>333</v>
      </c>
      <c r="I45" s="168">
        <f aca="true" t="shared" si="15" ref="I45:K46">ROUND(B45/1000,0)</f>
        <v>153988</v>
      </c>
      <c r="J45" s="168">
        <f t="shared" si="15"/>
        <v>102582</v>
      </c>
      <c r="K45" s="168">
        <f t="shared" si="15"/>
        <v>102450</v>
      </c>
      <c r="L45" s="223">
        <f t="shared" si="2"/>
        <v>0.6653115827207314</v>
      </c>
      <c r="M45" s="223">
        <f t="shared" si="3"/>
        <v>0.9987132245423174</v>
      </c>
      <c r="N45" s="168">
        <f>K45-'[8]Jūlijs'!K45</f>
        <v>13393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12.75">
      <c r="A46" s="151" t="s">
        <v>334</v>
      </c>
      <c r="B46" s="168">
        <v>4826922</v>
      </c>
      <c r="C46" s="168">
        <v>3839031</v>
      </c>
      <c r="D46" s="168">
        <f>551324.76+934+278361.23+30000.05+1803277.27</f>
        <v>2663897.31</v>
      </c>
      <c r="E46" s="19">
        <f t="shared" si="0"/>
        <v>0.5518832311771352</v>
      </c>
      <c r="F46" s="19">
        <f t="shared" si="1"/>
        <v>0.6938983587264599</v>
      </c>
      <c r="G46" s="168">
        <f>D46-'[8]Jūlijs'!D46</f>
        <v>427106.31000000006</v>
      </c>
      <c r="H46" s="151" t="s">
        <v>334</v>
      </c>
      <c r="I46" s="168">
        <f t="shared" si="15"/>
        <v>4827</v>
      </c>
      <c r="J46" s="168">
        <f t="shared" si="15"/>
        <v>3839</v>
      </c>
      <c r="K46" s="168">
        <f t="shared" si="15"/>
        <v>2664</v>
      </c>
      <c r="L46" s="223">
        <f t="shared" si="2"/>
        <v>0.5518955873213176</v>
      </c>
      <c r="M46" s="223">
        <f t="shared" si="3"/>
        <v>0.6939307111226882</v>
      </c>
      <c r="N46" s="168">
        <f>K46-'[8]Jūlijs'!K46</f>
        <v>427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5.75" customHeight="1">
      <c r="A47" s="225" t="s">
        <v>341</v>
      </c>
      <c r="B47" s="52">
        <f>SUM(B48:B49)</f>
        <v>13929746</v>
      </c>
      <c r="C47" s="52">
        <f>SUM(C48:C49)</f>
        <v>8779426</v>
      </c>
      <c r="D47" s="52">
        <f>SUM(D48:D49)</f>
        <v>7967437.369999999</v>
      </c>
      <c r="E47" s="11">
        <f t="shared" si="0"/>
        <v>0.5719729110638485</v>
      </c>
      <c r="F47" s="11">
        <f t="shared" si="1"/>
        <v>0.9075123328108238</v>
      </c>
      <c r="G47" s="52">
        <f>SUM(G48:G49)</f>
        <v>834890.3699999996</v>
      </c>
      <c r="H47" s="225" t="s">
        <v>341</v>
      </c>
      <c r="I47" s="183">
        <f>SUM(I48:I49)</f>
        <v>13929</v>
      </c>
      <c r="J47" s="183">
        <f>SUM(J48:J49)</f>
        <v>8779</v>
      </c>
      <c r="K47" s="183">
        <f>SUM(K48:K49)</f>
        <v>7968</v>
      </c>
      <c r="L47" s="224">
        <f t="shared" si="2"/>
        <v>0.5720439371096274</v>
      </c>
      <c r="M47" s="224">
        <f t="shared" si="3"/>
        <v>0.9076204579109238</v>
      </c>
      <c r="N47" s="183">
        <f>SUM(N48:N49)</f>
        <v>836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2.75">
      <c r="A48" s="151" t="s">
        <v>333</v>
      </c>
      <c r="B48" s="168">
        <v>12857343</v>
      </c>
      <c r="C48" s="168">
        <v>8137372</v>
      </c>
      <c r="D48" s="168">
        <f>7941638.21-520015+25799.1</f>
        <v>7447422.31</v>
      </c>
      <c r="E48" s="19">
        <f t="shared" si="0"/>
        <v>0.579234940687201</v>
      </c>
      <c r="F48" s="19">
        <f t="shared" si="1"/>
        <v>0.9152122220785777</v>
      </c>
      <c r="G48" s="168">
        <f>D48-'[8]Jūlijs'!D48</f>
        <v>763143.3099999996</v>
      </c>
      <c r="H48" s="151" t="s">
        <v>333</v>
      </c>
      <c r="I48" s="168">
        <f aca="true" t="shared" si="16" ref="I48:K49">ROUND(B48/1000,0)</f>
        <v>12857</v>
      </c>
      <c r="J48" s="168">
        <f t="shared" si="16"/>
        <v>8137</v>
      </c>
      <c r="K48" s="168">
        <f>ROUND(D48/1000,0)+1</f>
        <v>7448</v>
      </c>
      <c r="L48" s="223">
        <f t="shared" si="2"/>
        <v>0.5792953255036167</v>
      </c>
      <c r="M48" s="223">
        <f t="shared" si="3"/>
        <v>0.9153250583753226</v>
      </c>
      <c r="N48" s="168">
        <f>K48-'[8]Jūlijs'!K48</f>
        <v>764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6.5" customHeight="1">
      <c r="A49" s="151" t="s">
        <v>334</v>
      </c>
      <c r="B49" s="168">
        <v>1072403</v>
      </c>
      <c r="C49" s="168">
        <v>642054</v>
      </c>
      <c r="D49" s="168">
        <f>208288.61+15000+8596.62+288129.83</f>
        <v>520015.06</v>
      </c>
      <c r="E49" s="19">
        <f t="shared" si="0"/>
        <v>0.4849063831414123</v>
      </c>
      <c r="F49" s="19">
        <f t="shared" si="1"/>
        <v>0.8099241808321418</v>
      </c>
      <c r="G49" s="168">
        <f>D49-'[8]Jūlijs'!D49</f>
        <v>71747.06</v>
      </c>
      <c r="H49" s="151" t="s">
        <v>334</v>
      </c>
      <c r="I49" s="168">
        <f t="shared" si="16"/>
        <v>1072</v>
      </c>
      <c r="J49" s="168">
        <f t="shared" si="16"/>
        <v>642</v>
      </c>
      <c r="K49" s="168">
        <f t="shared" si="16"/>
        <v>520</v>
      </c>
      <c r="L49" s="223">
        <f t="shared" si="2"/>
        <v>0.48507462686567165</v>
      </c>
      <c r="M49" s="223">
        <f t="shared" si="3"/>
        <v>0.8099688473520249</v>
      </c>
      <c r="N49" s="168">
        <f>K49-'[8]Jūlijs'!K49</f>
        <v>72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69.75" customHeight="1" hidden="1">
      <c r="A50" s="7" t="s">
        <v>5</v>
      </c>
      <c r="B50" s="7" t="s">
        <v>6</v>
      </c>
      <c r="C50" s="7" t="s">
        <v>328</v>
      </c>
      <c r="D50" s="7" t="s">
        <v>7</v>
      </c>
      <c r="E50" s="7" t="s">
        <v>329</v>
      </c>
      <c r="F50" s="7" t="s">
        <v>330</v>
      </c>
      <c r="G50" s="7" t="s">
        <v>342</v>
      </c>
      <c r="H50" s="7" t="s">
        <v>5</v>
      </c>
      <c r="I50" s="7" t="s">
        <v>6</v>
      </c>
      <c r="J50" s="7" t="s">
        <v>328</v>
      </c>
      <c r="K50" s="7" t="s">
        <v>7</v>
      </c>
      <c r="L50" s="7" t="s">
        <v>329</v>
      </c>
      <c r="M50" s="7" t="s">
        <v>330</v>
      </c>
      <c r="N50" s="7" t="s">
        <v>342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12.75" hidden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198">
        <v>7</v>
      </c>
      <c r="H51" s="7">
        <v>1</v>
      </c>
      <c r="I51" s="7">
        <v>2</v>
      </c>
      <c r="J51" s="7">
        <v>3</v>
      </c>
      <c r="K51" s="7">
        <v>4</v>
      </c>
      <c r="L51" s="7">
        <v>5</v>
      </c>
      <c r="M51" s="7">
        <v>6</v>
      </c>
      <c r="N51" s="198">
        <v>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29.25" customHeight="1">
      <c r="A52" s="32" t="s">
        <v>311</v>
      </c>
      <c r="B52" s="52">
        <f>SUM(B53:B54)</f>
        <v>8048422</v>
      </c>
      <c r="C52" s="52">
        <f>SUM(C53:C54)</f>
        <v>5787599</v>
      </c>
      <c r="D52" s="52">
        <f>SUM(D53:D54)</f>
        <v>5070255.790000001</v>
      </c>
      <c r="E52" s="11">
        <f t="shared" si="0"/>
        <v>0.6299689293131002</v>
      </c>
      <c r="F52" s="11">
        <f t="shared" si="1"/>
        <v>0.876055129251353</v>
      </c>
      <c r="G52" s="52">
        <f>SUM(G53:G54)</f>
        <v>504984.79000000074</v>
      </c>
      <c r="H52" s="32" t="s">
        <v>311</v>
      </c>
      <c r="I52" s="183">
        <f>SUM(I53:I54)</f>
        <v>8049</v>
      </c>
      <c r="J52" s="183">
        <f>SUM(J53:J54)</f>
        <v>5788</v>
      </c>
      <c r="K52" s="183">
        <f>SUM(K53:K54)</f>
        <v>5070</v>
      </c>
      <c r="L52" s="224">
        <f aca="true" t="shared" si="17" ref="L52:L95">IF(ISERROR(ROUND(K52,0)/ROUND(I52,0))," ",(ROUND(K52,)/ROUND(I52,)))</f>
        <v>0.6298919120387626</v>
      </c>
      <c r="M52" s="224">
        <f aca="true" t="shared" si="18" ref="M52:M95">IF(ISERROR(ROUND(K52,0)/ROUND(J52,0))," ",(ROUND(K52,)/ROUND(J52,)))</f>
        <v>0.8759502418797512</v>
      </c>
      <c r="N52" s="183">
        <f>SUM(N53:N54)</f>
        <v>505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2.75">
      <c r="A53" s="151" t="s">
        <v>333</v>
      </c>
      <c r="B53" s="168">
        <v>6809854</v>
      </c>
      <c r="C53" s="168">
        <v>4640919</v>
      </c>
      <c r="D53" s="168">
        <f>5070255.79-139951.27-845007.72</f>
        <v>4085296.8000000007</v>
      </c>
      <c r="E53" s="11">
        <f t="shared" si="0"/>
        <v>0.5999096015861721</v>
      </c>
      <c r="F53" s="11">
        <f t="shared" si="1"/>
        <v>0.880277548476929</v>
      </c>
      <c r="G53" s="168">
        <f>D53-'[8]Jūlijs'!D53</f>
        <v>451824.80000000075</v>
      </c>
      <c r="H53" s="151" t="s">
        <v>333</v>
      </c>
      <c r="I53" s="168">
        <f aca="true" t="shared" si="19" ref="I53:K54">ROUND(B53/1000,0)</f>
        <v>6810</v>
      </c>
      <c r="J53" s="168">
        <f>ROUND(C53/1000,0)</f>
        <v>4641</v>
      </c>
      <c r="K53" s="168">
        <f>ROUND(D53/1000,0)</f>
        <v>4085</v>
      </c>
      <c r="L53" s="223">
        <f t="shared" si="17"/>
        <v>0.5998531571218796</v>
      </c>
      <c r="M53" s="223">
        <f t="shared" si="18"/>
        <v>0.8801982331394096</v>
      </c>
      <c r="N53" s="168">
        <f>K53-'[8]Jūlijs'!K53</f>
        <v>452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2.75" customHeight="1">
      <c r="A54" s="112" t="s">
        <v>334</v>
      </c>
      <c r="B54" s="168">
        <v>1238568</v>
      </c>
      <c r="C54" s="168">
        <v>1146680</v>
      </c>
      <c r="D54" s="168">
        <f>139951.27+845007.72</f>
        <v>984958.99</v>
      </c>
      <c r="E54" s="11">
        <f t="shared" si="0"/>
        <v>0.7952401402264551</v>
      </c>
      <c r="F54" s="11">
        <f t="shared" si="1"/>
        <v>0.8589658753967977</v>
      </c>
      <c r="G54" s="168">
        <f>D54-'[8]Jūlijs'!D54</f>
        <v>53159.98999999999</v>
      </c>
      <c r="H54" s="112" t="s">
        <v>334</v>
      </c>
      <c r="I54" s="168">
        <f t="shared" si="19"/>
        <v>1239</v>
      </c>
      <c r="J54" s="168">
        <f t="shared" si="19"/>
        <v>1147</v>
      </c>
      <c r="K54" s="168">
        <f t="shared" si="19"/>
        <v>985</v>
      </c>
      <c r="L54" s="223">
        <f t="shared" si="17"/>
        <v>0.7949959644874899</v>
      </c>
      <c r="M54" s="223">
        <f t="shared" si="18"/>
        <v>0.8587619877942458</v>
      </c>
      <c r="N54" s="168">
        <f>K54-'[8]Jūlijs'!K54</f>
        <v>53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3.5" customHeight="1">
      <c r="A55" s="225" t="s">
        <v>316</v>
      </c>
      <c r="B55" s="52">
        <f>SUM(B56:B57)</f>
        <v>16545997</v>
      </c>
      <c r="C55" s="52">
        <f>SUM(C56:C57)</f>
        <v>11521763</v>
      </c>
      <c r="D55" s="52">
        <f>SUM(D56:D57)</f>
        <v>10980249.26</v>
      </c>
      <c r="E55" s="11">
        <f t="shared" si="0"/>
        <v>0.6636196815459352</v>
      </c>
      <c r="F55" s="11">
        <f t="shared" si="1"/>
        <v>0.9530007916323222</v>
      </c>
      <c r="G55" s="52">
        <f>SUM(G56:G57)</f>
        <v>1031728.2600000002</v>
      </c>
      <c r="H55" s="225" t="s">
        <v>316</v>
      </c>
      <c r="I55" s="183">
        <f>SUM(I56:I57)</f>
        <v>16546</v>
      </c>
      <c r="J55" s="183">
        <f>SUM(J56:J57)</f>
        <v>11522</v>
      </c>
      <c r="K55" s="183">
        <f>SUM(K56:K57)</f>
        <v>10981</v>
      </c>
      <c r="L55" s="224">
        <f t="shared" si="17"/>
        <v>0.6636649341230509</v>
      </c>
      <c r="M55" s="224">
        <f t="shared" si="18"/>
        <v>0.9530463461204652</v>
      </c>
      <c r="N55" s="183">
        <f>SUM(N56:N57)</f>
        <v>1032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2.75">
      <c r="A56" s="151" t="s">
        <v>333</v>
      </c>
      <c r="B56" s="168">
        <v>14168268</v>
      </c>
      <c r="C56" s="168">
        <v>9909578</v>
      </c>
      <c r="D56" s="168">
        <f>10980060.91-25764.02-28132.82-304055-50000-1100441.94+188.35</f>
        <v>9471855.48</v>
      </c>
      <c r="E56" s="19">
        <f t="shared" si="0"/>
        <v>0.668525996261505</v>
      </c>
      <c r="F56" s="19">
        <f t="shared" si="1"/>
        <v>0.9558283390069688</v>
      </c>
      <c r="G56" s="168">
        <f>D56-'[8]Jūlijs'!D56</f>
        <v>800269.4800000004</v>
      </c>
      <c r="H56" s="151" t="s">
        <v>333</v>
      </c>
      <c r="I56" s="168">
        <f aca="true" t="shared" si="20" ref="I56:K57">ROUND(B56/1000,0)</f>
        <v>14168</v>
      </c>
      <c r="J56" s="168">
        <f>ROUND(C56/1000,0)</f>
        <v>9910</v>
      </c>
      <c r="K56" s="168">
        <f t="shared" si="20"/>
        <v>9472</v>
      </c>
      <c r="L56" s="223">
        <f t="shared" si="17"/>
        <v>0.668548842461886</v>
      </c>
      <c r="M56" s="223">
        <f t="shared" si="18"/>
        <v>0.9558022199798184</v>
      </c>
      <c r="N56" s="168">
        <f>K56-'[8]Jūlijs'!K56</f>
        <v>800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2.75">
      <c r="A57" s="151" t="s">
        <v>334</v>
      </c>
      <c r="B57" s="168">
        <v>2377729</v>
      </c>
      <c r="C57" s="168">
        <v>1612185</v>
      </c>
      <c r="D57" s="168">
        <f>25764.02+28132.82+304055+50000+1100441.94</f>
        <v>1508393.7799999998</v>
      </c>
      <c r="E57" s="19">
        <f t="shared" si="0"/>
        <v>0.6343842296577953</v>
      </c>
      <c r="F57" s="19">
        <f t="shared" si="1"/>
        <v>0.9356207755313439</v>
      </c>
      <c r="G57" s="168">
        <f>D57-'[8]Jūlijs'!D57</f>
        <v>231458.7799999998</v>
      </c>
      <c r="H57" s="151" t="s">
        <v>334</v>
      </c>
      <c r="I57" s="168">
        <f t="shared" si="20"/>
        <v>2378</v>
      </c>
      <c r="J57" s="168">
        <f>ROUND(C57/1000,0)</f>
        <v>1612</v>
      </c>
      <c r="K57" s="168">
        <f>ROUND(D57/1000,0)+1</f>
        <v>1509</v>
      </c>
      <c r="L57" s="223">
        <f t="shared" si="17"/>
        <v>0.6345668629100084</v>
      </c>
      <c r="M57" s="223">
        <f t="shared" si="18"/>
        <v>0.9361042183622829</v>
      </c>
      <c r="N57" s="168">
        <f>K57-'[8]Jūlijs'!K57</f>
        <v>232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2.75">
      <c r="A58" s="225" t="s">
        <v>343</v>
      </c>
      <c r="B58" s="52">
        <f>SUM(B59:B60)</f>
        <v>13854081</v>
      </c>
      <c r="C58" s="52">
        <f>SUM(C59:C60)</f>
        <v>9718000</v>
      </c>
      <c r="D58" s="52">
        <f>SUM(D59:D60)</f>
        <v>8655710.85</v>
      </c>
      <c r="E58" s="11">
        <f t="shared" si="0"/>
        <v>0.6247769772675646</v>
      </c>
      <c r="F58" s="11">
        <f t="shared" si="1"/>
        <v>0.8906885007203128</v>
      </c>
      <c r="G58" s="52">
        <f>SUM(G59:G60)</f>
        <v>1224180.8499999996</v>
      </c>
      <c r="H58" s="225" t="s">
        <v>343</v>
      </c>
      <c r="I58" s="183">
        <f>SUM(I59:I60)</f>
        <v>13854</v>
      </c>
      <c r="J58" s="183">
        <f>SUM(J59:J60)</f>
        <v>9718</v>
      </c>
      <c r="K58" s="183">
        <f>SUM(K59:K60)</f>
        <v>8655</v>
      </c>
      <c r="L58" s="224">
        <f t="shared" si="17"/>
        <v>0.6247293200519706</v>
      </c>
      <c r="M58" s="224">
        <f t="shared" si="18"/>
        <v>0.8906153529532825</v>
      </c>
      <c r="N58" s="183">
        <f>SUM(N59:N60)</f>
        <v>1224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2.75">
      <c r="A59" s="151" t="s">
        <v>333</v>
      </c>
      <c r="B59" s="168">
        <v>12220283</v>
      </c>
      <c r="C59" s="168">
        <v>8335853</v>
      </c>
      <c r="D59" s="168">
        <f>8655710.85-504728.39-33156.32-442444.62</f>
        <v>7675381.52</v>
      </c>
      <c r="E59" s="19">
        <f t="shared" si="0"/>
        <v>0.6280854150431704</v>
      </c>
      <c r="F59" s="19">
        <f t="shared" si="1"/>
        <v>0.9207673791752325</v>
      </c>
      <c r="G59" s="168">
        <f>D59-'[8]Jūlijs'!D59</f>
        <v>1117038.5199999996</v>
      </c>
      <c r="H59" s="151" t="s">
        <v>333</v>
      </c>
      <c r="I59" s="168">
        <f aca="true" t="shared" si="21" ref="I59:K60">ROUND(B59/1000,0)</f>
        <v>12220</v>
      </c>
      <c r="J59" s="168">
        <f t="shared" si="21"/>
        <v>8336</v>
      </c>
      <c r="K59" s="168">
        <f t="shared" si="21"/>
        <v>7675</v>
      </c>
      <c r="L59" s="223">
        <f t="shared" si="17"/>
        <v>0.6280687397708674</v>
      </c>
      <c r="M59" s="223">
        <f t="shared" si="18"/>
        <v>0.9207053742802304</v>
      </c>
      <c r="N59" s="168">
        <f>K59-'[8]Jūlijs'!K59</f>
        <v>1117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12.75">
      <c r="A60" s="151" t="s">
        <v>334</v>
      </c>
      <c r="B60" s="168">
        <v>1633798</v>
      </c>
      <c r="C60" s="168">
        <v>1382147</v>
      </c>
      <c r="D60" s="168">
        <f>504728.39+33156.32+442444.62</f>
        <v>980329.33</v>
      </c>
      <c r="E60" s="19">
        <f t="shared" si="0"/>
        <v>0.6000309279360116</v>
      </c>
      <c r="F60" s="19">
        <f t="shared" si="1"/>
        <v>0.7092800765765146</v>
      </c>
      <c r="G60" s="168">
        <f>D60-'[8]Jūlijs'!D60</f>
        <v>107142.32999999996</v>
      </c>
      <c r="H60" s="151" t="s">
        <v>334</v>
      </c>
      <c r="I60" s="168">
        <f t="shared" si="21"/>
        <v>1634</v>
      </c>
      <c r="J60" s="168">
        <f t="shared" si="21"/>
        <v>1382</v>
      </c>
      <c r="K60" s="168">
        <f t="shared" si="21"/>
        <v>980</v>
      </c>
      <c r="L60" s="223">
        <f t="shared" si="17"/>
        <v>0.5997552019583844</v>
      </c>
      <c r="M60" s="223">
        <f t="shared" si="18"/>
        <v>0.7091172214182344</v>
      </c>
      <c r="N60" s="168">
        <f>K60-'[8]Jūlijs'!K60</f>
        <v>107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12.75">
      <c r="A61" s="225" t="s">
        <v>344</v>
      </c>
      <c r="B61" s="52">
        <f>SUM(B62:B63)</f>
        <v>1254628</v>
      </c>
      <c r="C61" s="52">
        <f>SUM(C62:C63)</f>
        <v>845508</v>
      </c>
      <c r="D61" s="52">
        <f>SUM(D62:D63)</f>
        <v>795440.55</v>
      </c>
      <c r="E61" s="11">
        <f t="shared" si="0"/>
        <v>0.6340050995195389</v>
      </c>
      <c r="F61" s="11">
        <f t="shared" si="1"/>
        <v>0.9407841794518799</v>
      </c>
      <c r="G61" s="52">
        <f>SUM(G62:G63)</f>
        <v>87985.55</v>
      </c>
      <c r="H61" s="225" t="s">
        <v>344</v>
      </c>
      <c r="I61" s="183">
        <f>SUM(I62:I63)</f>
        <v>1255</v>
      </c>
      <c r="J61" s="183">
        <f>SUM(J62:J63)</f>
        <v>845</v>
      </c>
      <c r="K61" s="183">
        <f>SUM(K62:K63)</f>
        <v>795</v>
      </c>
      <c r="L61" s="224">
        <f t="shared" si="17"/>
        <v>0.6334661354581673</v>
      </c>
      <c r="M61" s="224">
        <f t="shared" si="18"/>
        <v>0.9408284023668639</v>
      </c>
      <c r="N61" s="183">
        <f>SUM(N62:N63)</f>
        <v>88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2.75">
      <c r="A62" s="151" t="s">
        <v>333</v>
      </c>
      <c r="B62" s="168">
        <v>1212470</v>
      </c>
      <c r="C62" s="168">
        <v>803350</v>
      </c>
      <c r="D62" s="168">
        <f>795440.55-32389.42</f>
        <v>763051.13</v>
      </c>
      <c r="E62" s="19">
        <f t="shared" si="0"/>
        <v>0.6293360907898752</v>
      </c>
      <c r="F62" s="19">
        <f t="shared" si="1"/>
        <v>0.9498364722723595</v>
      </c>
      <c r="G62" s="168">
        <f>D62-'[8]Jūlijs'!D62</f>
        <v>87909.13</v>
      </c>
      <c r="H62" s="151" t="s">
        <v>333</v>
      </c>
      <c r="I62" s="168">
        <f>ROUND(B62/1000,0)+1</f>
        <v>1213</v>
      </c>
      <c r="J62" s="168">
        <f>ROUND(C62/1000,0)</f>
        <v>803</v>
      </c>
      <c r="K62" s="168">
        <f aca="true" t="shared" si="22" ref="I62:K63">ROUND(D62/1000,0)</f>
        <v>763</v>
      </c>
      <c r="L62" s="223">
        <f t="shared" si="17"/>
        <v>0.6290189612530915</v>
      </c>
      <c r="M62" s="223">
        <f t="shared" si="18"/>
        <v>0.950186799501868</v>
      </c>
      <c r="N62" s="168">
        <f>K62-'[8]Jūlijs'!K62</f>
        <v>88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2.75">
      <c r="A63" s="151" t="s">
        <v>334</v>
      </c>
      <c r="B63" s="168">
        <v>42158</v>
      </c>
      <c r="C63" s="168">
        <v>42158</v>
      </c>
      <c r="D63" s="168">
        <v>32389.42</v>
      </c>
      <c r="E63" s="19">
        <f t="shared" si="0"/>
        <v>0.7682864462261018</v>
      </c>
      <c r="F63" s="19">
        <f t="shared" si="1"/>
        <v>0.7682864462261018</v>
      </c>
      <c r="G63" s="168">
        <f>D63-'[8]Jūlijs'!D63</f>
        <v>76.41999999999825</v>
      </c>
      <c r="H63" s="151" t="s">
        <v>334</v>
      </c>
      <c r="I63" s="168">
        <f t="shared" si="22"/>
        <v>42</v>
      </c>
      <c r="J63" s="168">
        <f t="shared" si="22"/>
        <v>42</v>
      </c>
      <c r="K63" s="168">
        <f t="shared" si="22"/>
        <v>32</v>
      </c>
      <c r="L63" s="223">
        <f t="shared" si="17"/>
        <v>0.7619047619047619</v>
      </c>
      <c r="M63" s="223">
        <f t="shared" si="18"/>
        <v>0.7619047619047619</v>
      </c>
      <c r="N63" s="168">
        <f>K63-'[8]Jūlijs'!K63</f>
        <v>0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225" t="s">
        <v>345</v>
      </c>
      <c r="B64" s="52">
        <f>SUM(B65:B66)</f>
        <v>741295</v>
      </c>
      <c r="C64" s="52">
        <f>SUM(C65:C66)</f>
        <v>500299</v>
      </c>
      <c r="D64" s="52">
        <f>SUM(D65:D66)</f>
        <v>499641.17</v>
      </c>
      <c r="E64" s="11">
        <f t="shared" si="0"/>
        <v>0.6740112505817522</v>
      </c>
      <c r="F64" s="11">
        <f t="shared" si="1"/>
        <v>0.9986851262944759</v>
      </c>
      <c r="G64" s="52">
        <f>SUM(G65:G66)</f>
        <v>61346.169999999984</v>
      </c>
      <c r="H64" s="225" t="s">
        <v>345</v>
      </c>
      <c r="I64" s="183">
        <f>SUM(I65:I66)</f>
        <v>741</v>
      </c>
      <c r="J64" s="183">
        <f>SUM(J65:J66)</f>
        <v>500</v>
      </c>
      <c r="K64" s="183">
        <f>SUM(K65:K66)</f>
        <v>500</v>
      </c>
      <c r="L64" s="224">
        <f t="shared" si="17"/>
        <v>0.6747638326585695</v>
      </c>
      <c r="M64" s="224">
        <f t="shared" si="18"/>
        <v>1</v>
      </c>
      <c r="N64" s="183">
        <f>SUM(N65:N66)</f>
        <v>62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2.75">
      <c r="A65" s="151" t="s">
        <v>333</v>
      </c>
      <c r="B65" s="168">
        <v>737095</v>
      </c>
      <c r="C65" s="168">
        <v>500299</v>
      </c>
      <c r="D65" s="168">
        <v>499641.17</v>
      </c>
      <c r="E65" s="19">
        <f t="shared" si="0"/>
        <v>0.6778517965798166</v>
      </c>
      <c r="F65" s="19">
        <f t="shared" si="1"/>
        <v>0.9986851262944759</v>
      </c>
      <c r="G65" s="168">
        <f>D65-'[8]Jūlijs'!D65</f>
        <v>61346.169999999984</v>
      </c>
      <c r="H65" s="151" t="s">
        <v>333</v>
      </c>
      <c r="I65" s="168">
        <f aca="true" t="shared" si="23" ref="I65:K66">ROUND(B65/1000,0)</f>
        <v>737</v>
      </c>
      <c r="J65" s="168">
        <f t="shared" si="23"/>
        <v>500</v>
      </c>
      <c r="K65" s="168">
        <f t="shared" si="23"/>
        <v>500</v>
      </c>
      <c r="L65" s="223">
        <f t="shared" si="17"/>
        <v>0.6784260515603799</v>
      </c>
      <c r="M65" s="223">
        <f t="shared" si="18"/>
        <v>1</v>
      </c>
      <c r="N65" s="168">
        <f>K65-'[8]Jūlijs'!K65</f>
        <v>62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51" t="s">
        <v>334</v>
      </c>
      <c r="B66" s="168">
        <v>4200</v>
      </c>
      <c r="C66" s="168"/>
      <c r="D66" s="168"/>
      <c r="E66" s="19">
        <f t="shared" si="0"/>
        <v>0</v>
      </c>
      <c r="F66" s="19" t="str">
        <f t="shared" si="1"/>
        <v> </v>
      </c>
      <c r="G66" s="168">
        <f>D66-'[8]Jūlijs'!D66</f>
        <v>0</v>
      </c>
      <c r="H66" s="151" t="s">
        <v>334</v>
      </c>
      <c r="I66" s="168">
        <f t="shared" si="23"/>
        <v>4</v>
      </c>
      <c r="J66" s="168">
        <f t="shared" si="23"/>
        <v>0</v>
      </c>
      <c r="K66" s="168">
        <f t="shared" si="23"/>
        <v>0</v>
      </c>
      <c r="L66" s="223">
        <f t="shared" si="17"/>
        <v>0</v>
      </c>
      <c r="M66" s="223" t="str">
        <f t="shared" si="18"/>
        <v> </v>
      </c>
      <c r="N66" s="168">
        <f>K66-'[8]Jūlijs'!K66</f>
        <v>0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2.75">
      <c r="A67" s="225" t="s">
        <v>346</v>
      </c>
      <c r="B67" s="52">
        <f>SUM(B68:B69)</f>
        <v>348641</v>
      </c>
      <c r="C67" s="52">
        <f>SUM(C68:C69)</f>
        <v>249243</v>
      </c>
      <c r="D67" s="52">
        <f>SUM(D68:D69)</f>
        <v>224883.47</v>
      </c>
      <c r="E67" s="11">
        <f t="shared" si="0"/>
        <v>0.6450287545067849</v>
      </c>
      <c r="F67" s="11">
        <f t="shared" si="1"/>
        <v>0.902265941270166</v>
      </c>
      <c r="G67" s="52">
        <f>SUM(G68:G69)</f>
        <v>20239.469999999994</v>
      </c>
      <c r="H67" s="225" t="s">
        <v>346</v>
      </c>
      <c r="I67" s="183">
        <f>SUM(I68:I69)</f>
        <v>349</v>
      </c>
      <c r="J67" s="183">
        <f>SUM(J68:J69)</f>
        <v>249</v>
      </c>
      <c r="K67" s="183">
        <f>SUM(K68:K69)</f>
        <v>225</v>
      </c>
      <c r="L67" s="224">
        <f t="shared" si="17"/>
        <v>0.6446991404011462</v>
      </c>
      <c r="M67" s="224">
        <f t="shared" si="18"/>
        <v>0.9036144578313253</v>
      </c>
      <c r="N67" s="183">
        <f>SUM(N68:N69)</f>
        <v>21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2.75">
      <c r="A68" s="151" t="s">
        <v>333</v>
      </c>
      <c r="B68" s="168">
        <v>305141</v>
      </c>
      <c r="C68" s="168">
        <v>210943</v>
      </c>
      <c r="D68" s="168">
        <f>224883.47-5716.17-25089.81</f>
        <v>194077.49</v>
      </c>
      <c r="E68" s="19">
        <f t="shared" si="0"/>
        <v>0.6360256078337555</v>
      </c>
      <c r="F68" s="19">
        <f t="shared" si="1"/>
        <v>0.920047074328136</v>
      </c>
      <c r="G68" s="168">
        <f>D68-'[8]Jūlijs'!D68</f>
        <v>14717.48999999999</v>
      </c>
      <c r="H68" s="151" t="s">
        <v>333</v>
      </c>
      <c r="I68" s="168">
        <f aca="true" t="shared" si="24" ref="I68:K69">ROUND(B68/1000,0)</f>
        <v>305</v>
      </c>
      <c r="J68" s="168">
        <f t="shared" si="24"/>
        <v>211</v>
      </c>
      <c r="K68" s="168">
        <f t="shared" si="24"/>
        <v>194</v>
      </c>
      <c r="L68" s="223">
        <f t="shared" si="17"/>
        <v>0.6360655737704918</v>
      </c>
      <c r="M68" s="223">
        <f t="shared" si="18"/>
        <v>0.919431279620853</v>
      </c>
      <c r="N68" s="168">
        <f>K68-'[8]Jūlijs'!K68</f>
        <v>15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12.75">
      <c r="A69" s="151" t="s">
        <v>334</v>
      </c>
      <c r="B69" s="168">
        <v>43500</v>
      </c>
      <c r="C69" s="168">
        <v>38300</v>
      </c>
      <c r="D69" s="168">
        <f>5716.17+25089.81</f>
        <v>30805.980000000003</v>
      </c>
      <c r="E69" s="19">
        <f t="shared" si="0"/>
        <v>0.7081834482758621</v>
      </c>
      <c r="F69" s="19">
        <f t="shared" si="1"/>
        <v>0.8043336814621411</v>
      </c>
      <c r="G69" s="168">
        <f>D69-'[8]Jūlijs'!D69</f>
        <v>5521.980000000003</v>
      </c>
      <c r="H69" s="151" t="s">
        <v>334</v>
      </c>
      <c r="I69" s="168">
        <f t="shared" si="24"/>
        <v>44</v>
      </c>
      <c r="J69" s="168">
        <f t="shared" si="24"/>
        <v>38</v>
      </c>
      <c r="K69" s="168">
        <f t="shared" si="24"/>
        <v>31</v>
      </c>
      <c r="L69" s="223">
        <f t="shared" si="17"/>
        <v>0.7045454545454546</v>
      </c>
      <c r="M69" s="223">
        <f t="shared" si="18"/>
        <v>0.8157894736842105</v>
      </c>
      <c r="N69" s="168">
        <f>K69-'[8]Jūlijs'!K69</f>
        <v>6</v>
      </c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12.75">
      <c r="A70" s="225" t="s">
        <v>347</v>
      </c>
      <c r="B70" s="52">
        <f>SUM(B71:B72)</f>
        <v>6453639</v>
      </c>
      <c r="C70" s="52">
        <f>SUM(C71:C72)</f>
        <v>4485562</v>
      </c>
      <c r="D70" s="52">
        <f>SUM(D71:D72)</f>
        <v>4426987.22</v>
      </c>
      <c r="E70" s="11">
        <f t="shared" si="0"/>
        <v>0.6859675944068144</v>
      </c>
      <c r="F70" s="11">
        <f t="shared" si="1"/>
        <v>0.9869414847013596</v>
      </c>
      <c r="G70" s="52">
        <f>SUM(G71:G72)</f>
        <v>529715.2199999996</v>
      </c>
      <c r="H70" s="225" t="s">
        <v>347</v>
      </c>
      <c r="I70" s="183">
        <f>SUM(I71:I72)</f>
        <v>6453</v>
      </c>
      <c r="J70" s="183">
        <f>SUM(J71:J72)</f>
        <v>4486</v>
      </c>
      <c r="K70" s="183">
        <f>SUM(K71:K72)</f>
        <v>4427</v>
      </c>
      <c r="L70" s="224">
        <f t="shared" si="17"/>
        <v>0.6860375019370836</v>
      </c>
      <c r="M70" s="224">
        <f t="shared" si="18"/>
        <v>0.9868479714667856</v>
      </c>
      <c r="N70" s="183">
        <f>SUM(N71:N72)</f>
        <v>530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12.75">
      <c r="A71" s="151" t="s">
        <v>333</v>
      </c>
      <c r="B71" s="168">
        <v>5920337</v>
      </c>
      <c r="C71" s="168">
        <v>4068902</v>
      </c>
      <c r="D71" s="168">
        <f>4426987.22-130352.17-255433.7</f>
        <v>4041201.3499999996</v>
      </c>
      <c r="E71" s="19">
        <f t="shared" si="0"/>
        <v>0.682596505908363</v>
      </c>
      <c r="F71" s="19">
        <f t="shared" si="1"/>
        <v>0.9931921068632273</v>
      </c>
      <c r="G71" s="168">
        <f>D71-'[8]Jūlijs'!D71</f>
        <v>510377.3499999996</v>
      </c>
      <c r="H71" s="151" t="s">
        <v>333</v>
      </c>
      <c r="I71" s="168">
        <f aca="true" t="shared" si="25" ref="I71:K72">ROUND(B71/1000,0)</f>
        <v>5920</v>
      </c>
      <c r="J71" s="168">
        <f t="shared" si="25"/>
        <v>4069</v>
      </c>
      <c r="K71" s="168">
        <f t="shared" si="25"/>
        <v>4041</v>
      </c>
      <c r="L71" s="223">
        <f t="shared" si="17"/>
        <v>0.6826013513513514</v>
      </c>
      <c r="M71" s="223">
        <f t="shared" si="18"/>
        <v>0.9931187023838781</v>
      </c>
      <c r="N71" s="168">
        <f>K71-'[8]Jūlijs'!K71</f>
        <v>510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2.75">
      <c r="A72" s="151" t="s">
        <v>334</v>
      </c>
      <c r="B72" s="168">
        <v>533302</v>
      </c>
      <c r="C72" s="168">
        <v>416660</v>
      </c>
      <c r="D72" s="168">
        <f>130352.17+255433.7</f>
        <v>385785.87</v>
      </c>
      <c r="E72" s="19">
        <f t="shared" si="0"/>
        <v>0.7233910054715714</v>
      </c>
      <c r="F72" s="19">
        <f t="shared" si="1"/>
        <v>0.9259009024144386</v>
      </c>
      <c r="G72" s="168">
        <f>D72-'[8]Jūlijs'!D72</f>
        <v>19337.869999999995</v>
      </c>
      <c r="H72" s="151" t="s">
        <v>334</v>
      </c>
      <c r="I72" s="168">
        <f t="shared" si="25"/>
        <v>533</v>
      </c>
      <c r="J72" s="168">
        <f t="shared" si="25"/>
        <v>417</v>
      </c>
      <c r="K72" s="168">
        <f t="shared" si="25"/>
        <v>386</v>
      </c>
      <c r="L72" s="223">
        <f t="shared" si="17"/>
        <v>0.724202626641651</v>
      </c>
      <c r="M72" s="223">
        <f t="shared" si="18"/>
        <v>0.9256594724220624</v>
      </c>
      <c r="N72" s="168">
        <f>K72-'[8]Jūlijs'!K72</f>
        <v>20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2.75" customHeight="1">
      <c r="A73" s="226" t="s">
        <v>348</v>
      </c>
      <c r="B73" s="52">
        <f>SUM(B74:B75)</f>
        <v>75545</v>
      </c>
      <c r="C73" s="52">
        <f>SUM(C74:C75)</f>
        <v>52500</v>
      </c>
      <c r="D73" s="52">
        <f>SUM(D74:D75)</f>
        <v>50497.5</v>
      </c>
      <c r="E73" s="11">
        <f aca="true" t="shared" si="26" ref="E73:E95">IF(ISERROR(D73/B73)," ",(D73/B73))</f>
        <v>0.6684426500761136</v>
      </c>
      <c r="F73" s="11">
        <f aca="true" t="shared" si="27" ref="F73:F90">IF(ISERROR(D73/C73)," ",(D73/C73))</f>
        <v>0.9618571428571429</v>
      </c>
      <c r="G73" s="52">
        <f>SUM(G74:G75)</f>
        <v>7032.500000000001</v>
      </c>
      <c r="H73" s="226" t="s">
        <v>348</v>
      </c>
      <c r="I73" s="183">
        <f>SUM(I74:I75)</f>
        <v>76</v>
      </c>
      <c r="J73" s="183">
        <f>SUM(J74:J75)</f>
        <v>53</v>
      </c>
      <c r="K73" s="183">
        <f>SUM(K74:K75)</f>
        <v>50</v>
      </c>
      <c r="L73" s="224">
        <f t="shared" si="17"/>
        <v>0.6578947368421053</v>
      </c>
      <c r="M73" s="224">
        <f t="shared" si="18"/>
        <v>0.9433962264150944</v>
      </c>
      <c r="N73" s="183">
        <f>SUM(N74:N75)</f>
        <v>7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2.75">
      <c r="A74" s="151" t="s">
        <v>333</v>
      </c>
      <c r="B74" s="168">
        <v>73045</v>
      </c>
      <c r="C74" s="168">
        <v>50000</v>
      </c>
      <c r="D74" s="168">
        <f>50497.5-2411.96</f>
        <v>48085.54</v>
      </c>
      <c r="E74" s="19">
        <f t="shared" si="26"/>
        <v>0.6583002258881512</v>
      </c>
      <c r="F74" s="19">
        <f t="shared" si="27"/>
        <v>0.9617108</v>
      </c>
      <c r="G74" s="168">
        <f>D74-'[8]Jūlijs'!D74</f>
        <v>4886.540000000001</v>
      </c>
      <c r="H74" s="151" t="s">
        <v>333</v>
      </c>
      <c r="I74" s="168">
        <f aca="true" t="shared" si="28" ref="I74:K75">ROUND(B74/1000,0)</f>
        <v>73</v>
      </c>
      <c r="J74" s="168">
        <f t="shared" si="28"/>
        <v>50</v>
      </c>
      <c r="K74" s="168">
        <f t="shared" si="28"/>
        <v>48</v>
      </c>
      <c r="L74" s="223">
        <f t="shared" si="17"/>
        <v>0.6575342465753424</v>
      </c>
      <c r="M74" s="223">
        <f t="shared" si="18"/>
        <v>0.96</v>
      </c>
      <c r="N74" s="168">
        <f>K74-'[8]Jūlijs'!K74</f>
        <v>5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2.75">
      <c r="A75" s="151" t="s">
        <v>334</v>
      </c>
      <c r="B75" s="168">
        <v>2500</v>
      </c>
      <c r="C75" s="168">
        <v>2500</v>
      </c>
      <c r="D75" s="168">
        <v>2411.96</v>
      </c>
      <c r="E75" s="19">
        <f t="shared" si="26"/>
        <v>0.964784</v>
      </c>
      <c r="F75" s="19">
        <f t="shared" si="27"/>
        <v>0.964784</v>
      </c>
      <c r="G75" s="168">
        <f>D75-'[8]Jūlijs'!D75</f>
        <v>2145.96</v>
      </c>
      <c r="H75" s="151" t="s">
        <v>334</v>
      </c>
      <c r="I75" s="168">
        <f t="shared" si="28"/>
        <v>3</v>
      </c>
      <c r="J75" s="168">
        <f t="shared" si="28"/>
        <v>3</v>
      </c>
      <c r="K75" s="168">
        <f t="shared" si="28"/>
        <v>2</v>
      </c>
      <c r="L75" s="223">
        <f t="shared" si="17"/>
        <v>0.6666666666666666</v>
      </c>
      <c r="M75" s="223">
        <f t="shared" si="18"/>
        <v>0.6666666666666666</v>
      </c>
      <c r="N75" s="168">
        <f>K75-'[8]Jūlijs'!K75</f>
        <v>2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3.5" customHeight="1">
      <c r="A76" s="32" t="s">
        <v>349</v>
      </c>
      <c r="B76" s="52">
        <f>SUM(B77)</f>
        <v>50953</v>
      </c>
      <c r="C76" s="52">
        <f>SUM(C77)</f>
        <v>34500</v>
      </c>
      <c r="D76" s="52">
        <f>SUM(D77)</f>
        <v>31113.05</v>
      </c>
      <c r="E76" s="11">
        <f t="shared" si="26"/>
        <v>0.6106225344925715</v>
      </c>
      <c r="F76" s="11">
        <f t="shared" si="27"/>
        <v>0.901827536231884</v>
      </c>
      <c r="G76" s="52">
        <f>SUM(G77)</f>
        <v>3487.0499999999993</v>
      </c>
      <c r="H76" s="32" t="s">
        <v>349</v>
      </c>
      <c r="I76" s="183">
        <f>SUM(I77)</f>
        <v>51</v>
      </c>
      <c r="J76" s="183">
        <f>SUM(J77)</f>
        <v>35</v>
      </c>
      <c r="K76" s="183">
        <f>SUM(K77)</f>
        <v>31</v>
      </c>
      <c r="L76" s="224">
        <f t="shared" si="17"/>
        <v>0.6078431372549019</v>
      </c>
      <c r="M76" s="224">
        <f t="shared" si="18"/>
        <v>0.8857142857142857</v>
      </c>
      <c r="N76" s="183">
        <f>SUM(N77)</f>
        <v>3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2.75">
      <c r="A77" s="151" t="s">
        <v>333</v>
      </c>
      <c r="B77" s="168">
        <v>50953</v>
      </c>
      <c r="C77" s="168">
        <v>34500</v>
      </c>
      <c r="D77" s="168">
        <v>31113.05</v>
      </c>
      <c r="E77" s="19">
        <f t="shared" si="26"/>
        <v>0.6106225344925715</v>
      </c>
      <c r="F77" s="19">
        <f t="shared" si="27"/>
        <v>0.901827536231884</v>
      </c>
      <c r="G77" s="168">
        <f>D77-'[8]Jūlijs'!D77</f>
        <v>3487.0499999999993</v>
      </c>
      <c r="H77" s="151" t="s">
        <v>333</v>
      </c>
      <c r="I77" s="168">
        <f>ROUND(B77/1000,0)</f>
        <v>51</v>
      </c>
      <c r="J77" s="168">
        <f>ROUND(C77/1000,0)</f>
        <v>35</v>
      </c>
      <c r="K77" s="168">
        <f>ROUND(D77/1000,0)</f>
        <v>31</v>
      </c>
      <c r="L77" s="223">
        <f t="shared" si="17"/>
        <v>0.6078431372549019</v>
      </c>
      <c r="M77" s="223">
        <f t="shared" si="18"/>
        <v>0.8857142857142857</v>
      </c>
      <c r="N77" s="168">
        <f>K77-'[8]Jūlijs'!K77</f>
        <v>3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6.5" customHeight="1">
      <c r="A78" s="32" t="s">
        <v>350</v>
      </c>
      <c r="B78" s="52">
        <f>SUM(B79)</f>
        <v>781672</v>
      </c>
      <c r="C78" s="52">
        <f>SUM(C79)</f>
        <v>526673</v>
      </c>
      <c r="D78" s="52">
        <f>SUM(D79)</f>
        <v>521144.17</v>
      </c>
      <c r="E78" s="11">
        <f t="shared" si="26"/>
        <v>0.6667044105455997</v>
      </c>
      <c r="F78" s="11">
        <f t="shared" si="27"/>
        <v>0.9895023477565775</v>
      </c>
      <c r="G78" s="52">
        <f>SUM(G79)</f>
        <v>59450.169999999984</v>
      </c>
      <c r="H78" s="32" t="s">
        <v>350</v>
      </c>
      <c r="I78" s="183">
        <f>SUM(I79)</f>
        <v>782</v>
      </c>
      <c r="J78" s="183">
        <f>SUM(J79)</f>
        <v>527</v>
      </c>
      <c r="K78" s="183">
        <f>SUM(K79)</f>
        <v>521</v>
      </c>
      <c r="L78" s="224">
        <f t="shared" si="17"/>
        <v>0.6662404092071611</v>
      </c>
      <c r="M78" s="224">
        <f t="shared" si="18"/>
        <v>0.9886148007590133</v>
      </c>
      <c r="N78" s="183">
        <f>SUM(N79)</f>
        <v>59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2.75">
      <c r="A79" s="151" t="s">
        <v>333</v>
      </c>
      <c r="B79" s="168">
        <v>781672</v>
      </c>
      <c r="C79" s="168">
        <v>526673</v>
      </c>
      <c r="D79" s="168">
        <v>521144.17</v>
      </c>
      <c r="E79" s="19">
        <f t="shared" si="26"/>
        <v>0.6667044105455997</v>
      </c>
      <c r="F79" s="19">
        <f t="shared" si="27"/>
        <v>0.9895023477565775</v>
      </c>
      <c r="G79" s="168">
        <f>D79-'[8]Jūlijs'!D79</f>
        <v>59450.169999999984</v>
      </c>
      <c r="H79" s="151" t="s">
        <v>333</v>
      </c>
      <c r="I79" s="168">
        <f>ROUND(B79/1000,0)</f>
        <v>782</v>
      </c>
      <c r="J79" s="168">
        <f>ROUND(C79/1000,0)</f>
        <v>527</v>
      </c>
      <c r="K79" s="168">
        <f>ROUND(D79/1000,0)</f>
        <v>521</v>
      </c>
      <c r="L79" s="223">
        <f t="shared" si="17"/>
        <v>0.6662404092071611</v>
      </c>
      <c r="M79" s="223">
        <f t="shared" si="18"/>
        <v>0.9886148007590133</v>
      </c>
      <c r="N79" s="168">
        <f>K79-'[8]Jūlijs'!K79</f>
        <v>59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2.75">
      <c r="A80" s="225" t="s">
        <v>319</v>
      </c>
      <c r="B80" s="52">
        <f>SUM(B81:B82)</f>
        <v>6486604</v>
      </c>
      <c r="C80" s="52">
        <f>SUM(C81:C82)</f>
        <v>4335088</v>
      </c>
      <c r="D80" s="52">
        <f>SUM(D81:D82)</f>
        <v>4321968.7</v>
      </c>
      <c r="E80" s="11">
        <f t="shared" si="26"/>
        <v>0.6662914369368008</v>
      </c>
      <c r="F80" s="11">
        <f t="shared" si="27"/>
        <v>0.9969736946516427</v>
      </c>
      <c r="G80" s="52">
        <f>SUM(G81:G82)</f>
        <v>544017.7000000002</v>
      </c>
      <c r="H80" s="225" t="s">
        <v>319</v>
      </c>
      <c r="I80" s="183">
        <f>SUM(I81:I82)</f>
        <v>6486</v>
      </c>
      <c r="J80" s="183">
        <f>SUM(J81:J82)</f>
        <v>4336</v>
      </c>
      <c r="K80" s="183">
        <f>SUM(K81:K82)</f>
        <v>4322</v>
      </c>
      <c r="L80" s="224">
        <f t="shared" si="17"/>
        <v>0.6663583102065989</v>
      </c>
      <c r="M80" s="224">
        <f t="shared" si="18"/>
        <v>0.9967712177121771</v>
      </c>
      <c r="N80" s="183">
        <f>SUM(N81:N82)</f>
        <v>544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2.75">
      <c r="A81" s="151" t="s">
        <v>333</v>
      </c>
      <c r="B81" s="168">
        <v>6481104</v>
      </c>
      <c r="C81" s="168">
        <v>4329588</v>
      </c>
      <c r="D81" s="168">
        <f>4321968.7-4338</f>
        <v>4317630.7</v>
      </c>
      <c r="E81" s="19">
        <f t="shared" si="26"/>
        <v>0.6661875353334864</v>
      </c>
      <c r="F81" s="19">
        <f t="shared" si="27"/>
        <v>0.9972382360631081</v>
      </c>
      <c r="G81" s="168">
        <f>D81-'[8]Jūlijs'!D81</f>
        <v>544017.7000000002</v>
      </c>
      <c r="H81" s="151" t="s">
        <v>333</v>
      </c>
      <c r="I81" s="168">
        <f aca="true" t="shared" si="29" ref="I81:K82">ROUND(B81/1000,0)</f>
        <v>6481</v>
      </c>
      <c r="J81" s="168">
        <f t="shared" si="29"/>
        <v>4330</v>
      </c>
      <c r="K81" s="168">
        <f t="shared" si="29"/>
        <v>4318</v>
      </c>
      <c r="L81" s="223">
        <f t="shared" si="17"/>
        <v>0.6662552075297022</v>
      </c>
      <c r="M81" s="223">
        <f t="shared" si="18"/>
        <v>0.997228637413395</v>
      </c>
      <c r="N81" s="168">
        <f>K81-'[8]Jūlijs'!K81</f>
        <v>544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151" t="s">
        <v>334</v>
      </c>
      <c r="B82" s="168">
        <v>5500</v>
      </c>
      <c r="C82" s="168">
        <v>5500</v>
      </c>
      <c r="D82" s="168">
        <v>4338</v>
      </c>
      <c r="E82" s="19">
        <f t="shared" si="26"/>
        <v>0.7887272727272727</v>
      </c>
      <c r="F82" s="19">
        <f t="shared" si="27"/>
        <v>0.7887272727272727</v>
      </c>
      <c r="G82" s="168">
        <f>D82-'[8]Jūlijs'!D82</f>
        <v>0</v>
      </c>
      <c r="H82" s="151" t="s">
        <v>334</v>
      </c>
      <c r="I82" s="168">
        <f>ROUND(B82/1000,0)-1</f>
        <v>5</v>
      </c>
      <c r="J82" s="168">
        <f t="shared" si="29"/>
        <v>6</v>
      </c>
      <c r="K82" s="168">
        <f t="shared" si="29"/>
        <v>4</v>
      </c>
      <c r="L82" s="223">
        <f t="shared" si="17"/>
        <v>0.8</v>
      </c>
      <c r="M82" s="223">
        <f t="shared" si="18"/>
        <v>0.6666666666666666</v>
      </c>
      <c r="N82" s="168">
        <f>K82-'[8]Jūlijs'!K82</f>
        <v>0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13.5" customHeight="1">
      <c r="A83" s="32" t="s">
        <v>351</v>
      </c>
      <c r="B83" s="52">
        <f>SUM(B84)</f>
        <v>97907</v>
      </c>
      <c r="C83" s="52">
        <f>SUM(C84)</f>
        <v>57557</v>
      </c>
      <c r="D83" s="52">
        <f>SUM(D84)</f>
        <v>57557</v>
      </c>
      <c r="E83" s="11">
        <f t="shared" si="26"/>
        <v>0.5878742071557703</v>
      </c>
      <c r="F83" s="11">
        <f t="shared" si="27"/>
        <v>1</v>
      </c>
      <c r="G83" s="52">
        <f>SUM(G84)</f>
        <v>8384</v>
      </c>
      <c r="H83" s="32" t="s">
        <v>351</v>
      </c>
      <c r="I83" s="183">
        <f>SUM(I84)</f>
        <v>98</v>
      </c>
      <c r="J83" s="183">
        <f>SUM(J84)</f>
        <v>58</v>
      </c>
      <c r="K83" s="183">
        <f>SUM(K84)</f>
        <v>57</v>
      </c>
      <c r="L83" s="224">
        <f t="shared" si="17"/>
        <v>0.5816326530612245</v>
      </c>
      <c r="M83" s="224">
        <f t="shared" si="18"/>
        <v>0.9827586206896551</v>
      </c>
      <c r="N83" s="183">
        <f>SUM(N84)</f>
        <v>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12.75">
      <c r="A84" s="151" t="s">
        <v>333</v>
      </c>
      <c r="B84" s="168">
        <v>97907</v>
      </c>
      <c r="C84" s="168">
        <v>57557</v>
      </c>
      <c r="D84" s="168">
        <v>57557</v>
      </c>
      <c r="E84" s="19">
        <f t="shared" si="26"/>
        <v>0.5878742071557703</v>
      </c>
      <c r="F84" s="19">
        <f t="shared" si="27"/>
        <v>1</v>
      </c>
      <c r="G84" s="168">
        <f>D84-'[8]Jūlijs'!D84</f>
        <v>8384</v>
      </c>
      <c r="H84" s="151" t="s">
        <v>333</v>
      </c>
      <c r="I84" s="168">
        <f>ROUND(B84/1000,0)</f>
        <v>98</v>
      </c>
      <c r="J84" s="168">
        <f>ROUND(C84/1000,0)</f>
        <v>58</v>
      </c>
      <c r="K84" s="168">
        <f>ROUND(D84/1000,0)-1</f>
        <v>57</v>
      </c>
      <c r="L84" s="223">
        <f t="shared" si="17"/>
        <v>0.5816326530612245</v>
      </c>
      <c r="M84" s="223">
        <f t="shared" si="18"/>
        <v>0.9827586206896551</v>
      </c>
      <c r="N84" s="168">
        <f>K84-'[8]Jūlijs'!K84</f>
        <v>8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39.75" customHeight="1">
      <c r="A85" s="107" t="s">
        <v>352</v>
      </c>
      <c r="B85" s="52">
        <f>SUM(B86:B87)</f>
        <v>616209</v>
      </c>
      <c r="C85" s="52">
        <f>SUM(C86:C87)</f>
        <v>379310</v>
      </c>
      <c r="D85" s="52">
        <f>SUM(D86:D87)</f>
        <v>357899.77</v>
      </c>
      <c r="E85" s="11">
        <f t="shared" si="26"/>
        <v>0.5808090599131139</v>
      </c>
      <c r="F85" s="11">
        <f t="shared" si="27"/>
        <v>0.9435547968679971</v>
      </c>
      <c r="G85" s="52">
        <f>SUM(G86:G87)</f>
        <v>62371.77</v>
      </c>
      <c r="H85" s="107" t="s">
        <v>352</v>
      </c>
      <c r="I85" s="183">
        <f>SUM(I86:I87)</f>
        <v>616</v>
      </c>
      <c r="J85" s="183">
        <f>SUM(J86:J87)</f>
        <v>379</v>
      </c>
      <c r="K85" s="183">
        <f>SUM(K86:K87)</f>
        <v>358</v>
      </c>
      <c r="L85" s="224">
        <f t="shared" si="17"/>
        <v>0.5811688311688312</v>
      </c>
      <c r="M85" s="224">
        <f t="shared" si="18"/>
        <v>0.9445910290237467</v>
      </c>
      <c r="N85" s="183">
        <f>SUM(N86:N87)</f>
        <v>62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12.75">
      <c r="A86" s="151" t="s">
        <v>333</v>
      </c>
      <c r="B86" s="168">
        <v>607740</v>
      </c>
      <c r="C86" s="168">
        <v>369210</v>
      </c>
      <c r="D86" s="168">
        <f>357899.77-5648.96</f>
        <v>352250.81</v>
      </c>
      <c r="E86" s="11">
        <f t="shared" si="26"/>
        <v>0.5796077434429197</v>
      </c>
      <c r="F86" s="11">
        <f t="shared" si="27"/>
        <v>0.9540662766447279</v>
      </c>
      <c r="G86" s="168">
        <f>D86-'[8]Jūlijs'!D86</f>
        <v>62291.81</v>
      </c>
      <c r="H86" s="151" t="s">
        <v>333</v>
      </c>
      <c r="I86" s="168">
        <f aca="true" t="shared" si="30" ref="I86:K87">ROUND(B86/1000,0)</f>
        <v>608</v>
      </c>
      <c r="J86" s="168">
        <f t="shared" si="30"/>
        <v>369</v>
      </c>
      <c r="K86" s="168">
        <f t="shared" si="30"/>
        <v>352</v>
      </c>
      <c r="L86" s="223">
        <f t="shared" si="17"/>
        <v>0.5789473684210527</v>
      </c>
      <c r="M86" s="223">
        <f t="shared" si="18"/>
        <v>0.9539295392953929</v>
      </c>
      <c r="N86" s="168">
        <f>K86-'[8]Jūlijs'!K86</f>
        <v>62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2.75">
      <c r="A87" s="151" t="s">
        <v>334</v>
      </c>
      <c r="B87" s="168">
        <v>8469</v>
      </c>
      <c r="C87" s="168">
        <v>10100</v>
      </c>
      <c r="D87" s="168">
        <v>5648.96</v>
      </c>
      <c r="E87" s="11">
        <f t="shared" si="26"/>
        <v>0.667016176644232</v>
      </c>
      <c r="F87" s="11">
        <f t="shared" si="27"/>
        <v>0.5593029702970297</v>
      </c>
      <c r="G87" s="168">
        <f>D87-'[8]Jūlijs'!D87</f>
        <v>79.96000000000004</v>
      </c>
      <c r="H87" s="151" t="s">
        <v>334</v>
      </c>
      <c r="I87" s="168">
        <f t="shared" si="30"/>
        <v>8</v>
      </c>
      <c r="J87" s="168">
        <f t="shared" si="30"/>
        <v>10</v>
      </c>
      <c r="K87" s="168">
        <f t="shared" si="30"/>
        <v>6</v>
      </c>
      <c r="L87" s="223">
        <f t="shared" si="17"/>
        <v>0.75</v>
      </c>
      <c r="M87" s="223">
        <f t="shared" si="18"/>
        <v>0.6</v>
      </c>
      <c r="N87" s="168">
        <f>K87-'[8]Jūlijs'!K87</f>
        <v>0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51">
      <c r="A88" s="107" t="s">
        <v>353</v>
      </c>
      <c r="B88" s="52">
        <f>SUM(B89:B90)</f>
        <v>535443</v>
      </c>
      <c r="C88" s="52">
        <f>SUM(C89:C90)</f>
        <v>0</v>
      </c>
      <c r="D88" s="52">
        <f>SUM(D89:D90)</f>
        <v>0</v>
      </c>
      <c r="E88" s="11">
        <f t="shared" si="26"/>
        <v>0</v>
      </c>
      <c r="F88" s="11" t="str">
        <f t="shared" si="27"/>
        <v> </v>
      </c>
      <c r="G88" s="52">
        <f>SUM(G89:G90)</f>
        <v>0</v>
      </c>
      <c r="H88" s="107" t="s">
        <v>353</v>
      </c>
      <c r="I88" s="183">
        <f>SUM(I89:I90)</f>
        <v>536</v>
      </c>
      <c r="J88" s="183">
        <f>SUM(J89:J90)</f>
        <v>0</v>
      </c>
      <c r="K88" s="183">
        <f>SUM(K89:K90)</f>
        <v>0</v>
      </c>
      <c r="L88" s="224">
        <f t="shared" si="17"/>
        <v>0</v>
      </c>
      <c r="M88" s="224" t="str">
        <f t="shared" si="18"/>
        <v> </v>
      </c>
      <c r="N88" s="183">
        <f>SUM(N89:N90)</f>
        <v>0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2.75">
      <c r="A89" s="151" t="s">
        <v>333</v>
      </c>
      <c r="B89" s="168">
        <v>501789</v>
      </c>
      <c r="C89" s="168"/>
      <c r="D89" s="168"/>
      <c r="E89" s="11">
        <f t="shared" si="26"/>
        <v>0</v>
      </c>
      <c r="F89" s="11" t="str">
        <f t="shared" si="27"/>
        <v> </v>
      </c>
      <c r="G89" s="168">
        <f>D89-'[8]Jūlijs'!D89</f>
        <v>0</v>
      </c>
      <c r="H89" s="151" t="s">
        <v>333</v>
      </c>
      <c r="I89" s="168">
        <f aca="true" t="shared" si="31" ref="I89:K90">ROUND(B89/1000,0)</f>
        <v>502</v>
      </c>
      <c r="J89" s="168">
        <f t="shared" si="31"/>
        <v>0</v>
      </c>
      <c r="K89" s="168">
        <f t="shared" si="31"/>
        <v>0</v>
      </c>
      <c r="L89" s="223">
        <f t="shared" si="17"/>
        <v>0</v>
      </c>
      <c r="M89" s="223" t="str">
        <f t="shared" si="18"/>
        <v> </v>
      </c>
      <c r="N89" s="168">
        <f>K89-'[8]Jūlijs'!K89</f>
        <v>0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2.75">
      <c r="A90" s="151" t="s">
        <v>334</v>
      </c>
      <c r="B90" s="168">
        <v>33654</v>
      </c>
      <c r="C90" s="168"/>
      <c r="D90" s="168"/>
      <c r="E90" s="11">
        <f t="shared" si="26"/>
        <v>0</v>
      </c>
      <c r="F90" s="11" t="str">
        <f t="shared" si="27"/>
        <v> </v>
      </c>
      <c r="G90" s="168">
        <f>D90-'[8]Jūlijs'!D90</f>
        <v>0</v>
      </c>
      <c r="H90" s="151" t="s">
        <v>334</v>
      </c>
      <c r="I90" s="168">
        <f t="shared" si="31"/>
        <v>34</v>
      </c>
      <c r="J90" s="168">
        <f t="shared" si="31"/>
        <v>0</v>
      </c>
      <c r="K90" s="168">
        <f t="shared" si="31"/>
        <v>0</v>
      </c>
      <c r="L90" s="223">
        <f t="shared" si="17"/>
        <v>0</v>
      </c>
      <c r="M90" s="223" t="str">
        <f t="shared" si="18"/>
        <v> </v>
      </c>
      <c r="N90" s="168">
        <f>K90-'[8]Jūlijs'!K90</f>
        <v>0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2.75" customHeight="1">
      <c r="A91" s="32" t="s">
        <v>354</v>
      </c>
      <c r="B91" s="52">
        <f>SUM(B92:B93)</f>
        <v>92888374</v>
      </c>
      <c r="C91" s="52">
        <f>SUM(C92:C93)</f>
        <v>63721092</v>
      </c>
      <c r="D91" s="52">
        <f>SUM(D92:D93)</f>
        <v>63081092</v>
      </c>
      <c r="E91" s="11">
        <f t="shared" si="26"/>
        <v>0.6791064294009496</v>
      </c>
      <c r="F91" s="11">
        <f>IF(ISERROR(D91/C91)," ",(D91/C91))</f>
        <v>0.989956229877542</v>
      </c>
      <c r="G91" s="52">
        <f>SUM(G92:G93)</f>
        <v>4784091</v>
      </c>
      <c r="H91" s="32" t="s">
        <v>354</v>
      </c>
      <c r="I91" s="183">
        <f>SUM(I92:I93)</f>
        <v>92888</v>
      </c>
      <c r="J91" s="183">
        <f>SUM(J92:J93)</f>
        <v>63721</v>
      </c>
      <c r="K91" s="183">
        <f>SUM(K92:K93)</f>
        <v>63081</v>
      </c>
      <c r="L91" s="224">
        <f t="shared" si="17"/>
        <v>0.6791081732839549</v>
      </c>
      <c r="M91" s="224">
        <f t="shared" si="18"/>
        <v>0.9899562153764065</v>
      </c>
      <c r="N91" s="183">
        <f>SUM(N92:N93)</f>
        <v>4784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2.75">
      <c r="A92" s="151" t="s">
        <v>333</v>
      </c>
      <c r="B92" s="168">
        <v>83765374</v>
      </c>
      <c r="C92" s="168">
        <v>57591092</v>
      </c>
      <c r="D92" s="168">
        <f>63081092-6130000</f>
        <v>56951092</v>
      </c>
      <c r="E92" s="19">
        <f t="shared" si="26"/>
        <v>0.6798882316218154</v>
      </c>
      <c r="F92" s="19">
        <f>IF(ISERROR(D92/C92)," ",(D92/C92))</f>
        <v>0.9888871702589005</v>
      </c>
      <c r="G92" s="168">
        <f>D92-'[8]Jūlijs'!D92</f>
        <v>3336091</v>
      </c>
      <c r="H92" s="151" t="s">
        <v>333</v>
      </c>
      <c r="I92" s="168">
        <f aca="true" t="shared" si="32" ref="I92:K93">ROUND(B92/1000,0)</f>
        <v>83765</v>
      </c>
      <c r="J92" s="168">
        <f t="shared" si="32"/>
        <v>57591</v>
      </c>
      <c r="K92" s="168">
        <f t="shared" si="32"/>
        <v>56951</v>
      </c>
      <c r="L92" s="223">
        <f t="shared" si="17"/>
        <v>0.6798901689249687</v>
      </c>
      <c r="M92" s="223">
        <f t="shared" si="18"/>
        <v>0.988887152506468</v>
      </c>
      <c r="N92" s="168">
        <f>K92-'[8]Jūlijs'!K92</f>
        <v>3336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12.75">
      <c r="A93" s="151" t="s">
        <v>334</v>
      </c>
      <c r="B93" s="168">
        <v>9123000</v>
      </c>
      <c r="C93" s="168">
        <v>6130000</v>
      </c>
      <c r="D93" s="168">
        <v>6130000</v>
      </c>
      <c r="E93" s="19">
        <f t="shared" si="26"/>
        <v>0.6719280938287844</v>
      </c>
      <c r="F93" s="19">
        <f>IF(ISERROR(D93/C93)," ",(D93/C93))</f>
        <v>1</v>
      </c>
      <c r="G93" s="168">
        <f>D93-'[8]Jūlijs'!D93</f>
        <v>1448000</v>
      </c>
      <c r="H93" s="151" t="s">
        <v>334</v>
      </c>
      <c r="I93" s="168">
        <f t="shared" si="32"/>
        <v>9123</v>
      </c>
      <c r="J93" s="168">
        <f t="shared" si="32"/>
        <v>6130</v>
      </c>
      <c r="K93" s="168">
        <f t="shared" si="32"/>
        <v>6130</v>
      </c>
      <c r="L93" s="223">
        <f t="shared" si="17"/>
        <v>0.6719280938287844</v>
      </c>
      <c r="M93" s="223">
        <f t="shared" si="18"/>
        <v>1</v>
      </c>
      <c r="N93" s="168">
        <f>K93-'[8]Jūlijs'!K93</f>
        <v>1448</v>
      </c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12.75" customHeight="1">
      <c r="A94" s="32" t="s">
        <v>355</v>
      </c>
      <c r="B94" s="52">
        <f>SUM(B95)</f>
        <v>6273010</v>
      </c>
      <c r="C94" s="52">
        <f>SUM(C95)</f>
        <v>4068674</v>
      </c>
      <c r="D94" s="52">
        <f>SUM(D95)</f>
        <v>4068674</v>
      </c>
      <c r="E94" s="11">
        <f t="shared" si="26"/>
        <v>0.648599954407852</v>
      </c>
      <c r="F94" s="11">
        <f>IF(ISERROR(D94/C94)," ",(D94/C94))</f>
        <v>1</v>
      </c>
      <c r="G94" s="52">
        <f>SUM(G95)</f>
        <v>508584</v>
      </c>
      <c r="H94" s="32" t="s">
        <v>355</v>
      </c>
      <c r="I94" s="183">
        <f>SUM(I95)</f>
        <v>6273</v>
      </c>
      <c r="J94" s="183">
        <f>SUM(J95)</f>
        <v>4069</v>
      </c>
      <c r="K94" s="183">
        <f>SUM(K95)</f>
        <v>4069</v>
      </c>
      <c r="L94" s="224">
        <f t="shared" si="17"/>
        <v>0.6486529571178065</v>
      </c>
      <c r="M94" s="224">
        <f t="shared" si="18"/>
        <v>1</v>
      </c>
      <c r="N94" s="183">
        <f>SUM(N95)</f>
        <v>509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2.75">
      <c r="A95" s="63" t="s">
        <v>333</v>
      </c>
      <c r="B95" s="168">
        <v>6273010</v>
      </c>
      <c r="C95" s="168">
        <v>4068674</v>
      </c>
      <c r="D95" s="168">
        <v>4068674</v>
      </c>
      <c r="E95" s="19">
        <f t="shared" si="26"/>
        <v>0.648599954407852</v>
      </c>
      <c r="F95" s="19">
        <f>IF(ISERROR(D95/C95)," ",(D95/C95))</f>
        <v>1</v>
      </c>
      <c r="G95" s="168">
        <f>D95-'[8]Jūlijs'!D95</f>
        <v>508584</v>
      </c>
      <c r="H95" s="63" t="s">
        <v>333</v>
      </c>
      <c r="I95" s="168">
        <f>ROUND(B95/1000,0)</f>
        <v>6273</v>
      </c>
      <c r="J95" s="168">
        <f>ROUND(C95/1000,0)</f>
        <v>4069</v>
      </c>
      <c r="K95" s="168">
        <f>ROUND(D95/1000,0)</f>
        <v>4069</v>
      </c>
      <c r="L95" s="223">
        <f t="shared" si="17"/>
        <v>0.6486529571178065</v>
      </c>
      <c r="M95" s="223">
        <f t="shared" si="18"/>
        <v>1</v>
      </c>
      <c r="N95" s="168">
        <f>K95-'[8]Jūlijs'!K95</f>
        <v>509</v>
      </c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2.75">
      <c r="A96" s="184"/>
      <c r="B96" s="227"/>
      <c r="C96" s="227"/>
      <c r="D96" s="227"/>
      <c r="E96" s="228"/>
      <c r="F96" s="228"/>
      <c r="G96" s="29"/>
      <c r="H96" s="184"/>
      <c r="I96" s="227"/>
      <c r="J96" s="227"/>
      <c r="K96" s="227"/>
      <c r="L96" s="228"/>
      <c r="M96" s="228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2.75">
      <c r="A97" s="184"/>
      <c r="B97" s="227"/>
      <c r="C97" s="227"/>
      <c r="D97" s="227"/>
      <c r="E97" s="228"/>
      <c r="F97" s="228"/>
      <c r="G97" s="29"/>
      <c r="H97" s="184"/>
      <c r="I97" s="227"/>
      <c r="J97" s="227"/>
      <c r="K97" s="227"/>
      <c r="L97" s="228"/>
      <c r="M97" s="228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2.75">
      <c r="A98" s="184"/>
      <c r="B98" s="227"/>
      <c r="C98" s="227"/>
      <c r="D98" s="227"/>
      <c r="E98" s="228"/>
      <c r="F98" s="228"/>
      <c r="G98" s="29"/>
      <c r="H98" s="184"/>
      <c r="I98" s="227"/>
      <c r="J98" s="227"/>
      <c r="K98" s="227"/>
      <c r="L98" s="228"/>
      <c r="M98" s="22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04.25" customHeight="1">
      <c r="A99" s="184"/>
      <c r="B99" s="227"/>
      <c r="C99" s="227"/>
      <c r="D99" s="227"/>
      <c r="E99" s="228"/>
      <c r="F99" s="228"/>
      <c r="G99" s="29"/>
      <c r="H99" s="184"/>
      <c r="I99" s="227"/>
      <c r="J99" s="227"/>
      <c r="K99" s="227"/>
      <c r="L99" s="228"/>
      <c r="M99" s="228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14.25">
      <c r="A100" s="229"/>
      <c r="B100" s="186"/>
      <c r="C100" s="186"/>
      <c r="D100" s="186"/>
      <c r="E100" s="230"/>
      <c r="F100" s="231"/>
      <c r="G100" s="29"/>
      <c r="H100" s="229"/>
      <c r="I100" s="186"/>
      <c r="J100" s="186"/>
      <c r="K100" s="186"/>
      <c r="L100" s="230"/>
      <c r="M100" s="231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12.75">
      <c r="A101" s="131" t="s">
        <v>356</v>
      </c>
      <c r="B101" s="232"/>
      <c r="C101" s="123"/>
      <c r="D101" s="193"/>
      <c r="E101" s="193"/>
      <c r="F101" s="233"/>
      <c r="G101" s="29"/>
      <c r="H101" s="131" t="s">
        <v>356</v>
      </c>
      <c r="I101" s="232"/>
      <c r="J101" s="123"/>
      <c r="K101" s="193"/>
      <c r="L101" s="193"/>
      <c r="M101" s="233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12.75">
      <c r="A102" s="6"/>
      <c r="B102" s="234"/>
      <c r="C102" s="69" t="s">
        <v>357</v>
      </c>
      <c r="D102" s="235"/>
      <c r="E102" s="157"/>
      <c r="F102" s="236"/>
      <c r="G102" s="29"/>
      <c r="H102" s="6"/>
      <c r="I102" s="234"/>
      <c r="J102" s="69"/>
      <c r="K102" s="235"/>
      <c r="L102" s="157"/>
      <c r="M102" s="236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12.75">
      <c r="A103" s="29"/>
      <c r="B103" s="237"/>
      <c r="C103" s="69"/>
      <c r="D103" s="69"/>
      <c r="E103" s="238"/>
      <c r="F103" s="239"/>
      <c r="G103" s="29"/>
      <c r="H103" s="29"/>
      <c r="I103" s="237"/>
      <c r="J103" s="69"/>
      <c r="K103" s="69"/>
      <c r="L103" s="238"/>
      <c r="M103" s="23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2.75">
      <c r="A104" s="29"/>
      <c r="B104" s="237"/>
      <c r="C104" s="69"/>
      <c r="D104" s="69"/>
      <c r="E104" s="238"/>
      <c r="F104" s="239"/>
      <c r="G104" s="29"/>
      <c r="H104" s="29"/>
      <c r="I104" s="237"/>
      <c r="J104" s="69"/>
      <c r="K104" s="69"/>
      <c r="L104" s="238"/>
      <c r="M104" s="23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12.75">
      <c r="A105" s="29" t="s">
        <v>89</v>
      </c>
      <c r="B105" s="237"/>
      <c r="C105" s="69"/>
      <c r="D105" s="69"/>
      <c r="E105" s="238"/>
      <c r="F105" s="239"/>
      <c r="G105" s="29"/>
      <c r="H105" s="29" t="s">
        <v>89</v>
      </c>
      <c r="I105" s="237"/>
      <c r="J105" s="69"/>
      <c r="K105" s="69"/>
      <c r="L105" s="238"/>
      <c r="M105" s="23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12.75">
      <c r="A106" s="29" t="s">
        <v>90</v>
      </c>
      <c r="B106" s="234"/>
      <c r="C106" s="69"/>
      <c r="D106" s="235"/>
      <c r="E106" s="157"/>
      <c r="F106" s="236"/>
      <c r="G106" s="29"/>
      <c r="H106" s="29" t="s">
        <v>90</v>
      </c>
      <c r="I106" s="234"/>
      <c r="J106" s="69"/>
      <c r="K106" s="235"/>
      <c r="L106" s="157"/>
      <c r="M106" s="236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ht="12.75">
      <c r="A107" s="29"/>
      <c r="B107" s="6"/>
      <c r="C107" s="235"/>
      <c r="D107" s="235"/>
      <c r="E107" s="6"/>
      <c r="F107" s="6"/>
      <c r="G107" s="29"/>
      <c r="H107" s="29"/>
      <c r="I107" s="6"/>
      <c r="J107" s="235"/>
      <c r="K107" s="235"/>
      <c r="L107" s="6"/>
      <c r="M107" s="6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7:24" ht="12.75">
      <c r="G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7:24" ht="12.75"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7:24" ht="12.75"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7:24" ht="12.75"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7:24" ht="12.75"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7:24" ht="12.75"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7:25" ht="12.75"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7:25" ht="12.75"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12.75">
      <c r="A116" s="29"/>
      <c r="B116" s="6"/>
      <c r="C116" s="235"/>
      <c r="D116" s="235"/>
      <c r="E116" s="6"/>
      <c r="F116" s="6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2.75">
      <c r="A117" s="29"/>
      <c r="B117" s="6"/>
      <c r="C117" s="235"/>
      <c r="D117" s="235"/>
      <c r="E117" s="6"/>
      <c r="F117" s="6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7:25" ht="12.75"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7:25" ht="12.75"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7:25" ht="12.75"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7:25" ht="12.75"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7:25" ht="12.75"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7:25" ht="12.75"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7:25" ht="12.75"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7:25" ht="12.75"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7:25" ht="12.75"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7:25" ht="12.75"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7:25" ht="12.75"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7:25" ht="12.75"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7:25" ht="12.75"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7:25" ht="12.75"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7:25" ht="12.75"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7:25" ht="12.75"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7:25" ht="12.75"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7:25" ht="12.75"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7:25" ht="12.75"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7:25" ht="12.75"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7:25" ht="12.75"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7:25" ht="12.75"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7:25" ht="12.75"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7:25" ht="12.75"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7:25" ht="12.75"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7:25" ht="12.75"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7:25" ht="12.75"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7:25" ht="12.75"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7:25" ht="12.75"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7:25" ht="12.75"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7:25" ht="12.75"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7:25" ht="12.75"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7:25" ht="12.75"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7:25" ht="12.75"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7:25" ht="12.75"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7:25" ht="12.75"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7:25" ht="12.75"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7:25" ht="12.75"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7:25" ht="12.75"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7:25" ht="12.75"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7:25" ht="12.75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7:25" ht="12.75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7:25" ht="12.75"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7:25" ht="12.75"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7:25" ht="12.75"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7:25" ht="12.75"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7:25" ht="12.75"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7:25" ht="12.75"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7:25" ht="12.75"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7:25" ht="12.75"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7:25" ht="12.75"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7:25" ht="12.75"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7:25" ht="12.75"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7:25" ht="12.75"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7:25" ht="12.75"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7:25" ht="12.75"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7:25" ht="12.75"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7:25" ht="12.75"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7:25" ht="12.75"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7:25" ht="12.75"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7:25" ht="12.75"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7:25" ht="12.75"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7:25" ht="12.75"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7:25" ht="12.75"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7:25" ht="12.75"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7:25" ht="12.75"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7:25" ht="12.75"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7:25" ht="12.75"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7:25" ht="12.75"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7:25" ht="12.75"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7:25" ht="12.75"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7:25" ht="12.75"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7:25" ht="12.75"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7:25" ht="12.75"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7:25" ht="12.75"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7:25" ht="12.75"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7:25" ht="12.75"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7:25" ht="12.75"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7:25" ht="12.75"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7:25" ht="12.75"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7:25" ht="12.75"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7:25" ht="12.75"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7:25" ht="12.75"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7:25" ht="12.75"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306"/>
  <sheetViews>
    <sheetView workbookViewId="0" topLeftCell="H1">
      <selection activeCell="H5" sqref="H5"/>
    </sheetView>
  </sheetViews>
  <sheetFormatPr defaultColWidth="9.140625" defaultRowHeight="12.75"/>
  <cols>
    <col min="1" max="1" width="33.57421875" style="1" hidden="1" customWidth="1"/>
    <col min="2" max="2" width="12.140625" style="1" hidden="1" customWidth="1"/>
    <col min="3" max="3" width="12.421875" style="1" hidden="1" customWidth="1"/>
    <col min="4" max="4" width="12.28125" style="1" hidden="1" customWidth="1"/>
    <col min="5" max="5" width="10.00390625" style="1" hidden="1" customWidth="1"/>
    <col min="6" max="6" width="9.28125" style="1" hidden="1" customWidth="1"/>
    <col min="7" max="7" width="11.00390625" style="1" hidden="1" customWidth="1"/>
    <col min="8" max="8" width="38.140625" style="1" customWidth="1"/>
    <col min="9" max="9" width="9.8515625" style="1" customWidth="1"/>
    <col min="10" max="10" width="10.7109375" style="1" customWidth="1"/>
    <col min="11" max="11" width="8.8515625" style="1" customWidth="1"/>
    <col min="12" max="12" width="6.8515625" style="1" customWidth="1"/>
    <col min="13" max="13" width="10.421875" style="1" customWidth="1"/>
    <col min="14" max="14" width="8.421875" style="1" customWidth="1"/>
    <col min="15" max="16384" width="9.140625" style="1" customWidth="1"/>
  </cols>
  <sheetData>
    <row r="1" spans="7:14" ht="12.75">
      <c r="G1" s="1" t="s">
        <v>358</v>
      </c>
      <c r="N1" s="1" t="s">
        <v>358</v>
      </c>
    </row>
    <row r="2" spans="1:14" ht="16.5" customHeight="1">
      <c r="A2" s="3" t="s">
        <v>359</v>
      </c>
      <c r="B2" s="3"/>
      <c r="C2" s="131"/>
      <c r="D2" s="131"/>
      <c r="E2" s="3"/>
      <c r="F2" s="131"/>
      <c r="G2" s="29"/>
      <c r="H2" s="3" t="s">
        <v>359</v>
      </c>
      <c r="I2" s="3"/>
      <c r="J2" s="131"/>
      <c r="K2" s="131"/>
      <c r="L2" s="3"/>
      <c r="M2" s="131"/>
      <c r="N2" s="29"/>
    </row>
    <row r="3" spans="1:14" ht="4.5" customHeight="1" hidden="1">
      <c r="A3" s="206"/>
      <c r="B3" s="29"/>
      <c r="C3" s="29"/>
      <c r="D3" s="29"/>
      <c r="E3" s="29"/>
      <c r="F3" s="29"/>
      <c r="G3" s="29"/>
      <c r="H3" s="206"/>
      <c r="I3" s="29"/>
      <c r="J3" s="29"/>
      <c r="K3" s="29"/>
      <c r="L3" s="29"/>
      <c r="M3" s="29"/>
      <c r="N3" s="29"/>
    </row>
    <row r="4" spans="1:14" ht="12" customHeight="1">
      <c r="A4" s="206"/>
      <c r="B4" s="29"/>
      <c r="C4" s="29"/>
      <c r="D4" s="29"/>
      <c r="E4" s="29"/>
      <c r="F4" s="29"/>
      <c r="G4" s="29"/>
      <c r="H4" s="206"/>
      <c r="I4" s="29"/>
      <c r="J4" s="29"/>
      <c r="K4" s="29"/>
      <c r="L4" s="29"/>
      <c r="M4" s="29"/>
      <c r="N4" s="29"/>
    </row>
    <row r="5" spans="1:14" ht="15.75">
      <c r="A5" s="74" t="s">
        <v>360</v>
      </c>
      <c r="B5" s="131"/>
      <c r="C5" s="131"/>
      <c r="D5" s="131"/>
      <c r="E5" s="131"/>
      <c r="F5" s="131"/>
      <c r="G5" s="29"/>
      <c r="H5" s="74" t="s">
        <v>360</v>
      </c>
      <c r="I5" s="131"/>
      <c r="J5" s="131"/>
      <c r="K5" s="131"/>
      <c r="L5" s="131"/>
      <c r="M5" s="131"/>
      <c r="N5" s="29"/>
    </row>
    <row r="6" spans="1:14" ht="15.75">
      <c r="A6" s="74" t="s">
        <v>215</v>
      </c>
      <c r="B6" s="131"/>
      <c r="C6" s="131"/>
      <c r="D6" s="131"/>
      <c r="E6" s="131"/>
      <c r="F6" s="131"/>
      <c r="G6" s="29"/>
      <c r="H6" s="74" t="s">
        <v>215</v>
      </c>
      <c r="I6" s="131"/>
      <c r="J6" s="131"/>
      <c r="K6" s="131"/>
      <c r="L6" s="131"/>
      <c r="M6" s="131"/>
      <c r="N6" s="29"/>
    </row>
    <row r="7" spans="1:14" ht="19.5" customHeight="1">
      <c r="A7" s="74" t="s">
        <v>361</v>
      </c>
      <c r="B7" s="131"/>
      <c r="C7" s="131"/>
      <c r="D7" s="131"/>
      <c r="E7" s="131"/>
      <c r="F7" s="131"/>
      <c r="G7" s="29"/>
      <c r="H7" s="74" t="s">
        <v>96</v>
      </c>
      <c r="I7" s="131"/>
      <c r="J7" s="131"/>
      <c r="K7" s="131"/>
      <c r="L7" s="131"/>
      <c r="M7" s="131"/>
      <c r="N7" s="29"/>
    </row>
    <row r="8" spans="1:14" s="221" customFormat="1" ht="18.75" customHeight="1">
      <c r="A8" s="29"/>
      <c r="B8" s="29"/>
      <c r="C8" s="29"/>
      <c r="D8" s="29"/>
      <c r="E8" s="1"/>
      <c r="F8" s="29"/>
      <c r="G8" s="6" t="s">
        <v>97</v>
      </c>
      <c r="H8" s="29"/>
      <c r="I8" s="29"/>
      <c r="J8" s="29"/>
      <c r="K8" s="29"/>
      <c r="L8" s="1"/>
      <c r="M8" s="29"/>
      <c r="N8" s="6" t="s">
        <v>97</v>
      </c>
    </row>
    <row r="9" spans="1:14" s="17" customFormat="1" ht="72.75" customHeight="1">
      <c r="A9" s="7" t="s">
        <v>5</v>
      </c>
      <c r="B9" s="7" t="s">
        <v>6</v>
      </c>
      <c r="C9" s="7" t="s">
        <v>128</v>
      </c>
      <c r="D9" s="7" t="s">
        <v>7</v>
      </c>
      <c r="E9" s="7" t="s">
        <v>217</v>
      </c>
      <c r="F9" s="7" t="s">
        <v>362</v>
      </c>
      <c r="G9" s="7" t="s">
        <v>130</v>
      </c>
      <c r="H9" s="7" t="s">
        <v>5</v>
      </c>
      <c r="I9" s="7" t="s">
        <v>6</v>
      </c>
      <c r="J9" s="7" t="s">
        <v>128</v>
      </c>
      <c r="K9" s="7" t="s">
        <v>7</v>
      </c>
      <c r="L9" s="7" t="s">
        <v>217</v>
      </c>
      <c r="M9" s="7" t="s">
        <v>362</v>
      </c>
      <c r="N9" s="7" t="s">
        <v>130</v>
      </c>
    </row>
    <row r="10" spans="1:14" s="17" customFormat="1" ht="9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</v>
      </c>
      <c r="I10" s="7">
        <v>2</v>
      </c>
      <c r="J10" s="7">
        <v>3</v>
      </c>
      <c r="K10" s="7">
        <v>4</v>
      </c>
      <c r="L10" s="7">
        <v>5</v>
      </c>
      <c r="M10" s="7">
        <v>6</v>
      </c>
      <c r="N10" s="7">
        <v>7</v>
      </c>
    </row>
    <row r="11" spans="1:14" s="17" customFormat="1" ht="21.75" customHeight="1">
      <c r="A11" s="32" t="s">
        <v>363</v>
      </c>
      <c r="B11" s="9">
        <f>SUM(B12:B14)</f>
        <v>696204005</v>
      </c>
      <c r="C11" s="9">
        <f>SUM(C12:C14)</f>
        <v>464747567</v>
      </c>
      <c r="D11" s="9">
        <f>SUM(D12:D14)</f>
        <v>457710122</v>
      </c>
      <c r="E11" s="11">
        <f>IF(ISERROR(D11/B11)," ",(D11/B11))</f>
        <v>0.6574367839208279</v>
      </c>
      <c r="F11" s="11">
        <f>IF(ISERROR(D11/C11)," ",(D11/C11))</f>
        <v>0.9848574893131178</v>
      </c>
      <c r="G11" s="9">
        <f>SUM(G12:G14)</f>
        <v>55652545</v>
      </c>
      <c r="H11" s="32" t="s">
        <v>363</v>
      </c>
      <c r="I11" s="181">
        <f>SUM(I12:I14)</f>
        <v>696204</v>
      </c>
      <c r="J11" s="181">
        <f>SUM(J12:J14)</f>
        <v>464748</v>
      </c>
      <c r="K11" s="181">
        <f>SUM(K12:K14)</f>
        <v>457710</v>
      </c>
      <c r="L11" s="224">
        <f>IF(ISERROR(ROUND(K11,0)/ROUND(I11,0))," ",(ROUND(K11,)/ROUND(I11,)))</f>
        <v>0.6574366134064153</v>
      </c>
      <c r="M11" s="224">
        <f aca="true" t="shared" si="0" ref="M11:M18">IF(ISERROR(ROUND(K11,0)/ROUND(J11,0))," ",(ROUND(K11,)/ROUND(J11,)))</f>
        <v>0.9848563092256448</v>
      </c>
      <c r="N11" s="200">
        <f>SUM(N12:N14)</f>
        <v>55653</v>
      </c>
    </row>
    <row r="12" spans="1:14" s="17" customFormat="1" ht="23.25" customHeight="1">
      <c r="A12" s="63" t="s">
        <v>364</v>
      </c>
      <c r="B12" s="60">
        <v>628767249</v>
      </c>
      <c r="C12" s="60">
        <v>419696720</v>
      </c>
      <c r="D12" s="60">
        <v>419696720</v>
      </c>
      <c r="E12" s="11">
        <f aca="true" t="shared" si="1" ref="E12:E18">IF(ISERROR(D12/B12)," ",(D12/B12))</f>
        <v>0.6674913820137601</v>
      </c>
      <c r="F12" s="11">
        <f aca="true" t="shared" si="2" ref="F12:F18">IF(ISERROR(D12/C12)," ",(D12/C12))</f>
        <v>1</v>
      </c>
      <c r="G12" s="168">
        <f>D12-'[5]Jūlijs'!D12</f>
        <v>50922041</v>
      </c>
      <c r="H12" s="63" t="s">
        <v>364</v>
      </c>
      <c r="I12" s="163">
        <f aca="true" t="shared" si="3" ref="I12:K14">ROUND(B12/1000,0)</f>
        <v>628767</v>
      </c>
      <c r="J12" s="163">
        <f t="shared" si="3"/>
        <v>419697</v>
      </c>
      <c r="K12" s="163">
        <f t="shared" si="3"/>
        <v>419697</v>
      </c>
      <c r="L12" s="223">
        <f aca="true" t="shared" si="4" ref="L12:L18">IF(ISERROR(ROUND(K12,0)/ROUND(I12,0))," ",(ROUND(K12,)/ROUND(I12,)))</f>
        <v>0.667492091665116</v>
      </c>
      <c r="M12" s="223">
        <f t="shared" si="0"/>
        <v>1</v>
      </c>
      <c r="N12" s="168">
        <f>K12-'[5]Jūlijs'!K12</f>
        <v>50922</v>
      </c>
    </row>
    <row r="13" spans="1:14" s="17" customFormat="1" ht="19.5" customHeight="1">
      <c r="A13" s="63" t="s">
        <v>365</v>
      </c>
      <c r="B13" s="60">
        <v>1092020</v>
      </c>
      <c r="C13" s="60">
        <v>212845</v>
      </c>
      <c r="D13" s="60">
        <v>121481</v>
      </c>
      <c r="E13" s="11">
        <f t="shared" si="1"/>
        <v>0.1112442995549532</v>
      </c>
      <c r="F13" s="11">
        <f t="shared" si="2"/>
        <v>0.5707486668702577</v>
      </c>
      <c r="G13" s="168">
        <f>D13-'[5]Jūlijs'!D13</f>
        <v>0</v>
      </c>
      <c r="H13" s="63" t="s">
        <v>365</v>
      </c>
      <c r="I13" s="163">
        <f t="shared" si="3"/>
        <v>1092</v>
      </c>
      <c r="J13" s="163">
        <f t="shared" si="3"/>
        <v>213</v>
      </c>
      <c r="K13" s="163">
        <f t="shared" si="3"/>
        <v>121</v>
      </c>
      <c r="L13" s="223">
        <f t="shared" si="4"/>
        <v>0.1108058608058608</v>
      </c>
      <c r="M13" s="223">
        <f t="shared" si="0"/>
        <v>0.568075117370892</v>
      </c>
      <c r="N13" s="168">
        <f>K13-'[5]Jūlijs'!K13</f>
        <v>0</v>
      </c>
    </row>
    <row r="14" spans="1:14" s="17" customFormat="1" ht="18.75" customHeight="1">
      <c r="A14" s="63" t="s">
        <v>291</v>
      </c>
      <c r="B14" s="60">
        <v>66344736</v>
      </c>
      <c r="C14" s="60">
        <v>44838002</v>
      </c>
      <c r="D14" s="60">
        <v>37891921</v>
      </c>
      <c r="E14" s="11">
        <f t="shared" si="1"/>
        <v>0.5711368118188005</v>
      </c>
      <c r="F14" s="11">
        <f t="shared" si="2"/>
        <v>0.8450849571753889</v>
      </c>
      <c r="G14" s="168">
        <f>D14-'[5]Jūlijs'!D14</f>
        <v>4730504</v>
      </c>
      <c r="H14" s="63" t="s">
        <v>291</v>
      </c>
      <c r="I14" s="163">
        <f t="shared" si="3"/>
        <v>66345</v>
      </c>
      <c r="J14" s="163">
        <f t="shared" si="3"/>
        <v>44838</v>
      </c>
      <c r="K14" s="163">
        <f>ROUND(D14/1000,0)</f>
        <v>37892</v>
      </c>
      <c r="L14" s="223">
        <f t="shared" si="4"/>
        <v>0.5711357298967519</v>
      </c>
      <c r="M14" s="223">
        <f t="shared" si="0"/>
        <v>0.8450867567688122</v>
      </c>
      <c r="N14" s="168">
        <f>K14-'[5]Jūlijs'!K14</f>
        <v>4731</v>
      </c>
    </row>
    <row r="15" spans="1:14" s="17" customFormat="1" ht="24" customHeight="1">
      <c r="A15" s="32" t="s">
        <v>222</v>
      </c>
      <c r="B15" s="88">
        <f>SUM(B16,B41)</f>
        <v>697570053</v>
      </c>
      <c r="C15" s="88">
        <f>SUM(C16,C41)</f>
        <v>466986789</v>
      </c>
      <c r="D15" s="88">
        <f>SUM(D16,D41)</f>
        <v>436641813.1</v>
      </c>
      <c r="E15" s="11">
        <f t="shared" si="1"/>
        <v>0.6259469012784584</v>
      </c>
      <c r="F15" s="11">
        <f t="shared" si="2"/>
        <v>0.9350196266472969</v>
      </c>
      <c r="G15" s="88">
        <f>SUM(G16,G41)</f>
        <v>50939029.10000001</v>
      </c>
      <c r="H15" s="32" t="s">
        <v>222</v>
      </c>
      <c r="I15" s="200">
        <f>SUM(I16,I41)</f>
        <v>697570</v>
      </c>
      <c r="J15" s="200">
        <f>SUM(J16,J41)</f>
        <v>466987</v>
      </c>
      <c r="K15" s="200">
        <f>SUM(K16,K41)</f>
        <v>436643</v>
      </c>
      <c r="L15" s="224">
        <f t="shared" si="4"/>
        <v>0.6259486503146637</v>
      </c>
      <c r="M15" s="224">
        <f t="shared" si="0"/>
        <v>0.935021745787356</v>
      </c>
      <c r="N15" s="200">
        <f>SUM(N16,N41)</f>
        <v>50939</v>
      </c>
    </row>
    <row r="16" spans="1:14" s="17" customFormat="1" ht="18.75" customHeight="1">
      <c r="A16" s="51" t="s">
        <v>366</v>
      </c>
      <c r="B16" s="52">
        <v>635105734</v>
      </c>
      <c r="C16" s="52">
        <v>422050100</v>
      </c>
      <c r="D16" s="52">
        <f>SUM(D17,D24,D28)</f>
        <v>402084499.38</v>
      </c>
      <c r="E16" s="11">
        <f t="shared" si="1"/>
        <v>0.6330985186476052</v>
      </c>
      <c r="F16" s="11">
        <f t="shared" si="2"/>
        <v>0.9526937664035621</v>
      </c>
      <c r="G16" s="52">
        <f>SUM(G17,G24,G28)</f>
        <v>44641519.38000001</v>
      </c>
      <c r="H16" s="51" t="s">
        <v>366</v>
      </c>
      <c r="I16" s="181">
        <f>ROUND(B16/1000,0)</f>
        <v>635106</v>
      </c>
      <c r="J16" s="181">
        <f aca="true" t="shared" si="5" ref="I16:J18">ROUND(C16/1000,0)</f>
        <v>422050</v>
      </c>
      <c r="K16" s="12">
        <f>SUM(K17,K24,K28)</f>
        <v>402086</v>
      </c>
      <c r="L16" s="224">
        <f t="shared" si="4"/>
        <v>0.6331006162750785</v>
      </c>
      <c r="M16" s="224">
        <f t="shared" si="0"/>
        <v>0.9526975476839237</v>
      </c>
      <c r="N16" s="12">
        <f>SUM(N17,N24,N28)</f>
        <v>44642</v>
      </c>
    </row>
    <row r="17" spans="1:14" s="17" customFormat="1" ht="22.5" customHeight="1">
      <c r="A17" s="91" t="s">
        <v>138</v>
      </c>
      <c r="B17" s="165">
        <v>318414663</v>
      </c>
      <c r="C17" s="165">
        <v>212760276</v>
      </c>
      <c r="D17" s="165">
        <f>SUM(D18,D19,D20,D23)</f>
        <v>199226382.65</v>
      </c>
      <c r="E17" s="11">
        <f t="shared" si="1"/>
        <v>0.6256821867842186</v>
      </c>
      <c r="F17" s="11">
        <f t="shared" si="2"/>
        <v>0.9363890026632603</v>
      </c>
      <c r="G17" s="165">
        <f>SUM(G18,G19,G20,G23)</f>
        <v>23567419.65000001</v>
      </c>
      <c r="H17" s="91" t="s">
        <v>138</v>
      </c>
      <c r="I17" s="166">
        <f t="shared" si="5"/>
        <v>318415</v>
      </c>
      <c r="J17" s="166">
        <f t="shared" si="5"/>
        <v>212760</v>
      </c>
      <c r="K17" s="15">
        <f>SUM(K18,K19,K20,K23)</f>
        <v>199227</v>
      </c>
      <c r="L17" s="240">
        <f t="shared" si="4"/>
        <v>0.6256834634046763</v>
      </c>
      <c r="M17" s="240">
        <f t="shared" si="0"/>
        <v>0.9363931190073322</v>
      </c>
      <c r="N17" s="15">
        <f>SUM(N18,N19,N20,N23)</f>
        <v>23567</v>
      </c>
    </row>
    <row r="18" spans="1:14" s="17" customFormat="1" ht="18" customHeight="1">
      <c r="A18" s="21" t="s">
        <v>139</v>
      </c>
      <c r="B18" s="168">
        <v>149413801</v>
      </c>
      <c r="C18" s="168">
        <v>99374027</v>
      </c>
      <c r="D18" s="168">
        <v>95039589.34</v>
      </c>
      <c r="E18" s="19">
        <f t="shared" si="1"/>
        <v>0.6360830706662767</v>
      </c>
      <c r="F18" s="19">
        <f t="shared" si="2"/>
        <v>0.9563825901912982</v>
      </c>
      <c r="G18" s="168">
        <f>D18-'[5]Jūlijs'!D18</f>
        <v>10906670.340000004</v>
      </c>
      <c r="H18" s="21" t="s">
        <v>139</v>
      </c>
      <c r="I18" s="163">
        <f t="shared" si="5"/>
        <v>149414</v>
      </c>
      <c r="J18" s="163">
        <f t="shared" si="5"/>
        <v>99374</v>
      </c>
      <c r="K18" s="163">
        <f>ROUND(D18/1000,0)</f>
        <v>95040</v>
      </c>
      <c r="L18" s="223">
        <f t="shared" si="4"/>
        <v>0.6360849719571124</v>
      </c>
      <c r="M18" s="223">
        <f t="shared" si="0"/>
        <v>0.9563869825105158</v>
      </c>
      <c r="N18" s="168">
        <f>K18-'[5]Jūlijs'!K18</f>
        <v>10907</v>
      </c>
    </row>
    <row r="19" spans="1:14" s="17" customFormat="1" ht="24" customHeight="1">
      <c r="A19" s="63" t="s">
        <v>223</v>
      </c>
      <c r="B19" s="98" t="s">
        <v>134</v>
      </c>
      <c r="C19" s="98" t="s">
        <v>134</v>
      </c>
      <c r="D19" s="168">
        <v>25478964.73</v>
      </c>
      <c r="E19" s="170" t="s">
        <v>134</v>
      </c>
      <c r="F19" s="241" t="s">
        <v>134</v>
      </c>
      <c r="G19" s="168">
        <f>D19-'[5]Jūlijs'!D19</f>
        <v>3388661.7300000004</v>
      </c>
      <c r="H19" s="63" t="s">
        <v>223</v>
      </c>
      <c r="I19" s="171" t="s">
        <v>134</v>
      </c>
      <c r="J19" s="171" t="s">
        <v>134</v>
      </c>
      <c r="K19" s="163">
        <f>ROUND(D19/1000,0)</f>
        <v>25479</v>
      </c>
      <c r="L19" s="170" t="s">
        <v>134</v>
      </c>
      <c r="M19" s="241" t="s">
        <v>134</v>
      </c>
      <c r="N19" s="168">
        <f>K19-'[5]Jūlijs'!K19</f>
        <v>3388</v>
      </c>
    </row>
    <row r="20" spans="1:14" s="17" customFormat="1" ht="19.5" customHeight="1">
      <c r="A20" s="63" t="s">
        <v>141</v>
      </c>
      <c r="B20" s="98" t="s">
        <v>134</v>
      </c>
      <c r="C20" s="98" t="s">
        <v>134</v>
      </c>
      <c r="D20" s="168">
        <f>SUM(D21:D22)</f>
        <v>78560684.48</v>
      </c>
      <c r="E20" s="170" t="s">
        <v>134</v>
      </c>
      <c r="F20" s="241" t="s">
        <v>134</v>
      </c>
      <c r="G20" s="168">
        <f>SUM(G21:G22)</f>
        <v>9207667.480000004</v>
      </c>
      <c r="H20" s="63" t="s">
        <v>141</v>
      </c>
      <c r="I20" s="171" t="s">
        <v>134</v>
      </c>
      <c r="J20" s="171" t="s">
        <v>134</v>
      </c>
      <c r="K20" s="18">
        <f>SUM(K21:K22)</f>
        <v>78561</v>
      </c>
      <c r="L20" s="170" t="s">
        <v>134</v>
      </c>
      <c r="M20" s="241" t="s">
        <v>134</v>
      </c>
      <c r="N20" s="18">
        <f>SUM(N21:N22)</f>
        <v>9208</v>
      </c>
    </row>
    <row r="21" spans="1:14" s="243" customFormat="1" ht="17.25" customHeight="1">
      <c r="A21" s="100" t="s">
        <v>367</v>
      </c>
      <c r="B21" s="101" t="s">
        <v>134</v>
      </c>
      <c r="C21" s="101" t="s">
        <v>134</v>
      </c>
      <c r="D21" s="172">
        <f>32472177.93+37900234.49+11480.62+504.21-100.89-278.66</f>
        <v>70384017.7</v>
      </c>
      <c r="E21" s="173" t="s">
        <v>134</v>
      </c>
      <c r="F21" s="242" t="s">
        <v>134</v>
      </c>
      <c r="G21" s="168">
        <f>D21-'[5]Jūlijs'!D21</f>
        <v>8334795.700000003</v>
      </c>
      <c r="H21" s="100" t="s">
        <v>368</v>
      </c>
      <c r="I21" s="174" t="s">
        <v>134</v>
      </c>
      <c r="J21" s="174" t="s">
        <v>134</v>
      </c>
      <c r="K21" s="175">
        <f>ROUND(D21/1000,0)</f>
        <v>70384</v>
      </c>
      <c r="L21" s="173" t="s">
        <v>134</v>
      </c>
      <c r="M21" s="242" t="s">
        <v>134</v>
      </c>
      <c r="N21" s="172">
        <f>K21-'[5]Jūlijs'!K21</f>
        <v>8335</v>
      </c>
    </row>
    <row r="22" spans="1:14" s="243" customFormat="1" ht="17.25" customHeight="1">
      <c r="A22" s="100" t="s">
        <v>226</v>
      </c>
      <c r="B22" s="101" t="s">
        <v>134</v>
      </c>
      <c r="C22" s="101" t="s">
        <v>134</v>
      </c>
      <c r="D22" s="172">
        <f>4222678+3153799.41+788282.31-27558.85+38510.31+955.6</f>
        <v>8176666.78</v>
      </c>
      <c r="E22" s="173" t="s">
        <v>134</v>
      </c>
      <c r="F22" s="242" t="s">
        <v>134</v>
      </c>
      <c r="G22" s="168">
        <f>D22-'[5]Jūlijs'!D22</f>
        <v>872871.7800000003</v>
      </c>
      <c r="H22" s="244" t="s">
        <v>369</v>
      </c>
      <c r="I22" s="174" t="s">
        <v>134</v>
      </c>
      <c r="J22" s="174" t="s">
        <v>134</v>
      </c>
      <c r="K22" s="175">
        <f>ROUND(D22/1000,0)</f>
        <v>8177</v>
      </c>
      <c r="L22" s="173" t="s">
        <v>134</v>
      </c>
      <c r="M22" s="242" t="s">
        <v>134</v>
      </c>
      <c r="N22" s="172">
        <f>K22-'[5]Jūlijs'!K22</f>
        <v>873</v>
      </c>
    </row>
    <row r="23" spans="1:14" s="17" customFormat="1" ht="20.25" customHeight="1">
      <c r="A23" s="63" t="s">
        <v>370</v>
      </c>
      <c r="B23" s="98" t="s">
        <v>134</v>
      </c>
      <c r="C23" s="98" t="s">
        <v>134</v>
      </c>
      <c r="D23" s="168">
        <v>147144.1</v>
      </c>
      <c r="E23" s="170" t="s">
        <v>134</v>
      </c>
      <c r="F23" s="241" t="s">
        <v>134</v>
      </c>
      <c r="G23" s="168">
        <f>D23-'[5]Jūlijs'!D23</f>
        <v>64420.100000000006</v>
      </c>
      <c r="H23" s="63" t="s">
        <v>370</v>
      </c>
      <c r="I23" s="171" t="s">
        <v>134</v>
      </c>
      <c r="J23" s="171" t="s">
        <v>134</v>
      </c>
      <c r="K23" s="163">
        <f>ROUND(D23/1000,0)</f>
        <v>147</v>
      </c>
      <c r="L23" s="170" t="s">
        <v>134</v>
      </c>
      <c r="M23" s="241" t="s">
        <v>134</v>
      </c>
      <c r="N23" s="168">
        <f>K23-'[5]Jūlijs'!K23</f>
        <v>64</v>
      </c>
    </row>
    <row r="24" spans="1:14" s="17" customFormat="1" ht="26.25" customHeight="1">
      <c r="A24" s="105" t="s">
        <v>145</v>
      </c>
      <c r="B24" s="165">
        <v>28881721</v>
      </c>
      <c r="C24" s="165">
        <v>19142072</v>
      </c>
      <c r="D24" s="165">
        <f>SUM(D25,D26,D27)</f>
        <v>16042707.22</v>
      </c>
      <c r="E24" s="11">
        <f>IF(ISERROR(D24/B24)," ",(D24/B24))</f>
        <v>0.5554623015712948</v>
      </c>
      <c r="F24" s="11">
        <f>IF(ISERROR(D24/C24)," ",(D24/C24))</f>
        <v>0.8380862437462361</v>
      </c>
      <c r="G24" s="165">
        <f>SUM(G25,G26,G27)</f>
        <v>1731143.2199999993</v>
      </c>
      <c r="H24" s="105" t="s">
        <v>145</v>
      </c>
      <c r="I24" s="245">
        <f>ROUND(B24/1000,0)</f>
        <v>28882</v>
      </c>
      <c r="J24" s="245">
        <f>ROUND(C24/1000,0)+1</f>
        <v>19143</v>
      </c>
      <c r="K24" s="15">
        <f>SUM(K25,K26,K27)</f>
        <v>16044</v>
      </c>
      <c r="L24" s="240">
        <f>IF(ISERROR(ROUND(K24,0)/ROUND(I24,0))," ",(ROUND(K24,)/ROUND(I24,)))</f>
        <v>0.5555016965584101</v>
      </c>
      <c r="M24" s="240">
        <f>IF(ISERROR(ROUND(K24,0)/ROUND(J24,0))," ",(ROUND(K24,)/ROUND(J24,)))</f>
        <v>0.8381131484093403</v>
      </c>
      <c r="N24" s="15">
        <f>SUM(N25,N26,N27)</f>
        <v>1732</v>
      </c>
    </row>
    <row r="25" spans="1:14" s="17" customFormat="1" ht="16.5" customHeight="1">
      <c r="A25" s="63" t="s">
        <v>371</v>
      </c>
      <c r="B25" s="98" t="s">
        <v>134</v>
      </c>
      <c r="C25" s="98" t="s">
        <v>134</v>
      </c>
      <c r="D25" s="168">
        <v>8537453.69</v>
      </c>
      <c r="E25" s="170" t="s">
        <v>134</v>
      </c>
      <c r="F25" s="241" t="s">
        <v>134</v>
      </c>
      <c r="G25" s="168">
        <f>D25-'[5]Jūlijs'!D25</f>
        <v>711284.6899999995</v>
      </c>
      <c r="H25" s="63" t="s">
        <v>371</v>
      </c>
      <c r="I25" s="171" t="s">
        <v>134</v>
      </c>
      <c r="J25" s="171" t="s">
        <v>134</v>
      </c>
      <c r="K25" s="163">
        <f>ROUND(D25/1000,0)+1</f>
        <v>8538</v>
      </c>
      <c r="L25" s="170" t="s">
        <v>134</v>
      </c>
      <c r="M25" s="241" t="s">
        <v>134</v>
      </c>
      <c r="N25" s="168">
        <f>K25-'[5]Jūlijs'!K25</f>
        <v>712</v>
      </c>
    </row>
    <row r="26" spans="1:14" s="17" customFormat="1" ht="17.25" customHeight="1">
      <c r="A26" s="63" t="s">
        <v>372</v>
      </c>
      <c r="B26" s="98" t="s">
        <v>134</v>
      </c>
      <c r="C26" s="98" t="s">
        <v>134</v>
      </c>
      <c r="D26" s="168">
        <v>6945418.72</v>
      </c>
      <c r="E26" s="170" t="s">
        <v>134</v>
      </c>
      <c r="F26" s="241" t="s">
        <v>134</v>
      </c>
      <c r="G26" s="168">
        <f>D26-'[5]Jūlijs'!D26</f>
        <v>995108.7199999997</v>
      </c>
      <c r="H26" s="63" t="s">
        <v>372</v>
      </c>
      <c r="I26" s="171" t="s">
        <v>134</v>
      </c>
      <c r="J26" s="171" t="s">
        <v>134</v>
      </c>
      <c r="K26" s="163">
        <f>ROUND(D26/1000,0)+1</f>
        <v>6946</v>
      </c>
      <c r="L26" s="170" t="s">
        <v>134</v>
      </c>
      <c r="M26" s="241" t="s">
        <v>134</v>
      </c>
      <c r="N26" s="168">
        <f>K26-'[5]Jūlijs'!K26</f>
        <v>995</v>
      </c>
    </row>
    <row r="27" spans="1:14" s="17" customFormat="1" ht="24" customHeight="1">
      <c r="A27" s="63" t="s">
        <v>373</v>
      </c>
      <c r="B27" s="98" t="s">
        <v>134</v>
      </c>
      <c r="C27" s="98" t="s">
        <v>134</v>
      </c>
      <c r="D27" s="168">
        <v>559834.81</v>
      </c>
      <c r="E27" s="170" t="s">
        <v>134</v>
      </c>
      <c r="F27" s="241" t="s">
        <v>134</v>
      </c>
      <c r="G27" s="168">
        <f>D27-'[5]Jūlijs'!D27</f>
        <v>24749.810000000056</v>
      </c>
      <c r="H27" s="63" t="s">
        <v>373</v>
      </c>
      <c r="I27" s="171" t="s">
        <v>134</v>
      </c>
      <c r="J27" s="171" t="s">
        <v>134</v>
      </c>
      <c r="K27" s="163">
        <f>ROUND(D27/1000,0)</f>
        <v>560</v>
      </c>
      <c r="L27" s="170" t="s">
        <v>134</v>
      </c>
      <c r="M27" s="241" t="s">
        <v>134</v>
      </c>
      <c r="N27" s="168">
        <f>K27-'[5]Jūlijs'!K27</f>
        <v>25</v>
      </c>
    </row>
    <row r="28" spans="1:14" s="17" customFormat="1" ht="23.25" customHeight="1">
      <c r="A28" s="246" t="s">
        <v>148</v>
      </c>
      <c r="B28" s="165">
        <v>287809350</v>
      </c>
      <c r="C28" s="165">
        <v>190147752</v>
      </c>
      <c r="D28" s="165">
        <f>SUM(D29,D30,D31,D32,D35,D40)</f>
        <v>186815409.51</v>
      </c>
      <c r="E28" s="11">
        <f>IF(ISERROR(D28/B28)," ",(D28/B28))</f>
        <v>0.6490943032601268</v>
      </c>
      <c r="F28" s="11">
        <f>IF(ISERROR(D28/C28)," ",(D28/C28))</f>
        <v>0.9824749835065102</v>
      </c>
      <c r="G28" s="165">
        <f>SUM(G29,G30,G31,G32,G35,G40)</f>
        <v>19342956.51</v>
      </c>
      <c r="H28" s="246" t="s">
        <v>148</v>
      </c>
      <c r="I28" s="245">
        <f>ROUND(B28/1000,0)</f>
        <v>287809</v>
      </c>
      <c r="J28" s="245">
        <f>ROUND(C28/1000,0)</f>
        <v>190148</v>
      </c>
      <c r="K28" s="15">
        <f>SUM(K29,K30,K31,K32,K35,K40)</f>
        <v>186815</v>
      </c>
      <c r="L28" s="240">
        <f>IF(ISERROR(ROUND(K28,0)/ROUND(I28,0))," ",(ROUND(K28,)/ROUND(I28,)))</f>
        <v>0.6490936697601535</v>
      </c>
      <c r="M28" s="240">
        <f>IF(ISERROR(ROUND(K28,0)/ROUND(J28,0))," ",(ROUND(K28,)/ROUND(J28,)))</f>
        <v>0.9824715484780276</v>
      </c>
      <c r="N28" s="15">
        <f>SUM(N29,N30,N31,N32,N35,N40)</f>
        <v>19343</v>
      </c>
    </row>
    <row r="29" spans="1:14" s="17" customFormat="1" ht="12.75">
      <c r="A29" s="21" t="s">
        <v>149</v>
      </c>
      <c r="B29" s="98" t="s">
        <v>134</v>
      </c>
      <c r="C29" s="98" t="s">
        <v>134</v>
      </c>
      <c r="D29" s="168">
        <f>11041393.51+9817.07</f>
        <v>11051210.58</v>
      </c>
      <c r="E29" s="170" t="s">
        <v>134</v>
      </c>
      <c r="F29" s="241" t="s">
        <v>134</v>
      </c>
      <c r="G29" s="168">
        <f>D29-'[5]Jūlijs'!D29</f>
        <v>1215344.58</v>
      </c>
      <c r="H29" s="21" t="s">
        <v>149</v>
      </c>
      <c r="I29" s="171" t="s">
        <v>134</v>
      </c>
      <c r="J29" s="171" t="s">
        <v>134</v>
      </c>
      <c r="K29" s="169">
        <f>ROUND(D29/1000,0)</f>
        <v>11051</v>
      </c>
      <c r="L29" s="170" t="s">
        <v>134</v>
      </c>
      <c r="M29" s="241" t="s">
        <v>134</v>
      </c>
      <c r="N29" s="168">
        <f>K29-'[5]Jūlijs'!K29</f>
        <v>1215</v>
      </c>
    </row>
    <row r="30" spans="1:14" s="17" customFormat="1" ht="15.75" customHeight="1">
      <c r="A30" s="63" t="s">
        <v>150</v>
      </c>
      <c r="B30" s="98" t="s">
        <v>134</v>
      </c>
      <c r="C30" s="98" t="s">
        <v>134</v>
      </c>
      <c r="D30" s="168">
        <v>56951092</v>
      </c>
      <c r="E30" s="170" t="s">
        <v>134</v>
      </c>
      <c r="F30" s="241" t="s">
        <v>134</v>
      </c>
      <c r="G30" s="168">
        <f>D30-'[5]Jūlijs'!D30</f>
        <v>3336091</v>
      </c>
      <c r="H30" s="63" t="s">
        <v>150</v>
      </c>
      <c r="I30" s="171" t="s">
        <v>134</v>
      </c>
      <c r="J30" s="171" t="s">
        <v>134</v>
      </c>
      <c r="K30" s="163">
        <f>ROUND(D30/1000,0)</f>
        <v>56951</v>
      </c>
      <c r="L30" s="170" t="s">
        <v>134</v>
      </c>
      <c r="M30" s="241" t="s">
        <v>134</v>
      </c>
      <c r="N30" s="168">
        <f>K30-'[5]Jūlijs'!K30</f>
        <v>3336</v>
      </c>
    </row>
    <row r="31" spans="1:14" s="17" customFormat="1" ht="16.5" customHeight="1">
      <c r="A31" s="63" t="s">
        <v>151</v>
      </c>
      <c r="B31" s="98" t="s">
        <v>134</v>
      </c>
      <c r="C31" s="98" t="s">
        <v>134</v>
      </c>
      <c r="D31" s="168">
        <v>4068674</v>
      </c>
      <c r="E31" s="170" t="s">
        <v>134</v>
      </c>
      <c r="F31" s="241" t="s">
        <v>134</v>
      </c>
      <c r="G31" s="168">
        <f>D31-'[5]Jūlijs'!D31</f>
        <v>508584</v>
      </c>
      <c r="H31" s="63" t="s">
        <v>151</v>
      </c>
      <c r="I31" s="171" t="s">
        <v>134</v>
      </c>
      <c r="J31" s="171" t="s">
        <v>134</v>
      </c>
      <c r="K31" s="163">
        <f>ROUND(D31/1000,0)</f>
        <v>4069</v>
      </c>
      <c r="L31" s="170" t="s">
        <v>134</v>
      </c>
      <c r="M31" s="241" t="s">
        <v>134</v>
      </c>
      <c r="N31" s="168">
        <f>K31-'[5]Jūlijs'!K31</f>
        <v>509</v>
      </c>
    </row>
    <row r="32" spans="1:14" s="17" customFormat="1" ht="15" customHeight="1">
      <c r="A32" s="63" t="s">
        <v>229</v>
      </c>
      <c r="B32" s="98" t="s">
        <v>134</v>
      </c>
      <c r="C32" s="98" t="s">
        <v>134</v>
      </c>
      <c r="D32" s="168">
        <f>SUM(D33,D34)</f>
        <v>62052604.970000006</v>
      </c>
      <c r="E32" s="170" t="s">
        <v>134</v>
      </c>
      <c r="F32" s="241" t="s">
        <v>134</v>
      </c>
      <c r="G32" s="168">
        <f>SUM(G33,G34)</f>
        <v>8573295.970000006</v>
      </c>
      <c r="H32" s="63" t="s">
        <v>229</v>
      </c>
      <c r="I32" s="171" t="s">
        <v>134</v>
      </c>
      <c r="J32" s="171" t="s">
        <v>134</v>
      </c>
      <c r="K32" s="180">
        <f>SUM(K33,K34)</f>
        <v>62053</v>
      </c>
      <c r="L32" s="170" t="s">
        <v>134</v>
      </c>
      <c r="M32" s="241" t="s">
        <v>134</v>
      </c>
      <c r="N32" s="18">
        <f>SUM(N33,N34)</f>
        <v>8574</v>
      </c>
    </row>
    <row r="33" spans="1:14" s="247" customFormat="1" ht="16.5" customHeight="1">
      <c r="A33" s="100" t="s">
        <v>374</v>
      </c>
      <c r="B33" s="101" t="s">
        <v>134</v>
      </c>
      <c r="C33" s="101" t="s">
        <v>134</v>
      </c>
      <c r="D33" s="172">
        <f>36940743+2338388+1209000+434+29244</f>
        <v>40517809</v>
      </c>
      <c r="E33" s="173" t="s">
        <v>134</v>
      </c>
      <c r="F33" s="242" t="s">
        <v>134</v>
      </c>
      <c r="G33" s="168">
        <f>D33-'[5]Jūlijs'!D33</f>
        <v>4793688</v>
      </c>
      <c r="H33" s="244" t="s">
        <v>375</v>
      </c>
      <c r="I33" s="174" t="s">
        <v>134</v>
      </c>
      <c r="J33" s="174" t="s">
        <v>134</v>
      </c>
      <c r="K33" s="175">
        <f>ROUND(D33/1000,0)</f>
        <v>40518</v>
      </c>
      <c r="L33" s="173" t="s">
        <v>134</v>
      </c>
      <c r="M33" s="242" t="s">
        <v>134</v>
      </c>
      <c r="N33" s="172">
        <f>K33-'[5]Jūlijs'!K33</f>
        <v>4794</v>
      </c>
    </row>
    <row r="34" spans="1:14" s="247" customFormat="1" ht="15" customHeight="1">
      <c r="A34" s="100" t="s">
        <v>376</v>
      </c>
      <c r="B34" s="101" t="s">
        <v>134</v>
      </c>
      <c r="C34" s="101" t="s">
        <v>134</v>
      </c>
      <c r="D34" s="172">
        <f>62022926.95+29678.02-40517809</f>
        <v>21534795.970000006</v>
      </c>
      <c r="E34" s="173" t="s">
        <v>134</v>
      </c>
      <c r="F34" s="242" t="s">
        <v>134</v>
      </c>
      <c r="G34" s="168">
        <f>D34-'[5]Jūlijs'!D34</f>
        <v>3779607.9700000063</v>
      </c>
      <c r="H34" s="100" t="s">
        <v>377</v>
      </c>
      <c r="I34" s="174" t="s">
        <v>134</v>
      </c>
      <c r="J34" s="174" t="s">
        <v>134</v>
      </c>
      <c r="K34" s="175">
        <f>ROUND(D34/1000,0)</f>
        <v>21535</v>
      </c>
      <c r="L34" s="173" t="s">
        <v>134</v>
      </c>
      <c r="M34" s="242" t="s">
        <v>134</v>
      </c>
      <c r="N34" s="172">
        <f>K34-'[5]Jūlijs'!K34</f>
        <v>3780</v>
      </c>
    </row>
    <row r="35" spans="1:14" ht="15" customHeight="1">
      <c r="A35" s="63" t="s">
        <v>153</v>
      </c>
      <c r="B35" s="98" t="s">
        <v>134</v>
      </c>
      <c r="C35" s="98" t="s">
        <v>134</v>
      </c>
      <c r="D35" s="168">
        <f>SUM(D36,D37,D38,D39)</f>
        <v>50496632.29999999</v>
      </c>
      <c r="E35" s="170" t="s">
        <v>134</v>
      </c>
      <c r="F35" s="241" t="s">
        <v>134</v>
      </c>
      <c r="G35" s="168">
        <f>SUM(G36,G37,G38,G39)</f>
        <v>5578827.299999997</v>
      </c>
      <c r="H35" s="63" t="s">
        <v>153</v>
      </c>
      <c r="I35" s="171" t="s">
        <v>134</v>
      </c>
      <c r="J35" s="171" t="s">
        <v>134</v>
      </c>
      <c r="K35" s="180">
        <f>SUM(K36,K37,K38,K39)</f>
        <v>50496</v>
      </c>
      <c r="L35" s="170" t="s">
        <v>134</v>
      </c>
      <c r="M35" s="241" t="s">
        <v>134</v>
      </c>
      <c r="N35" s="18">
        <f>SUM(N36,N37,N38,N39)</f>
        <v>5578</v>
      </c>
    </row>
    <row r="36" spans="1:14" s="176" customFormat="1" ht="15" customHeight="1">
      <c r="A36" s="244" t="s">
        <v>378</v>
      </c>
      <c r="B36" s="101" t="s">
        <v>134</v>
      </c>
      <c r="C36" s="101" t="s">
        <v>134</v>
      </c>
      <c r="D36" s="172">
        <f>168634.71-36.46-53.62+164302.91</f>
        <v>332847.54000000004</v>
      </c>
      <c r="E36" s="173" t="s">
        <v>134</v>
      </c>
      <c r="F36" s="242" t="s">
        <v>134</v>
      </c>
      <c r="G36" s="168">
        <f>D36-'[5]Jūlijs'!D36</f>
        <v>36476.54000000004</v>
      </c>
      <c r="H36" s="244" t="s">
        <v>379</v>
      </c>
      <c r="I36" s="174" t="s">
        <v>134</v>
      </c>
      <c r="J36" s="174" t="s">
        <v>134</v>
      </c>
      <c r="K36" s="175">
        <f>ROUND(D36/1000,0)</f>
        <v>333</v>
      </c>
      <c r="L36" s="173" t="s">
        <v>134</v>
      </c>
      <c r="M36" s="242" t="s">
        <v>134</v>
      </c>
      <c r="N36" s="172">
        <f>K36-'[5]Jūlijs'!K36</f>
        <v>36</v>
      </c>
    </row>
    <row r="37" spans="1:14" s="176" customFormat="1" ht="15" customHeight="1">
      <c r="A37" s="100" t="s">
        <v>380</v>
      </c>
      <c r="B37" s="101" t="s">
        <v>134</v>
      </c>
      <c r="C37" s="101" t="s">
        <v>134</v>
      </c>
      <c r="D37" s="172">
        <f>7008115.36+20307287.12+2160804.67+2190490+2967461.83+2802248.34+5313750.09</f>
        <v>42750157.41</v>
      </c>
      <c r="E37" s="173" t="s">
        <v>134</v>
      </c>
      <c r="F37" s="242" t="s">
        <v>134</v>
      </c>
      <c r="G37" s="168">
        <f>D37-'[5]Jūlijs'!D37</f>
        <v>5112025.409999996</v>
      </c>
      <c r="H37" s="100" t="s">
        <v>381</v>
      </c>
      <c r="I37" s="174" t="s">
        <v>134</v>
      </c>
      <c r="J37" s="174" t="s">
        <v>134</v>
      </c>
      <c r="K37" s="175">
        <f>ROUND(D37/1000,0)</f>
        <v>42750</v>
      </c>
      <c r="L37" s="173" t="s">
        <v>134</v>
      </c>
      <c r="M37" s="242" t="s">
        <v>134</v>
      </c>
      <c r="N37" s="172">
        <f>K37-'[5]Jūlijs'!K37</f>
        <v>5112</v>
      </c>
    </row>
    <row r="38" spans="1:14" s="176" customFormat="1" ht="15" customHeight="1">
      <c r="A38" s="100" t="s">
        <v>382</v>
      </c>
      <c r="B38" s="101" t="s">
        <v>134</v>
      </c>
      <c r="C38" s="101" t="s">
        <v>134</v>
      </c>
      <c r="D38" s="172">
        <f>20231.13+4060221.95+7.5-213.74</f>
        <v>4080246.84</v>
      </c>
      <c r="E38" s="173" t="s">
        <v>134</v>
      </c>
      <c r="F38" s="242" t="s">
        <v>134</v>
      </c>
      <c r="G38" s="168">
        <f>D38-'[5]Jūlijs'!D38</f>
        <v>97175.83999999985</v>
      </c>
      <c r="H38" s="100" t="s">
        <v>383</v>
      </c>
      <c r="I38" s="174" t="s">
        <v>134</v>
      </c>
      <c r="J38" s="174" t="s">
        <v>134</v>
      </c>
      <c r="K38" s="175">
        <f>ROUND(D38/1000,0)</f>
        <v>4080</v>
      </c>
      <c r="L38" s="173" t="s">
        <v>134</v>
      </c>
      <c r="M38" s="242" t="s">
        <v>134</v>
      </c>
      <c r="N38" s="172">
        <f>K38-'[5]Jūlijs'!K38</f>
        <v>97</v>
      </c>
    </row>
    <row r="39" spans="1:14" s="176" customFormat="1" ht="15" customHeight="1">
      <c r="A39" s="100" t="s">
        <v>384</v>
      </c>
      <c r="B39" s="101" t="s">
        <v>134</v>
      </c>
      <c r="C39" s="101" t="s">
        <v>134</v>
      </c>
      <c r="D39" s="172">
        <f>26+2031400.13+282047.87+24940+994217.31+749.2</f>
        <v>3333380.5100000002</v>
      </c>
      <c r="E39" s="173" t="s">
        <v>134</v>
      </c>
      <c r="F39" s="242" t="s">
        <v>134</v>
      </c>
      <c r="G39" s="168">
        <f>D39-'[5]Jūlijs'!D39</f>
        <v>333149.51000000024</v>
      </c>
      <c r="H39" s="100" t="s">
        <v>385</v>
      </c>
      <c r="I39" s="174" t="s">
        <v>134</v>
      </c>
      <c r="J39" s="174" t="s">
        <v>134</v>
      </c>
      <c r="K39" s="175">
        <f>ROUND(D39/1000,0)</f>
        <v>3333</v>
      </c>
      <c r="L39" s="173" t="s">
        <v>134</v>
      </c>
      <c r="M39" s="242" t="s">
        <v>134</v>
      </c>
      <c r="N39" s="172">
        <f>K39-'[5]Jūlijs'!K39</f>
        <v>333</v>
      </c>
    </row>
    <row r="40" spans="1:14" ht="18.75" customHeight="1">
      <c r="A40" s="63" t="s">
        <v>386</v>
      </c>
      <c r="B40" s="168">
        <v>4502554</v>
      </c>
      <c r="C40" s="168">
        <v>3683770</v>
      </c>
      <c r="D40" s="168">
        <v>2195195.66</v>
      </c>
      <c r="E40" s="11">
        <f>IF(ISERROR(D40/B40)," ",(D40/B40))</f>
        <v>0.48754454916032103</v>
      </c>
      <c r="F40" s="11">
        <f>IF(ISERROR(D40/C40)," ",(D40/C40))</f>
        <v>0.5959100758190659</v>
      </c>
      <c r="G40" s="168">
        <f>D40-'[5]Jūlijs'!D40</f>
        <v>130813.66000000015</v>
      </c>
      <c r="H40" s="63" t="s">
        <v>386</v>
      </c>
      <c r="I40" s="62">
        <f>ROUND(B40/1000,0)</f>
        <v>4503</v>
      </c>
      <c r="J40" s="62">
        <f>ROUND(C40/1000,0)</f>
        <v>3684</v>
      </c>
      <c r="K40" s="163">
        <f>ROUND(D40/1000,0)</f>
        <v>2195</v>
      </c>
      <c r="L40" s="223">
        <f>IF(ISERROR(ROUND(K40,0)/ROUND(I40,0))," ",(ROUND(K40,)/ROUND(I40,)))</f>
        <v>0.4874528092382856</v>
      </c>
      <c r="M40" s="223">
        <f>IF(ISERROR(ROUND(K40,0)/ROUND(J40,0))," ",(ROUND(K40,)/ROUND(J40,)))</f>
        <v>0.5958197611292074</v>
      </c>
      <c r="N40" s="168">
        <f>K40-'[5]Jūlijs'!K40</f>
        <v>131</v>
      </c>
    </row>
    <row r="41" spans="1:14" ht="27" customHeight="1">
      <c r="A41" s="80" t="s">
        <v>237</v>
      </c>
      <c r="B41" s="52">
        <f>SUM(B42:B43)</f>
        <v>62464319</v>
      </c>
      <c r="C41" s="52">
        <f>SUM(C42:C43)</f>
        <v>44936689</v>
      </c>
      <c r="D41" s="52">
        <f>SUM(D42:D43)</f>
        <v>34557313.72</v>
      </c>
      <c r="E41" s="11">
        <f>IF(ISERROR(D41/B41)," ",(D41/B41))</f>
        <v>0.5532328579456698</v>
      </c>
      <c r="F41" s="11">
        <f>IF(ISERROR(D41/C41)," ",(D41/C41))</f>
        <v>0.7690222508382849</v>
      </c>
      <c r="G41" s="52">
        <f>SUM(G42:G43)</f>
        <v>6297509.720000001</v>
      </c>
      <c r="H41" s="80" t="s">
        <v>237</v>
      </c>
      <c r="I41" s="12">
        <f>SUM(I42:I43)</f>
        <v>62464</v>
      </c>
      <c r="J41" s="12">
        <f>SUM(J42:J43)</f>
        <v>44937</v>
      </c>
      <c r="K41" s="12">
        <f>SUM(K42:K43)</f>
        <v>34557</v>
      </c>
      <c r="L41" s="224">
        <f>IF(ISERROR(ROUND(K41,0)/ROUND(I41,0))," ",(ROUND(K41,)/ROUND(I41,)))</f>
        <v>0.5532306608606558</v>
      </c>
      <c r="M41" s="224">
        <f>IF(ISERROR(ROUND(K41,0)/ROUND(J41,0))," ",(ROUND(K41,)/ROUND(J41,)))</f>
        <v>0.7690099472594967</v>
      </c>
      <c r="N41" s="12">
        <f>SUM(N42:N43)</f>
        <v>6297</v>
      </c>
    </row>
    <row r="42" spans="1:14" ht="24" customHeight="1">
      <c r="A42" s="210" t="s">
        <v>155</v>
      </c>
      <c r="B42" s="168">
        <v>14475786</v>
      </c>
      <c r="C42" s="168">
        <v>10140020</v>
      </c>
      <c r="D42" s="168">
        <f>4831217.49+32117.32+342716.2+2110101.48+44141.25+121481</f>
        <v>7481774.74</v>
      </c>
      <c r="E42" s="11">
        <f>IF(ISERROR(D42/B42)," ",(D42/B42))</f>
        <v>0.516847564615835</v>
      </c>
      <c r="F42" s="11">
        <f>IF(ISERROR(D42/C42)," ",(D42/C42))</f>
        <v>0.7378461521772146</v>
      </c>
      <c r="G42" s="168">
        <f>D42-'[5]Jūlijs'!D42</f>
        <v>1007181.7400000002</v>
      </c>
      <c r="H42" s="210" t="s">
        <v>155</v>
      </c>
      <c r="I42" s="248">
        <f>ROUND(B42/1000,0)</f>
        <v>14476</v>
      </c>
      <c r="J42" s="248">
        <f>ROUND(C42/1000,0)</f>
        <v>10140</v>
      </c>
      <c r="K42" s="163">
        <f>ROUND(D42/1000,0)</f>
        <v>7482</v>
      </c>
      <c r="L42" s="223">
        <f>IF(ISERROR(ROUND(K42,0)/ROUND(I42,0))," ",(ROUND(K42,)/ROUND(I42,)))</f>
        <v>0.5168554849405913</v>
      </c>
      <c r="M42" s="223">
        <f>IF(ISERROR(ROUND(K42,0)/ROUND(J42,0))," ",(ROUND(K42,)/ROUND(J42,)))</f>
        <v>0.737869822485207</v>
      </c>
      <c r="N42" s="168">
        <f>K42-'[5]Jūlijs'!K42</f>
        <v>1007</v>
      </c>
    </row>
    <row r="43" spans="1:14" ht="19.5" customHeight="1">
      <c r="A43" s="63" t="s">
        <v>156</v>
      </c>
      <c r="B43" s="168">
        <v>47988533</v>
      </c>
      <c r="C43" s="168">
        <v>34796669</v>
      </c>
      <c r="D43" s="172">
        <f>27075538.98</f>
        <v>27075538.98</v>
      </c>
      <c r="E43" s="11">
        <f>IF(ISERROR(D43/B43)," ",(D43/B43))</f>
        <v>0.564208515813559</v>
      </c>
      <c r="F43" s="11">
        <f>IF(ISERROR(D43/C43)," ",(D43/C43))</f>
        <v>0.778107208480214</v>
      </c>
      <c r="G43" s="168">
        <f>D43-'[5]Jūlijs'!D43</f>
        <v>5290327.98</v>
      </c>
      <c r="H43" s="63" t="s">
        <v>156</v>
      </c>
      <c r="I43" s="248">
        <f>ROUND(B43/1000,0)-1</f>
        <v>47988</v>
      </c>
      <c r="J43" s="248">
        <f>ROUND(C43/1000,0)</f>
        <v>34797</v>
      </c>
      <c r="K43" s="163">
        <f>ROUND(D43/1000,0)-1</f>
        <v>27075</v>
      </c>
      <c r="L43" s="223">
        <f>IF(ISERROR(ROUND(K43,0)/ROUND(I43,0))," ",(ROUND(K43,)/ROUND(I43,)))</f>
        <v>0.5642035508877219</v>
      </c>
      <c r="M43" s="223">
        <f>IF(ISERROR(ROUND(K43,0)/ROUND(J43,0))," ",(ROUND(K43,)/ROUND(J43,)))</f>
        <v>0.7780843176135874</v>
      </c>
      <c r="N43" s="168">
        <f>K43-'[5]Jūlijs'!K43</f>
        <v>5290</v>
      </c>
    </row>
    <row r="44" spans="1:14" ht="30" customHeight="1">
      <c r="A44" s="32" t="s">
        <v>387</v>
      </c>
      <c r="B44" s="98">
        <v>89768122</v>
      </c>
      <c r="C44" s="98" t="s">
        <v>134</v>
      </c>
      <c r="D44" s="52">
        <f>SUM(D45-D46)</f>
        <v>45520864</v>
      </c>
      <c r="E44" s="170" t="s">
        <v>134</v>
      </c>
      <c r="F44" s="241" t="s">
        <v>134</v>
      </c>
      <c r="G44" s="52">
        <f>SUM(G45-G46)</f>
        <v>7307721</v>
      </c>
      <c r="H44" s="32" t="s">
        <v>387</v>
      </c>
      <c r="I44" s="248">
        <f>ROUND(B44/1000,0)</f>
        <v>89768</v>
      </c>
      <c r="J44" s="171" t="s">
        <v>134</v>
      </c>
      <c r="K44" s="12">
        <f>SUM(K45-K46)</f>
        <v>45521</v>
      </c>
      <c r="L44" s="170" t="s">
        <v>134</v>
      </c>
      <c r="M44" s="241" t="s">
        <v>134</v>
      </c>
      <c r="N44" s="12">
        <f>SUM(N45-N46)</f>
        <v>7308</v>
      </c>
    </row>
    <row r="45" spans="1:14" ht="18.75" customHeight="1">
      <c r="A45" s="21" t="s">
        <v>240</v>
      </c>
      <c r="B45" s="168"/>
      <c r="C45" s="98" t="s">
        <v>134</v>
      </c>
      <c r="D45" s="249">
        <v>76462110</v>
      </c>
      <c r="E45" s="11"/>
      <c r="F45" s="11"/>
      <c r="G45" s="168">
        <f>D45-'[5]Jūlijs'!D45</f>
        <v>9076128</v>
      </c>
      <c r="H45" s="21" t="s">
        <v>240</v>
      </c>
      <c r="I45" s="250" t="s">
        <v>134</v>
      </c>
      <c r="J45" s="250" t="s">
        <v>134</v>
      </c>
      <c r="K45" s="163">
        <f>ROUND(D45/1000,0)</f>
        <v>76462</v>
      </c>
      <c r="L45" s="170" t="s">
        <v>134</v>
      </c>
      <c r="M45" s="170" t="s">
        <v>134</v>
      </c>
      <c r="N45" s="168">
        <f>K45-'[5]Jūlijs'!K45</f>
        <v>9076</v>
      </c>
    </row>
    <row r="46" spans="1:14" ht="22.5" customHeight="1">
      <c r="A46" s="112" t="s">
        <v>241</v>
      </c>
      <c r="B46" s="168"/>
      <c r="C46" s="98" t="s">
        <v>134</v>
      </c>
      <c r="D46" s="168">
        <v>30941246</v>
      </c>
      <c r="E46" s="11"/>
      <c r="F46" s="11"/>
      <c r="G46" s="168">
        <f>D46-'[5]Jūlijs'!D46</f>
        <v>1768407</v>
      </c>
      <c r="H46" s="112" t="s">
        <v>241</v>
      </c>
      <c r="I46" s="250" t="s">
        <v>134</v>
      </c>
      <c r="J46" s="250" t="s">
        <v>134</v>
      </c>
      <c r="K46" s="163">
        <f>ROUND(D46/1000,0)</f>
        <v>30941</v>
      </c>
      <c r="L46" s="170" t="s">
        <v>134</v>
      </c>
      <c r="M46" s="170" t="s">
        <v>134</v>
      </c>
      <c r="N46" s="168">
        <f>K46-'[5]Jūlijs'!K46</f>
        <v>1768</v>
      </c>
    </row>
    <row r="47" spans="1:14" s="17" customFormat="1" ht="19.5" customHeight="1" hidden="1">
      <c r="A47" s="107" t="s">
        <v>242</v>
      </c>
      <c r="B47" s="168">
        <v>-122489729</v>
      </c>
      <c r="C47" s="98" t="s">
        <v>134</v>
      </c>
      <c r="D47" s="52">
        <f>SUM(D11-D15-D44)</f>
        <v>-24452555.100000024</v>
      </c>
      <c r="E47" s="11">
        <f>IF(ISERROR(D47/B47)," ",(D47/B47))</f>
        <v>0.19962943260328403</v>
      </c>
      <c r="F47" s="241" t="s">
        <v>134</v>
      </c>
      <c r="G47" s="52">
        <f>SUM(G11-G15-G44)</f>
        <v>-2594205.100000009</v>
      </c>
      <c r="H47" s="107" t="s">
        <v>242</v>
      </c>
      <c r="I47" s="181">
        <f>ROUND(B47/1000,0)</f>
        <v>-122490</v>
      </c>
      <c r="J47" s="171" t="s">
        <v>134</v>
      </c>
      <c r="K47" s="12">
        <f>SUM(K11-K15-K44)</f>
        <v>-24454</v>
      </c>
      <c r="L47" s="224">
        <f>IF(ISERROR(ROUND(K47,0)/ROUND(I47,0))," ",(ROUND(K47,)/ROUND(I47,)))</f>
        <v>0.19964078700302065</v>
      </c>
      <c r="M47" s="241" t="s">
        <v>134</v>
      </c>
      <c r="N47" s="12">
        <f>SUM(N11-N15-N44)</f>
        <v>-2594</v>
      </c>
    </row>
    <row r="48" spans="1:14" ht="12.75" customHeight="1">
      <c r="A48" s="67"/>
      <c r="B48" s="65"/>
      <c r="C48" s="65"/>
      <c r="D48" s="65"/>
      <c r="E48" s="192"/>
      <c r="F48" s="239"/>
      <c r="G48" s="29"/>
      <c r="H48" s="67"/>
      <c r="I48" s="65"/>
      <c r="J48" s="65"/>
      <c r="K48" s="65"/>
      <c r="L48" s="192"/>
      <c r="M48" s="239"/>
      <c r="N48" s="29"/>
    </row>
    <row r="49" spans="1:14" ht="0.75" customHeight="1" hidden="1">
      <c r="A49" s="131"/>
      <c r="B49" s="123"/>
      <c r="C49" s="123"/>
      <c r="D49" s="123"/>
      <c r="E49" s="193"/>
      <c r="F49" s="124"/>
      <c r="G49" s="29"/>
      <c r="H49" s="131"/>
      <c r="I49" s="123"/>
      <c r="J49" s="123"/>
      <c r="K49" s="123"/>
      <c r="L49" s="193"/>
      <c r="M49" s="124"/>
      <c r="N49" s="29"/>
    </row>
    <row r="50" spans="1:14" ht="12.75">
      <c r="A50" s="6"/>
      <c r="B50" s="69"/>
      <c r="C50" s="237"/>
      <c r="D50" s="235"/>
      <c r="E50" s="6"/>
      <c r="F50" s="236"/>
      <c r="G50" s="29"/>
      <c r="H50" s="6"/>
      <c r="I50" s="69"/>
      <c r="J50" s="237"/>
      <c r="K50" s="235"/>
      <c r="L50" s="6"/>
      <c r="M50" s="236"/>
      <c r="N50" s="29"/>
    </row>
    <row r="51" spans="1:14" ht="12.75">
      <c r="A51" s="39" t="s">
        <v>388</v>
      </c>
      <c r="B51" s="6"/>
      <c r="C51" s="6"/>
      <c r="D51" s="6"/>
      <c r="E51" s="6"/>
      <c r="F51" s="6"/>
      <c r="G51" s="29"/>
      <c r="I51" s="6"/>
      <c r="J51" s="6"/>
      <c r="K51" s="6"/>
      <c r="L51" s="6"/>
      <c r="M51" s="6"/>
      <c r="N51" s="29"/>
    </row>
    <row r="52" spans="1:14" ht="12.75">
      <c r="A52" s="6"/>
      <c r="B52" s="29"/>
      <c r="C52" s="29"/>
      <c r="D52" s="29"/>
      <c r="E52" s="29"/>
      <c r="F52" s="29"/>
      <c r="G52" s="29"/>
      <c r="I52" s="29"/>
      <c r="J52" s="29"/>
      <c r="K52" s="29"/>
      <c r="L52" s="29"/>
      <c r="M52" s="29"/>
      <c r="N52" s="29"/>
    </row>
    <row r="53" spans="1:14" ht="12.75">
      <c r="A53" s="29"/>
      <c r="B53" s="29"/>
      <c r="C53" s="29"/>
      <c r="D53" s="29"/>
      <c r="E53" s="29"/>
      <c r="F53" s="29"/>
      <c r="G53" s="29"/>
      <c r="I53" s="29"/>
      <c r="J53" s="29"/>
      <c r="K53" s="29"/>
      <c r="L53" s="29"/>
      <c r="M53" s="29"/>
      <c r="N53" s="29"/>
    </row>
    <row r="54" spans="1:14" ht="12.75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.75">
      <c r="A55" s="29" t="s">
        <v>90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7:14" ht="12.75">
      <c r="G58" s="29"/>
      <c r="N58" s="29"/>
    </row>
    <row r="59" ht="12.75">
      <c r="G59" s="29"/>
    </row>
    <row r="60" ht="12.75">
      <c r="G60" s="29"/>
    </row>
    <row r="61" ht="12.75">
      <c r="G61" s="29"/>
    </row>
    <row r="62" ht="12.75">
      <c r="G62" s="29"/>
    </row>
    <row r="63" ht="12.75">
      <c r="G63" s="29"/>
    </row>
    <row r="64" ht="12.75"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8" ht="12.75">
      <c r="A68" s="29"/>
      <c r="B68" s="29"/>
      <c r="C68" s="29"/>
      <c r="D68" s="29"/>
      <c r="E68" s="29"/>
      <c r="F68" s="29"/>
      <c r="G68" s="29"/>
      <c r="H68" s="39" t="s">
        <v>161</v>
      </c>
    </row>
    <row r="69" spans="1:8" ht="12.75">
      <c r="A69" s="29"/>
      <c r="B69" s="29"/>
      <c r="C69" s="29"/>
      <c r="D69" s="29"/>
      <c r="E69" s="29"/>
      <c r="F69" s="29"/>
      <c r="G69" s="29"/>
      <c r="H69" s="6"/>
    </row>
    <row r="70" spans="1:8" ht="12.75">
      <c r="A70" s="29"/>
      <c r="B70" s="29"/>
      <c r="C70" s="29"/>
      <c r="D70" s="29"/>
      <c r="E70" s="29"/>
      <c r="F70" s="29"/>
      <c r="G70" s="29"/>
      <c r="H70" s="29"/>
    </row>
    <row r="71" spans="1:8" ht="12.75">
      <c r="A71" s="29"/>
      <c r="B71" s="29"/>
      <c r="C71" s="29"/>
      <c r="D71" s="29"/>
      <c r="E71" s="29"/>
      <c r="F71" s="29"/>
      <c r="G71" s="29"/>
      <c r="H71" s="29" t="s">
        <v>89</v>
      </c>
    </row>
    <row r="72" spans="1:8" ht="12.75">
      <c r="A72" s="29"/>
      <c r="B72" s="29"/>
      <c r="C72" s="29"/>
      <c r="D72" s="29"/>
      <c r="E72" s="29"/>
      <c r="F72" s="29"/>
      <c r="G72" s="29"/>
      <c r="H72" s="29" t="s">
        <v>90</v>
      </c>
    </row>
    <row r="73" spans="1:7" ht="12.75">
      <c r="A73" s="29"/>
      <c r="B73" s="29"/>
      <c r="C73" s="29"/>
      <c r="D73" s="29"/>
      <c r="E73" s="29"/>
      <c r="F73" s="29"/>
      <c r="G73" s="29"/>
    </row>
    <row r="74" spans="1:7" ht="12.75">
      <c r="A74" s="29"/>
      <c r="B74" s="29"/>
      <c r="C74" s="29"/>
      <c r="D74" s="29"/>
      <c r="E74" s="29"/>
      <c r="F74" s="29"/>
      <c r="G74" s="29"/>
    </row>
    <row r="75" spans="1:7" ht="12.75">
      <c r="A75" s="29"/>
      <c r="B75" s="29"/>
      <c r="C75" s="29"/>
      <c r="D75" s="29"/>
      <c r="E75" s="29"/>
      <c r="F75" s="29"/>
      <c r="G75" s="29"/>
    </row>
    <row r="76" spans="1:7" ht="12.75">
      <c r="A76" s="29"/>
      <c r="B76" s="29"/>
      <c r="C76" s="29"/>
      <c r="D76" s="29"/>
      <c r="E76" s="29"/>
      <c r="F76" s="29"/>
      <c r="G76" s="29"/>
    </row>
    <row r="77" spans="1:7" ht="12.75">
      <c r="A77" s="29"/>
      <c r="B77" s="29"/>
      <c r="C77" s="29"/>
      <c r="D77" s="29"/>
      <c r="E77" s="29"/>
      <c r="F77" s="29"/>
      <c r="G77" s="29"/>
    </row>
    <row r="78" spans="1:7" ht="12.75">
      <c r="A78" s="29"/>
      <c r="B78" s="29"/>
      <c r="C78" s="29"/>
      <c r="D78" s="29"/>
      <c r="E78" s="29"/>
      <c r="F78" s="29"/>
      <c r="G78" s="29"/>
    </row>
    <row r="79" spans="1:7" ht="12.75">
      <c r="A79" s="29"/>
      <c r="B79" s="29"/>
      <c r="C79" s="29"/>
      <c r="D79" s="29"/>
      <c r="E79" s="29"/>
      <c r="F79" s="29"/>
      <c r="G79" s="29"/>
    </row>
    <row r="80" spans="1:7" ht="12.75">
      <c r="A80" s="29"/>
      <c r="B80" s="29"/>
      <c r="C80" s="29"/>
      <c r="D80" s="29"/>
      <c r="E80" s="29"/>
      <c r="F80" s="29"/>
      <c r="G80" s="29"/>
    </row>
    <row r="81" spans="1:7" ht="12.75">
      <c r="A81" s="29"/>
      <c r="B81" s="29"/>
      <c r="C81" s="29"/>
      <c r="D81" s="29"/>
      <c r="E81" s="29"/>
      <c r="F81" s="29"/>
      <c r="G81" s="29"/>
    </row>
    <row r="82" spans="1:7" ht="12.75">
      <c r="A82" s="29"/>
      <c r="B82" s="29"/>
      <c r="C82" s="29"/>
      <c r="D82" s="29"/>
      <c r="E82" s="29"/>
      <c r="F82" s="29"/>
      <c r="G82" s="29"/>
    </row>
    <row r="83" spans="1:7" ht="12.75">
      <c r="A83" s="29"/>
      <c r="B83" s="29"/>
      <c r="C83" s="29"/>
      <c r="D83" s="29"/>
      <c r="E83" s="29"/>
      <c r="F83" s="29"/>
      <c r="G83" s="29"/>
    </row>
    <row r="84" spans="1:7" ht="12.75">
      <c r="A84" s="29"/>
      <c r="B84" s="29"/>
      <c r="C84" s="29"/>
      <c r="D84" s="29"/>
      <c r="E84" s="29"/>
      <c r="F84" s="29"/>
      <c r="G84" s="29"/>
    </row>
    <row r="85" spans="1:7" ht="12.75">
      <c r="A85" s="29"/>
      <c r="B85" s="29"/>
      <c r="C85" s="29"/>
      <c r="D85" s="29"/>
      <c r="E85" s="29"/>
      <c r="F85" s="29"/>
      <c r="G85" s="29"/>
    </row>
    <row r="86" spans="1:7" ht="12.75">
      <c r="A86" s="29"/>
      <c r="B86" s="29"/>
      <c r="C86" s="29"/>
      <c r="D86" s="29"/>
      <c r="E86" s="29"/>
      <c r="F86" s="29"/>
      <c r="G86" s="29"/>
    </row>
    <row r="87" spans="1:7" ht="12.75">
      <c r="A87" s="29"/>
      <c r="B87" s="29"/>
      <c r="C87" s="29"/>
      <c r="D87" s="29"/>
      <c r="E87" s="29"/>
      <c r="F87" s="29"/>
      <c r="G87" s="29"/>
    </row>
    <row r="88" spans="1:7" ht="12.75">
      <c r="A88" s="29"/>
      <c r="B88" s="29"/>
      <c r="C88" s="29"/>
      <c r="D88" s="29"/>
      <c r="E88" s="29"/>
      <c r="F88" s="29"/>
      <c r="G88" s="29"/>
    </row>
    <row r="89" spans="1:7" ht="12.75">
      <c r="A89" s="29"/>
      <c r="B89" s="29"/>
      <c r="C89" s="29"/>
      <c r="D89" s="29"/>
      <c r="E89" s="29"/>
      <c r="F89" s="29"/>
      <c r="G89" s="29"/>
    </row>
    <row r="90" spans="1:7" ht="12.75">
      <c r="A90" s="29"/>
      <c r="B90" s="29"/>
      <c r="C90" s="29"/>
      <c r="D90" s="29"/>
      <c r="E90" s="29"/>
      <c r="F90" s="29"/>
      <c r="G90" s="29"/>
    </row>
    <row r="91" spans="1:7" ht="12.75">
      <c r="A91" s="29"/>
      <c r="B91" s="29"/>
      <c r="C91" s="29"/>
      <c r="D91" s="29"/>
      <c r="E91" s="29"/>
      <c r="F91" s="29"/>
      <c r="G91" s="29"/>
    </row>
    <row r="92" spans="1:7" ht="12.75">
      <c r="A92" s="29"/>
      <c r="B92" s="29"/>
      <c r="C92" s="29"/>
      <c r="D92" s="29"/>
      <c r="E92" s="29"/>
      <c r="F92" s="29"/>
      <c r="G92" s="29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2.75">
      <c r="A95" s="29"/>
      <c r="B95" s="29"/>
      <c r="C95" s="29"/>
      <c r="D95" s="29"/>
      <c r="E95" s="29"/>
      <c r="F95" s="29"/>
      <c r="G95" s="29"/>
    </row>
    <row r="96" spans="1:7" ht="12.75">
      <c r="A96" s="29"/>
      <c r="B96" s="29"/>
      <c r="C96" s="29"/>
      <c r="D96" s="29"/>
      <c r="E96" s="29"/>
      <c r="F96" s="29"/>
      <c r="G96" s="29"/>
    </row>
    <row r="97" spans="1:7" ht="12.75">
      <c r="A97" s="29"/>
      <c r="B97" s="29"/>
      <c r="C97" s="29"/>
      <c r="D97" s="29"/>
      <c r="E97" s="29"/>
      <c r="F97" s="29"/>
      <c r="G97" s="29"/>
    </row>
    <row r="98" spans="1:7" ht="12.75">
      <c r="A98" s="29"/>
      <c r="B98" s="29"/>
      <c r="C98" s="29"/>
      <c r="D98" s="29"/>
      <c r="E98" s="29"/>
      <c r="F98" s="29"/>
      <c r="G98" s="29"/>
    </row>
    <row r="99" spans="1:7" ht="12.75">
      <c r="A99" s="29"/>
      <c r="B99" s="29"/>
      <c r="C99" s="29"/>
      <c r="D99" s="29"/>
      <c r="E99" s="29"/>
      <c r="F99" s="29"/>
      <c r="G99" s="29"/>
    </row>
    <row r="100" spans="1:7" ht="12.75">
      <c r="A100" s="29"/>
      <c r="B100" s="29"/>
      <c r="C100" s="29"/>
      <c r="D100" s="29"/>
      <c r="E100" s="29"/>
      <c r="F100" s="29"/>
      <c r="G100" s="29"/>
    </row>
    <row r="101" spans="1:7" ht="12.75">
      <c r="A101" s="29"/>
      <c r="B101" s="29"/>
      <c r="C101" s="29"/>
      <c r="D101" s="29"/>
      <c r="E101" s="29"/>
      <c r="F101" s="29"/>
      <c r="G101" s="29"/>
    </row>
    <row r="102" spans="1:7" ht="12.75">
      <c r="A102" s="29"/>
      <c r="B102" s="29"/>
      <c r="C102" s="29"/>
      <c r="D102" s="29"/>
      <c r="E102" s="29"/>
      <c r="F102" s="29"/>
      <c r="G102" s="29"/>
    </row>
    <row r="103" spans="1:7" ht="12.75">
      <c r="A103" s="29"/>
      <c r="B103" s="29"/>
      <c r="C103" s="29"/>
      <c r="D103" s="29"/>
      <c r="E103" s="29"/>
      <c r="F103" s="29"/>
      <c r="G103" s="29"/>
    </row>
    <row r="104" spans="1:7" ht="12.75">
      <c r="A104" s="29"/>
      <c r="B104" s="29"/>
      <c r="C104" s="29"/>
      <c r="D104" s="29"/>
      <c r="E104" s="29"/>
      <c r="F104" s="29"/>
      <c r="G104" s="29"/>
    </row>
    <row r="105" spans="1:7" ht="12.75">
      <c r="A105" s="29"/>
      <c r="B105" s="29"/>
      <c r="C105" s="29"/>
      <c r="D105" s="29"/>
      <c r="E105" s="29"/>
      <c r="F105" s="29"/>
      <c r="G105" s="29"/>
    </row>
    <row r="106" spans="1:7" ht="12.75">
      <c r="A106" s="29"/>
      <c r="B106" s="29"/>
      <c r="C106" s="29"/>
      <c r="D106" s="29"/>
      <c r="E106" s="29"/>
      <c r="F106" s="29"/>
      <c r="G106" s="29"/>
    </row>
    <row r="107" spans="1:7" ht="12.75">
      <c r="A107" s="29"/>
      <c r="B107" s="29"/>
      <c r="C107" s="29"/>
      <c r="D107" s="29"/>
      <c r="E107" s="29"/>
      <c r="F107" s="29"/>
      <c r="G107" s="29"/>
    </row>
    <row r="108" spans="1:7" ht="12.75">
      <c r="A108" s="29"/>
      <c r="B108" s="29"/>
      <c r="C108" s="29"/>
      <c r="D108" s="29"/>
      <c r="E108" s="29"/>
      <c r="F108" s="29"/>
      <c r="G108" s="29"/>
    </row>
    <row r="109" spans="1:7" ht="12.75">
      <c r="A109" s="29"/>
      <c r="B109" s="29"/>
      <c r="C109" s="29"/>
      <c r="D109" s="29"/>
      <c r="E109" s="29"/>
      <c r="F109" s="29"/>
      <c r="G109" s="29"/>
    </row>
    <row r="110" spans="1:7" ht="12.75">
      <c r="A110" s="29"/>
      <c r="B110" s="29"/>
      <c r="C110" s="29"/>
      <c r="D110" s="29"/>
      <c r="E110" s="29"/>
      <c r="F110" s="29"/>
      <c r="G110" s="29"/>
    </row>
    <row r="111" spans="1:7" ht="12.75">
      <c r="A111" s="29"/>
      <c r="B111" s="29"/>
      <c r="C111" s="29"/>
      <c r="D111" s="29"/>
      <c r="E111" s="29"/>
      <c r="F111" s="29"/>
      <c r="G111" s="29"/>
    </row>
    <row r="112" spans="1:7" ht="12.75">
      <c r="A112" s="29"/>
      <c r="B112" s="29"/>
      <c r="C112" s="29"/>
      <c r="D112" s="29"/>
      <c r="E112" s="29"/>
      <c r="F112" s="29"/>
      <c r="G112" s="29"/>
    </row>
    <row r="113" spans="1:7" ht="12.75">
      <c r="A113" s="29"/>
      <c r="B113" s="29"/>
      <c r="C113" s="29"/>
      <c r="D113" s="29"/>
      <c r="E113" s="29"/>
      <c r="F113" s="29"/>
      <c r="G113" s="29"/>
    </row>
    <row r="114" spans="1:7" ht="12.75">
      <c r="A114" s="29"/>
      <c r="B114" s="29"/>
      <c r="C114" s="29"/>
      <c r="D114" s="29"/>
      <c r="E114" s="29"/>
      <c r="F114" s="29"/>
      <c r="G114" s="29"/>
    </row>
    <row r="115" spans="1:7" ht="12.75">
      <c r="A115" s="29"/>
      <c r="B115" s="29"/>
      <c r="C115" s="29"/>
      <c r="D115" s="29"/>
      <c r="E115" s="29"/>
      <c r="F115" s="29"/>
      <c r="G115" s="29"/>
    </row>
    <row r="116" spans="1:7" ht="12.75">
      <c r="A116" s="29"/>
      <c r="B116" s="29"/>
      <c r="C116" s="29"/>
      <c r="D116" s="29"/>
      <c r="E116" s="29"/>
      <c r="F116" s="29"/>
      <c r="G116" s="29"/>
    </row>
    <row r="117" spans="1:7" ht="12.75">
      <c r="A117" s="29"/>
      <c r="B117" s="29"/>
      <c r="C117" s="29"/>
      <c r="D117" s="29"/>
      <c r="E117" s="29"/>
      <c r="F117" s="29"/>
      <c r="G117" s="29"/>
    </row>
    <row r="118" spans="1:7" ht="12.75">
      <c r="A118" s="29"/>
      <c r="B118" s="29"/>
      <c r="C118" s="29"/>
      <c r="D118" s="29"/>
      <c r="E118" s="29"/>
      <c r="F118" s="29"/>
      <c r="G118" s="29"/>
    </row>
    <row r="119" spans="1:7" ht="12.75">
      <c r="A119" s="29"/>
      <c r="B119" s="29"/>
      <c r="C119" s="29"/>
      <c r="D119" s="29"/>
      <c r="E119" s="29"/>
      <c r="F119" s="29"/>
      <c r="G119" s="29"/>
    </row>
    <row r="120" spans="1:7" ht="12.75">
      <c r="A120" s="29"/>
      <c r="B120" s="29"/>
      <c r="C120" s="29"/>
      <c r="D120" s="29"/>
      <c r="E120" s="29"/>
      <c r="F120" s="29"/>
      <c r="G120" s="29"/>
    </row>
    <row r="121" spans="1:7" ht="12.75">
      <c r="A121" s="29"/>
      <c r="B121" s="29"/>
      <c r="C121" s="29"/>
      <c r="D121" s="29"/>
      <c r="E121" s="29"/>
      <c r="F121" s="29"/>
      <c r="G121" s="29"/>
    </row>
    <row r="122" spans="1:7" ht="12.75">
      <c r="A122" s="29"/>
      <c r="B122" s="29"/>
      <c r="C122" s="29"/>
      <c r="D122" s="29"/>
      <c r="E122" s="29"/>
      <c r="F122" s="29"/>
      <c r="G122" s="29"/>
    </row>
    <row r="123" spans="1:7" ht="12.75">
      <c r="A123" s="29"/>
      <c r="B123" s="29"/>
      <c r="C123" s="29"/>
      <c r="D123" s="29"/>
      <c r="E123" s="29"/>
      <c r="F123" s="29"/>
      <c r="G123" s="29"/>
    </row>
    <row r="124" spans="1:7" ht="12.75">
      <c r="A124" s="29"/>
      <c r="B124" s="29"/>
      <c r="C124" s="29"/>
      <c r="D124" s="29"/>
      <c r="E124" s="29"/>
      <c r="F124" s="29"/>
      <c r="G124" s="29"/>
    </row>
    <row r="125" spans="1:7" ht="12.75">
      <c r="A125" s="29"/>
      <c r="B125" s="29"/>
      <c r="C125" s="29"/>
      <c r="D125" s="29"/>
      <c r="E125" s="29"/>
      <c r="F125" s="29"/>
      <c r="G125" s="29"/>
    </row>
    <row r="126" spans="1:7" ht="12.75">
      <c r="A126" s="29"/>
      <c r="B126" s="29"/>
      <c r="C126" s="29"/>
      <c r="D126" s="29"/>
      <c r="E126" s="29"/>
      <c r="F126" s="29"/>
      <c r="G126" s="29"/>
    </row>
    <row r="127" spans="1:7" ht="12.75">
      <c r="A127" s="29"/>
      <c r="B127" s="29"/>
      <c r="C127" s="29"/>
      <c r="D127" s="29"/>
      <c r="E127" s="29"/>
      <c r="F127" s="29"/>
      <c r="G127" s="29"/>
    </row>
    <row r="128" spans="1:7" ht="12.75">
      <c r="A128" s="29"/>
      <c r="B128" s="29"/>
      <c r="C128" s="29"/>
      <c r="D128" s="29"/>
      <c r="E128" s="29"/>
      <c r="F128" s="29"/>
      <c r="G128" s="29"/>
    </row>
    <row r="129" spans="1:7" ht="12.75">
      <c r="A129" s="29"/>
      <c r="B129" s="29"/>
      <c r="C129" s="29"/>
      <c r="D129" s="29"/>
      <c r="E129" s="29"/>
      <c r="F129" s="29"/>
      <c r="G129" s="29"/>
    </row>
    <row r="130" spans="1:7" ht="12.75">
      <c r="A130" s="29"/>
      <c r="B130" s="29"/>
      <c r="C130" s="29"/>
      <c r="D130" s="29"/>
      <c r="E130" s="29"/>
      <c r="F130" s="29"/>
      <c r="G130" s="29"/>
    </row>
    <row r="131" spans="1:7" ht="12.75">
      <c r="A131" s="29"/>
      <c r="B131" s="29"/>
      <c r="C131" s="29"/>
      <c r="D131" s="29"/>
      <c r="E131" s="29"/>
      <c r="F131" s="29"/>
      <c r="G131" s="29"/>
    </row>
    <row r="132" spans="1:7" ht="12.75">
      <c r="A132" s="29"/>
      <c r="B132" s="29"/>
      <c r="C132" s="29"/>
      <c r="D132" s="29"/>
      <c r="E132" s="29"/>
      <c r="F132" s="29"/>
      <c r="G132" s="29"/>
    </row>
    <row r="133" spans="1:7" ht="12.75">
      <c r="A133" s="29"/>
      <c r="B133" s="29"/>
      <c r="C133" s="29"/>
      <c r="D133" s="29"/>
      <c r="E133" s="29"/>
      <c r="F133" s="29"/>
      <c r="G133" s="29"/>
    </row>
    <row r="134" spans="1:7" ht="12.75">
      <c r="A134" s="29"/>
      <c r="B134" s="29"/>
      <c r="C134" s="29"/>
      <c r="D134" s="29"/>
      <c r="E134" s="29"/>
      <c r="F134" s="29"/>
      <c r="G134" s="29"/>
    </row>
    <row r="135" spans="1:7" ht="12.75">
      <c r="A135" s="29"/>
      <c r="B135" s="29"/>
      <c r="C135" s="29"/>
      <c r="D135" s="29"/>
      <c r="E135" s="29"/>
      <c r="F135" s="29"/>
      <c r="G135" s="29"/>
    </row>
    <row r="136" spans="1:7" ht="12.75">
      <c r="A136" s="29"/>
      <c r="B136" s="29"/>
      <c r="C136" s="29"/>
      <c r="D136" s="29"/>
      <c r="E136" s="29"/>
      <c r="F136" s="29"/>
      <c r="G136" s="29"/>
    </row>
    <row r="137" spans="1:7" ht="12.75">
      <c r="A137" s="29"/>
      <c r="B137" s="29"/>
      <c r="C137" s="29"/>
      <c r="D137" s="29"/>
      <c r="E137" s="29"/>
      <c r="F137" s="29"/>
      <c r="G137" s="29"/>
    </row>
    <row r="138" spans="1:7" ht="12.75">
      <c r="A138" s="29"/>
      <c r="B138" s="29"/>
      <c r="C138" s="29"/>
      <c r="D138" s="29"/>
      <c r="E138" s="29"/>
      <c r="F138" s="29"/>
      <c r="G138" s="29"/>
    </row>
    <row r="139" spans="1:7" ht="12.75">
      <c r="A139" s="29"/>
      <c r="B139" s="29"/>
      <c r="C139" s="29"/>
      <c r="D139" s="29"/>
      <c r="E139" s="29"/>
      <c r="F139" s="29"/>
      <c r="G139" s="29"/>
    </row>
    <row r="140" spans="1:7" ht="12.75">
      <c r="A140" s="29"/>
      <c r="B140" s="29"/>
      <c r="C140" s="29"/>
      <c r="D140" s="29"/>
      <c r="E140" s="29"/>
      <c r="F140" s="29"/>
      <c r="G140" s="29"/>
    </row>
    <row r="141" spans="1:7" ht="12.75">
      <c r="A141" s="29"/>
      <c r="B141" s="29"/>
      <c r="C141" s="29"/>
      <c r="D141" s="29"/>
      <c r="E141" s="29"/>
      <c r="F141" s="29"/>
      <c r="G141" s="29"/>
    </row>
    <row r="142" spans="1:7" ht="12.75">
      <c r="A142" s="29"/>
      <c r="B142" s="29"/>
      <c r="C142" s="29"/>
      <c r="D142" s="29"/>
      <c r="E142" s="29"/>
      <c r="F142" s="29"/>
      <c r="G142" s="29"/>
    </row>
    <row r="143" spans="1:7" ht="12.75">
      <c r="A143" s="29"/>
      <c r="B143" s="29"/>
      <c r="C143" s="29"/>
      <c r="D143" s="29"/>
      <c r="E143" s="29"/>
      <c r="F143" s="29"/>
      <c r="G143" s="29"/>
    </row>
    <row r="144" spans="1:7" ht="12.75">
      <c r="A144" s="29"/>
      <c r="B144" s="29"/>
      <c r="C144" s="29"/>
      <c r="D144" s="29"/>
      <c r="E144" s="29"/>
      <c r="F144" s="29"/>
      <c r="G144" s="29"/>
    </row>
    <row r="145" spans="1:7" ht="12.75">
      <c r="A145" s="29"/>
      <c r="B145" s="29"/>
      <c r="C145" s="29"/>
      <c r="D145" s="29"/>
      <c r="E145" s="29"/>
      <c r="F145" s="29"/>
      <c r="G145" s="29"/>
    </row>
    <row r="146" spans="1:7" ht="12.75">
      <c r="A146" s="29"/>
      <c r="B146" s="29"/>
      <c r="C146" s="29"/>
      <c r="D146" s="29"/>
      <c r="E146" s="29"/>
      <c r="F146" s="29"/>
      <c r="G146" s="29"/>
    </row>
    <row r="147" spans="1:7" ht="12.75">
      <c r="A147" s="29"/>
      <c r="B147" s="29"/>
      <c r="C147" s="29"/>
      <c r="D147" s="29"/>
      <c r="E147" s="29"/>
      <c r="F147" s="29"/>
      <c r="G147" s="29"/>
    </row>
    <row r="148" spans="1:7" ht="12.75">
      <c r="A148" s="29"/>
      <c r="B148" s="29"/>
      <c r="C148" s="29"/>
      <c r="D148" s="29"/>
      <c r="E148" s="29"/>
      <c r="F148" s="29"/>
      <c r="G148" s="29"/>
    </row>
    <row r="149" spans="1:7" ht="12.75">
      <c r="A149" s="29"/>
      <c r="B149" s="29"/>
      <c r="C149" s="29"/>
      <c r="D149" s="29"/>
      <c r="E149" s="29"/>
      <c r="F149" s="29"/>
      <c r="G149" s="29"/>
    </row>
    <row r="150" spans="1:7" ht="12.75">
      <c r="A150" s="29"/>
      <c r="B150" s="29"/>
      <c r="C150" s="29"/>
      <c r="D150" s="29"/>
      <c r="E150" s="29"/>
      <c r="F150" s="29"/>
      <c r="G150" s="29"/>
    </row>
    <row r="151" spans="1:7" ht="12.75">
      <c r="A151" s="29"/>
      <c r="B151" s="29"/>
      <c r="C151" s="29"/>
      <c r="D151" s="29"/>
      <c r="E151" s="29"/>
      <c r="F151" s="29"/>
      <c r="G151" s="29"/>
    </row>
    <row r="152" spans="1:7" ht="12.75">
      <c r="A152" s="29"/>
      <c r="B152" s="29"/>
      <c r="C152" s="29"/>
      <c r="D152" s="29"/>
      <c r="E152" s="29"/>
      <c r="F152" s="29"/>
      <c r="G152" s="29"/>
    </row>
    <row r="153" spans="1:7" ht="12.75">
      <c r="A153" s="29"/>
      <c r="B153" s="29"/>
      <c r="C153" s="29"/>
      <c r="D153" s="29"/>
      <c r="E153" s="29"/>
      <c r="F153" s="29"/>
      <c r="G153" s="29"/>
    </row>
    <row r="154" spans="1:7" ht="12.75">
      <c r="A154" s="29"/>
      <c r="B154" s="29"/>
      <c r="C154" s="29"/>
      <c r="D154" s="29"/>
      <c r="E154" s="29"/>
      <c r="F154" s="29"/>
      <c r="G154" s="29"/>
    </row>
    <row r="155" spans="1:7" ht="12.75">
      <c r="A155" s="29"/>
      <c r="B155" s="29"/>
      <c r="C155" s="29"/>
      <c r="D155" s="29"/>
      <c r="E155" s="29"/>
      <c r="F155" s="29"/>
      <c r="G155" s="29"/>
    </row>
    <row r="156" spans="1:7" ht="12.75">
      <c r="A156" s="29"/>
      <c r="B156" s="29"/>
      <c r="C156" s="29"/>
      <c r="D156" s="29"/>
      <c r="E156" s="29"/>
      <c r="F156" s="29"/>
      <c r="G156" s="29"/>
    </row>
    <row r="157" spans="1:7" ht="12.75">
      <c r="A157" s="29"/>
      <c r="B157" s="29"/>
      <c r="C157" s="29"/>
      <c r="D157" s="29"/>
      <c r="E157" s="29"/>
      <c r="F157" s="29"/>
      <c r="G157" s="29"/>
    </row>
    <row r="158" spans="1:7" ht="12.75">
      <c r="A158" s="29"/>
      <c r="B158" s="29"/>
      <c r="C158" s="29"/>
      <c r="D158" s="29"/>
      <c r="E158" s="29"/>
      <c r="F158" s="29"/>
      <c r="G158" s="29"/>
    </row>
    <row r="159" spans="1:7" ht="12.75">
      <c r="A159" s="29"/>
      <c r="B159" s="29"/>
      <c r="C159" s="29"/>
      <c r="D159" s="29"/>
      <c r="E159" s="29"/>
      <c r="F159" s="29"/>
      <c r="G159" s="29"/>
    </row>
    <row r="160" spans="1:7" ht="12.75">
      <c r="A160" s="29"/>
      <c r="B160" s="29"/>
      <c r="C160" s="29"/>
      <c r="D160" s="29"/>
      <c r="E160" s="29"/>
      <c r="F160" s="29"/>
      <c r="G160" s="29"/>
    </row>
    <row r="161" spans="1:7" ht="12.75">
      <c r="A161" s="29"/>
      <c r="B161" s="29"/>
      <c r="C161" s="29"/>
      <c r="D161" s="29"/>
      <c r="E161" s="29"/>
      <c r="F161" s="29"/>
      <c r="G161" s="29"/>
    </row>
    <row r="162" spans="1:7" ht="12.75">
      <c r="A162" s="29"/>
      <c r="B162" s="29"/>
      <c r="C162" s="29"/>
      <c r="D162" s="29"/>
      <c r="E162" s="29"/>
      <c r="F162" s="29"/>
      <c r="G162" s="29"/>
    </row>
    <row r="163" spans="1:7" ht="12.75">
      <c r="A163" s="29"/>
      <c r="B163" s="29"/>
      <c r="C163" s="29"/>
      <c r="D163" s="29"/>
      <c r="E163" s="29"/>
      <c r="F163" s="29"/>
      <c r="G163" s="29"/>
    </row>
    <row r="164" spans="1:7" ht="12.75">
      <c r="A164" s="29"/>
      <c r="B164" s="29"/>
      <c r="C164" s="29"/>
      <c r="D164" s="29"/>
      <c r="E164" s="29"/>
      <c r="F164" s="29"/>
      <c r="G164" s="29"/>
    </row>
    <row r="165" spans="1:7" ht="12.75">
      <c r="A165" s="29"/>
      <c r="B165" s="29"/>
      <c r="C165" s="29"/>
      <c r="D165" s="29"/>
      <c r="E165" s="29"/>
      <c r="F165" s="29"/>
      <c r="G165" s="29"/>
    </row>
    <row r="166" spans="1:7" ht="12.75">
      <c r="A166" s="29"/>
      <c r="B166" s="29"/>
      <c r="C166" s="29"/>
      <c r="D166" s="29"/>
      <c r="E166" s="29"/>
      <c r="F166" s="29"/>
      <c r="G166" s="29"/>
    </row>
    <row r="167" spans="1:7" ht="12.75">
      <c r="A167" s="29"/>
      <c r="B167" s="29"/>
      <c r="C167" s="29"/>
      <c r="D167" s="29"/>
      <c r="E167" s="29"/>
      <c r="F167" s="29"/>
      <c r="G167" s="29"/>
    </row>
    <row r="168" spans="1:7" ht="12.75">
      <c r="A168" s="29"/>
      <c r="B168" s="29"/>
      <c r="C168" s="29"/>
      <c r="D168" s="29"/>
      <c r="E168" s="29"/>
      <c r="F168" s="29"/>
      <c r="G168" s="29"/>
    </row>
    <row r="169" spans="1:7" ht="12.75">
      <c r="A169" s="29"/>
      <c r="B169" s="29"/>
      <c r="C169" s="29"/>
      <c r="D169" s="29"/>
      <c r="E169" s="29"/>
      <c r="F169" s="29"/>
      <c r="G169" s="29"/>
    </row>
    <row r="170" spans="1:7" ht="12.75">
      <c r="A170" s="29"/>
      <c r="B170" s="29"/>
      <c r="C170" s="29"/>
      <c r="D170" s="29"/>
      <c r="E170" s="29"/>
      <c r="F170" s="29"/>
      <c r="G170" s="29"/>
    </row>
    <row r="171" spans="1:7" ht="12.75">
      <c r="A171" s="29"/>
      <c r="B171" s="29"/>
      <c r="C171" s="29"/>
      <c r="D171" s="29"/>
      <c r="E171" s="29"/>
      <c r="F171" s="29"/>
      <c r="G171" s="29"/>
    </row>
    <row r="172" spans="1:7" ht="12.75">
      <c r="A172" s="29"/>
      <c r="B172" s="29"/>
      <c r="C172" s="29"/>
      <c r="D172" s="29"/>
      <c r="E172" s="29"/>
      <c r="F172" s="29"/>
      <c r="G172" s="29"/>
    </row>
    <row r="173" spans="1:7" ht="12.75">
      <c r="A173" s="29"/>
      <c r="B173" s="29"/>
      <c r="C173" s="29"/>
      <c r="D173" s="29"/>
      <c r="E173" s="29"/>
      <c r="F173" s="29"/>
      <c r="G173" s="29"/>
    </row>
    <row r="174" spans="1:7" ht="12.75">
      <c r="A174" s="29"/>
      <c r="B174" s="29"/>
      <c r="C174" s="29"/>
      <c r="D174" s="29"/>
      <c r="E174" s="29"/>
      <c r="F174" s="29"/>
      <c r="G174" s="29"/>
    </row>
    <row r="175" spans="1:7" ht="12.75">
      <c r="A175" s="29"/>
      <c r="B175" s="29"/>
      <c r="C175" s="29"/>
      <c r="D175" s="29"/>
      <c r="E175" s="29"/>
      <c r="F175" s="29"/>
      <c r="G175" s="29"/>
    </row>
    <row r="176" spans="1:7" ht="12.75">
      <c r="A176" s="29"/>
      <c r="B176" s="29"/>
      <c r="C176" s="29"/>
      <c r="D176" s="29"/>
      <c r="E176" s="29"/>
      <c r="F176" s="29"/>
      <c r="G176" s="29"/>
    </row>
    <row r="177" spans="1:7" ht="12.75">
      <c r="A177" s="29"/>
      <c r="B177" s="29"/>
      <c r="C177" s="29"/>
      <c r="D177" s="29"/>
      <c r="E177" s="29"/>
      <c r="F177" s="29"/>
      <c r="G177" s="29"/>
    </row>
    <row r="178" spans="1:7" ht="12.75">
      <c r="A178" s="29"/>
      <c r="B178" s="29"/>
      <c r="C178" s="29"/>
      <c r="D178" s="29"/>
      <c r="E178" s="29"/>
      <c r="F178" s="29"/>
      <c r="G178" s="29"/>
    </row>
    <row r="179" spans="1:7" ht="12.75">
      <c r="A179" s="29"/>
      <c r="B179" s="29"/>
      <c r="C179" s="29"/>
      <c r="D179" s="29"/>
      <c r="E179" s="29"/>
      <c r="F179" s="29"/>
      <c r="G179" s="29"/>
    </row>
    <row r="180" spans="1:7" ht="12.75">
      <c r="A180" s="29"/>
      <c r="B180" s="29"/>
      <c r="C180" s="29"/>
      <c r="D180" s="29"/>
      <c r="E180" s="29"/>
      <c r="F180" s="29"/>
      <c r="G180" s="29"/>
    </row>
    <row r="181" spans="1:7" ht="12.75">
      <c r="A181" s="29"/>
      <c r="B181" s="29"/>
      <c r="C181" s="29"/>
      <c r="D181" s="29"/>
      <c r="E181" s="29"/>
      <c r="F181" s="29"/>
      <c r="G181" s="29"/>
    </row>
    <row r="182" spans="1:7" ht="12.75">
      <c r="A182" s="29"/>
      <c r="B182" s="29"/>
      <c r="C182" s="29"/>
      <c r="D182" s="29"/>
      <c r="E182" s="29"/>
      <c r="F182" s="29"/>
      <c r="G182" s="29"/>
    </row>
    <row r="183" spans="1:7" ht="12.75">
      <c r="A183" s="29"/>
      <c r="B183" s="29"/>
      <c r="C183" s="29"/>
      <c r="D183" s="29"/>
      <c r="E183" s="29"/>
      <c r="F183" s="29"/>
      <c r="G183" s="29"/>
    </row>
    <row r="184" spans="1:7" ht="12.75">
      <c r="A184" s="29"/>
      <c r="B184" s="29"/>
      <c r="C184" s="29"/>
      <c r="D184" s="29"/>
      <c r="E184" s="29"/>
      <c r="F184" s="29"/>
      <c r="G184" s="29"/>
    </row>
    <row r="185" spans="1:7" ht="12.75">
      <c r="A185" s="29"/>
      <c r="B185" s="29"/>
      <c r="C185" s="29"/>
      <c r="D185" s="29"/>
      <c r="E185" s="29"/>
      <c r="F185" s="29"/>
      <c r="G185" s="29"/>
    </row>
    <row r="186" spans="1:7" ht="12.75">
      <c r="A186" s="29"/>
      <c r="B186" s="29"/>
      <c r="C186" s="29"/>
      <c r="D186" s="29"/>
      <c r="E186" s="29"/>
      <c r="F186" s="29"/>
      <c r="G186" s="29"/>
    </row>
    <row r="187" spans="1:7" ht="12.75">
      <c r="A187" s="29"/>
      <c r="B187" s="29"/>
      <c r="C187" s="29"/>
      <c r="D187" s="29"/>
      <c r="E187" s="29"/>
      <c r="F187" s="29"/>
      <c r="G187" s="29"/>
    </row>
    <row r="188" spans="1:7" ht="12.75">
      <c r="A188" s="29"/>
      <c r="B188" s="29"/>
      <c r="C188" s="29"/>
      <c r="D188" s="29"/>
      <c r="E188" s="29"/>
      <c r="F188" s="29"/>
      <c r="G188" s="29"/>
    </row>
    <row r="189" spans="1:7" ht="12.75">
      <c r="A189" s="29"/>
      <c r="B189" s="29"/>
      <c r="C189" s="29"/>
      <c r="D189" s="29"/>
      <c r="E189" s="29"/>
      <c r="F189" s="29"/>
      <c r="G189" s="29"/>
    </row>
    <row r="190" spans="1:7" ht="12.75">
      <c r="A190" s="29"/>
      <c r="B190" s="29"/>
      <c r="C190" s="29"/>
      <c r="D190" s="29"/>
      <c r="E190" s="29"/>
      <c r="F190" s="29"/>
      <c r="G190" s="29"/>
    </row>
    <row r="191" spans="1:7" ht="12.75">
      <c r="A191" s="29"/>
      <c r="B191" s="29"/>
      <c r="C191" s="29"/>
      <c r="D191" s="29"/>
      <c r="E191" s="29"/>
      <c r="F191" s="29"/>
      <c r="G191" s="29"/>
    </row>
    <row r="192" spans="1:7" ht="12.75">
      <c r="A192" s="29"/>
      <c r="B192" s="29"/>
      <c r="C192" s="29"/>
      <c r="D192" s="29"/>
      <c r="E192" s="29"/>
      <c r="F192" s="29"/>
      <c r="G192" s="29"/>
    </row>
    <row r="193" spans="1:7" ht="12.75">
      <c r="A193" s="29"/>
      <c r="B193" s="29"/>
      <c r="C193" s="29"/>
      <c r="D193" s="29"/>
      <c r="E193" s="29"/>
      <c r="F193" s="29"/>
      <c r="G193" s="29"/>
    </row>
    <row r="194" spans="1:7" ht="12.75">
      <c r="A194" s="29"/>
      <c r="B194" s="29"/>
      <c r="C194" s="29"/>
      <c r="D194" s="29"/>
      <c r="E194" s="29"/>
      <c r="F194" s="29"/>
      <c r="G194" s="29"/>
    </row>
    <row r="195" spans="1:7" ht="12.75">
      <c r="A195" s="29"/>
      <c r="B195" s="29"/>
      <c r="C195" s="29"/>
      <c r="D195" s="29"/>
      <c r="E195" s="29"/>
      <c r="F195" s="29"/>
      <c r="G195" s="29"/>
    </row>
    <row r="196" spans="1:7" ht="12.75">
      <c r="A196" s="29"/>
      <c r="B196" s="29"/>
      <c r="C196" s="29"/>
      <c r="D196" s="29"/>
      <c r="E196" s="29"/>
      <c r="F196" s="29"/>
      <c r="G196" s="29"/>
    </row>
    <row r="197" spans="1:7" ht="12.75">
      <c r="A197" s="29"/>
      <c r="B197" s="29"/>
      <c r="C197" s="29"/>
      <c r="D197" s="29"/>
      <c r="E197" s="29"/>
      <c r="F197" s="29"/>
      <c r="G197" s="29"/>
    </row>
    <row r="198" spans="1:7" ht="12.75">
      <c r="A198" s="29"/>
      <c r="B198" s="29"/>
      <c r="C198" s="29"/>
      <c r="D198" s="29"/>
      <c r="E198" s="29"/>
      <c r="F198" s="29"/>
      <c r="G198" s="29"/>
    </row>
    <row r="199" spans="1:7" ht="12.75">
      <c r="A199" s="29"/>
      <c r="B199" s="29"/>
      <c r="C199" s="29"/>
      <c r="D199" s="29"/>
      <c r="E199" s="29"/>
      <c r="F199" s="29"/>
      <c r="G199" s="29"/>
    </row>
    <row r="200" spans="1:7" ht="12.75">
      <c r="A200" s="29"/>
      <c r="B200" s="29"/>
      <c r="C200" s="29"/>
      <c r="D200" s="29"/>
      <c r="E200" s="29"/>
      <c r="F200" s="29"/>
      <c r="G200" s="29"/>
    </row>
    <row r="201" spans="1:7" ht="12.75">
      <c r="A201" s="29"/>
      <c r="B201" s="29"/>
      <c r="C201" s="29"/>
      <c r="D201" s="29"/>
      <c r="E201" s="29"/>
      <c r="F201" s="29"/>
      <c r="G201" s="29"/>
    </row>
    <row r="202" spans="1:7" ht="12.75">
      <c r="A202" s="29"/>
      <c r="B202" s="29"/>
      <c r="C202" s="29"/>
      <c r="D202" s="29"/>
      <c r="E202" s="29"/>
      <c r="F202" s="29"/>
      <c r="G202" s="29"/>
    </row>
    <row r="203" spans="1:7" ht="12.75">
      <c r="A203" s="29"/>
      <c r="B203" s="29"/>
      <c r="C203" s="29"/>
      <c r="D203" s="29"/>
      <c r="E203" s="29"/>
      <c r="F203" s="29"/>
      <c r="G203" s="29"/>
    </row>
    <row r="204" spans="1:7" ht="12.75">
      <c r="A204" s="29"/>
      <c r="B204" s="29"/>
      <c r="C204" s="29"/>
      <c r="D204" s="29"/>
      <c r="E204" s="29"/>
      <c r="F204" s="29"/>
      <c r="G204" s="29"/>
    </row>
    <row r="205" spans="1:7" ht="12.75">
      <c r="A205" s="29"/>
      <c r="B205" s="29"/>
      <c r="C205" s="29"/>
      <c r="D205" s="29"/>
      <c r="E205" s="29"/>
      <c r="F205" s="29"/>
      <c r="G205" s="29"/>
    </row>
    <row r="206" spans="1:7" ht="12.75">
      <c r="A206" s="29"/>
      <c r="B206" s="29"/>
      <c r="C206" s="29"/>
      <c r="D206" s="29"/>
      <c r="E206" s="29"/>
      <c r="F206" s="29"/>
      <c r="G206" s="29"/>
    </row>
    <row r="207" spans="1:7" ht="12.75">
      <c r="A207" s="29"/>
      <c r="B207" s="29"/>
      <c r="C207" s="29"/>
      <c r="D207" s="29"/>
      <c r="E207" s="29"/>
      <c r="F207" s="29"/>
      <c r="G207" s="29"/>
    </row>
    <row r="208" spans="1:7" ht="12.75">
      <c r="A208" s="29"/>
      <c r="B208" s="29"/>
      <c r="C208" s="29"/>
      <c r="D208" s="29"/>
      <c r="E208" s="29"/>
      <c r="F208" s="29"/>
      <c r="G208" s="29"/>
    </row>
    <row r="209" spans="1:7" ht="12.75">
      <c r="A209" s="29"/>
      <c r="B209" s="29"/>
      <c r="C209" s="29"/>
      <c r="D209" s="29"/>
      <c r="E209" s="29"/>
      <c r="F209" s="29"/>
      <c r="G209" s="29"/>
    </row>
    <row r="210" spans="1:7" ht="12.75">
      <c r="A210" s="29"/>
      <c r="B210" s="29"/>
      <c r="C210" s="29"/>
      <c r="D210" s="29"/>
      <c r="E210" s="29"/>
      <c r="F210" s="29"/>
      <c r="G210" s="29"/>
    </row>
    <row r="211" spans="1:7" ht="12.75">
      <c r="A211" s="29"/>
      <c r="B211" s="29"/>
      <c r="C211" s="29"/>
      <c r="D211" s="29"/>
      <c r="E211" s="29"/>
      <c r="F211" s="29"/>
      <c r="G211" s="29"/>
    </row>
    <row r="212" spans="1:7" ht="12.75">
      <c r="A212" s="29"/>
      <c r="B212" s="29"/>
      <c r="C212" s="29"/>
      <c r="D212" s="29"/>
      <c r="E212" s="29"/>
      <c r="F212" s="29"/>
      <c r="G212" s="29"/>
    </row>
    <row r="213" spans="1:7" ht="12.75">
      <c r="A213" s="29"/>
      <c r="B213" s="29"/>
      <c r="C213" s="29"/>
      <c r="D213" s="29"/>
      <c r="E213" s="29"/>
      <c r="F213" s="29"/>
      <c r="G213" s="29"/>
    </row>
    <row r="214" spans="1:7" ht="12.75">
      <c r="A214" s="29"/>
      <c r="B214" s="29"/>
      <c r="C214" s="29"/>
      <c r="D214" s="29"/>
      <c r="E214" s="29"/>
      <c r="F214" s="29"/>
      <c r="G214" s="29"/>
    </row>
    <row r="215" spans="1:7" ht="12.75">
      <c r="A215" s="29"/>
      <c r="B215" s="29"/>
      <c r="C215" s="29"/>
      <c r="D215" s="29"/>
      <c r="E215" s="29"/>
      <c r="F215" s="29"/>
      <c r="G215" s="29"/>
    </row>
    <row r="216" spans="1:7" ht="12.75">
      <c r="A216" s="29"/>
      <c r="B216" s="29"/>
      <c r="C216" s="29"/>
      <c r="D216" s="29"/>
      <c r="E216" s="29"/>
      <c r="F216" s="29"/>
      <c r="G216" s="29"/>
    </row>
    <row r="217" spans="1:7" ht="12.75">
      <c r="A217" s="29"/>
      <c r="B217" s="29"/>
      <c r="C217" s="29"/>
      <c r="D217" s="29"/>
      <c r="E217" s="29"/>
      <c r="F217" s="29"/>
      <c r="G217" s="29"/>
    </row>
    <row r="218" spans="1:7" ht="12.75">
      <c r="A218" s="29"/>
      <c r="B218" s="29"/>
      <c r="C218" s="29"/>
      <c r="D218" s="29"/>
      <c r="E218" s="29"/>
      <c r="F218" s="29"/>
      <c r="G218" s="29"/>
    </row>
    <row r="219" spans="1:7" ht="12.75">
      <c r="A219" s="29"/>
      <c r="B219" s="29"/>
      <c r="C219" s="29"/>
      <c r="D219" s="29"/>
      <c r="E219" s="29"/>
      <c r="F219" s="29"/>
      <c r="G219" s="29"/>
    </row>
    <row r="220" spans="1:7" ht="12.75">
      <c r="A220" s="29"/>
      <c r="B220" s="29"/>
      <c r="C220" s="29"/>
      <c r="D220" s="29"/>
      <c r="E220" s="29"/>
      <c r="F220" s="29"/>
      <c r="G220" s="29"/>
    </row>
    <row r="221" spans="1:7" ht="12.75">
      <c r="A221" s="29"/>
      <c r="B221" s="29"/>
      <c r="C221" s="29"/>
      <c r="D221" s="29"/>
      <c r="E221" s="29"/>
      <c r="F221" s="29"/>
      <c r="G221" s="29"/>
    </row>
    <row r="222" spans="1:7" ht="12.75">
      <c r="A222" s="29"/>
      <c r="B222" s="29"/>
      <c r="C222" s="29"/>
      <c r="D222" s="29"/>
      <c r="E222" s="29"/>
      <c r="F222" s="29"/>
      <c r="G222" s="29"/>
    </row>
    <row r="223" spans="1:7" ht="12.75">
      <c r="A223" s="29"/>
      <c r="B223" s="29"/>
      <c r="C223" s="29"/>
      <c r="D223" s="29"/>
      <c r="E223" s="29"/>
      <c r="F223" s="29"/>
      <c r="G223" s="29"/>
    </row>
    <row r="224" spans="1:7" ht="12.75">
      <c r="A224" s="29"/>
      <c r="B224" s="29"/>
      <c r="C224" s="29"/>
      <c r="D224" s="29"/>
      <c r="E224" s="29"/>
      <c r="F224" s="29"/>
      <c r="G224" s="29"/>
    </row>
    <row r="225" spans="1:7" ht="12.75">
      <c r="A225" s="29"/>
      <c r="B225" s="29"/>
      <c r="C225" s="29"/>
      <c r="D225" s="29"/>
      <c r="E225" s="29"/>
      <c r="F225" s="29"/>
      <c r="G225" s="29"/>
    </row>
    <row r="226" spans="1:7" ht="12.75">
      <c r="A226" s="29"/>
      <c r="B226" s="29"/>
      <c r="C226" s="29"/>
      <c r="D226" s="29"/>
      <c r="E226" s="29"/>
      <c r="F226" s="29"/>
      <c r="G226" s="29"/>
    </row>
    <row r="227" spans="1:7" ht="12.75">
      <c r="A227" s="29"/>
      <c r="B227" s="29"/>
      <c r="C227" s="29"/>
      <c r="D227" s="29"/>
      <c r="E227" s="29"/>
      <c r="F227" s="29"/>
      <c r="G227" s="29"/>
    </row>
    <row r="228" spans="1:7" ht="12.75">
      <c r="A228" s="29"/>
      <c r="B228" s="29"/>
      <c r="C228" s="29"/>
      <c r="D228" s="29"/>
      <c r="E228" s="29"/>
      <c r="F228" s="29"/>
      <c r="G228" s="29"/>
    </row>
    <row r="229" spans="1:7" ht="12.75">
      <c r="A229" s="29"/>
      <c r="B229" s="29"/>
      <c r="C229" s="29"/>
      <c r="D229" s="29"/>
      <c r="E229" s="29"/>
      <c r="F229" s="29"/>
      <c r="G229" s="29"/>
    </row>
    <row r="230" spans="1:7" ht="12.75">
      <c r="A230" s="29"/>
      <c r="B230" s="29"/>
      <c r="C230" s="29"/>
      <c r="D230" s="29"/>
      <c r="E230" s="29"/>
      <c r="F230" s="29"/>
      <c r="G230" s="29"/>
    </row>
    <row r="231" spans="1:7" ht="12.75">
      <c r="A231" s="29"/>
      <c r="B231" s="29"/>
      <c r="C231" s="29"/>
      <c r="D231" s="29"/>
      <c r="E231" s="29"/>
      <c r="F231" s="29"/>
      <c r="G231" s="29"/>
    </row>
    <row r="232" spans="1:7" ht="12.75">
      <c r="A232" s="29"/>
      <c r="B232" s="29"/>
      <c r="C232" s="29"/>
      <c r="D232" s="29"/>
      <c r="E232" s="29"/>
      <c r="F232" s="29"/>
      <c r="G232" s="29"/>
    </row>
    <row r="233" spans="1:7" ht="12.75">
      <c r="A233" s="29"/>
      <c r="B233" s="29"/>
      <c r="C233" s="29"/>
      <c r="D233" s="29"/>
      <c r="E233" s="29"/>
      <c r="F233" s="29"/>
      <c r="G233" s="29"/>
    </row>
    <row r="234" spans="1:7" ht="12.75">
      <c r="A234" s="29"/>
      <c r="B234" s="29"/>
      <c r="C234" s="29"/>
      <c r="D234" s="29"/>
      <c r="E234" s="29"/>
      <c r="F234" s="29"/>
      <c r="G234" s="29"/>
    </row>
    <row r="235" spans="1:7" ht="12.75">
      <c r="A235" s="29"/>
      <c r="B235" s="29"/>
      <c r="C235" s="29"/>
      <c r="D235" s="29"/>
      <c r="E235" s="29"/>
      <c r="F235" s="29"/>
      <c r="G235" s="29"/>
    </row>
    <row r="236" spans="1:7" ht="12.75">
      <c r="A236" s="29"/>
      <c r="B236" s="29"/>
      <c r="C236" s="29"/>
      <c r="D236" s="29"/>
      <c r="E236" s="29"/>
      <c r="F236" s="29"/>
      <c r="G236" s="29"/>
    </row>
    <row r="237" spans="1:7" ht="12.75">
      <c r="A237" s="29"/>
      <c r="B237" s="29"/>
      <c r="C237" s="29"/>
      <c r="D237" s="29"/>
      <c r="E237" s="29"/>
      <c r="F237" s="29"/>
      <c r="G237" s="29"/>
    </row>
    <row r="238" spans="1:7" ht="12.75">
      <c r="A238" s="29"/>
      <c r="B238" s="29"/>
      <c r="C238" s="29"/>
      <c r="D238" s="29"/>
      <c r="E238" s="29"/>
      <c r="F238" s="29"/>
      <c r="G238" s="29"/>
    </row>
    <row r="239" spans="1:7" ht="12.75">
      <c r="A239" s="29"/>
      <c r="B239" s="29"/>
      <c r="C239" s="29"/>
      <c r="D239" s="29"/>
      <c r="E239" s="29"/>
      <c r="F239" s="29"/>
      <c r="G239" s="29"/>
    </row>
    <row r="240" spans="1:7" ht="12.75">
      <c r="A240" s="29"/>
      <c r="B240" s="29"/>
      <c r="C240" s="29"/>
      <c r="D240" s="29"/>
      <c r="E240" s="29"/>
      <c r="F240" s="29"/>
      <c r="G240" s="29"/>
    </row>
    <row r="241" spans="1:7" ht="12.75">
      <c r="A241" s="29"/>
      <c r="B241" s="29"/>
      <c r="C241" s="29"/>
      <c r="D241" s="29"/>
      <c r="E241" s="29"/>
      <c r="F241" s="29"/>
      <c r="G241" s="29"/>
    </row>
    <row r="242" spans="1:7" ht="12.75">
      <c r="A242" s="29"/>
      <c r="B242" s="29"/>
      <c r="C242" s="29"/>
      <c r="D242" s="29"/>
      <c r="E242" s="29"/>
      <c r="F242" s="29"/>
      <c r="G242" s="29"/>
    </row>
    <row r="243" spans="1:7" ht="12.75">
      <c r="A243" s="29"/>
      <c r="B243" s="29"/>
      <c r="C243" s="29"/>
      <c r="D243" s="29"/>
      <c r="E243" s="29"/>
      <c r="F243" s="29"/>
      <c r="G243" s="29"/>
    </row>
    <row r="244" spans="1:7" ht="12.75">
      <c r="A244" s="29"/>
      <c r="B244" s="29"/>
      <c r="C244" s="29"/>
      <c r="D244" s="29"/>
      <c r="E244" s="29"/>
      <c r="F244" s="29"/>
      <c r="G244" s="29"/>
    </row>
    <row r="245" spans="1:7" ht="12.75">
      <c r="A245" s="29"/>
      <c r="B245" s="29"/>
      <c r="C245" s="29"/>
      <c r="D245" s="29"/>
      <c r="E245" s="29"/>
      <c r="F245" s="29"/>
      <c r="G245" s="29"/>
    </row>
    <row r="246" spans="1:7" ht="12.75">
      <c r="A246" s="29"/>
      <c r="B246" s="29"/>
      <c r="C246" s="29"/>
      <c r="D246" s="29"/>
      <c r="E246" s="29"/>
      <c r="F246" s="29"/>
      <c r="G246" s="29"/>
    </row>
    <row r="247" spans="1:7" ht="12.75">
      <c r="A247" s="29"/>
      <c r="B247" s="29"/>
      <c r="C247" s="29"/>
      <c r="D247" s="29"/>
      <c r="E247" s="29"/>
      <c r="F247" s="29"/>
      <c r="G247" s="29"/>
    </row>
    <row r="248" spans="1:7" ht="12.75">
      <c r="A248" s="29"/>
      <c r="B248" s="29"/>
      <c r="C248" s="29"/>
      <c r="D248" s="29"/>
      <c r="E248" s="29"/>
      <c r="F248" s="29"/>
      <c r="G248" s="29"/>
    </row>
    <row r="249" spans="1:7" ht="12.75">
      <c r="A249" s="29"/>
      <c r="B249" s="29"/>
      <c r="C249" s="29"/>
      <c r="D249" s="29"/>
      <c r="E249" s="29"/>
      <c r="F249" s="29"/>
      <c r="G249" s="29"/>
    </row>
    <row r="250" spans="1:7" ht="12.75">
      <c r="A250" s="29"/>
      <c r="B250" s="29"/>
      <c r="C250" s="29"/>
      <c r="D250" s="29"/>
      <c r="E250" s="29"/>
      <c r="F250" s="29"/>
      <c r="G250" s="29"/>
    </row>
    <row r="251" spans="1:7" ht="12.75">
      <c r="A251" s="29"/>
      <c r="B251" s="29"/>
      <c r="C251" s="29"/>
      <c r="D251" s="29"/>
      <c r="E251" s="29"/>
      <c r="F251" s="29"/>
      <c r="G251" s="29"/>
    </row>
    <row r="252" spans="1:7" ht="12.75">
      <c r="A252" s="29"/>
      <c r="B252" s="29"/>
      <c r="C252" s="29"/>
      <c r="D252" s="29"/>
      <c r="E252" s="29"/>
      <c r="F252" s="29"/>
      <c r="G252" s="29"/>
    </row>
    <row r="253" spans="1:7" ht="12.75">
      <c r="A253" s="29"/>
      <c r="B253" s="29"/>
      <c r="C253" s="29"/>
      <c r="D253" s="29"/>
      <c r="E253" s="29"/>
      <c r="F253" s="29"/>
      <c r="G253" s="29"/>
    </row>
    <row r="254" spans="1:7" ht="12.75">
      <c r="A254" s="29"/>
      <c r="B254" s="29"/>
      <c r="C254" s="29"/>
      <c r="D254" s="29"/>
      <c r="E254" s="29"/>
      <c r="F254" s="29"/>
      <c r="G254" s="29"/>
    </row>
    <row r="255" spans="1:7" ht="12.75">
      <c r="A255" s="29"/>
      <c r="B255" s="29"/>
      <c r="C255" s="29"/>
      <c r="D255" s="29"/>
      <c r="E255" s="29"/>
      <c r="F255" s="29"/>
      <c r="G255" s="29"/>
    </row>
    <row r="256" spans="1:7" ht="12.75">
      <c r="A256" s="29"/>
      <c r="B256" s="29"/>
      <c r="C256" s="29"/>
      <c r="D256" s="29"/>
      <c r="E256" s="29"/>
      <c r="F256" s="29"/>
      <c r="G256" s="29"/>
    </row>
    <row r="257" spans="1:7" ht="12.75">
      <c r="A257" s="29"/>
      <c r="B257" s="29"/>
      <c r="C257" s="29"/>
      <c r="D257" s="29"/>
      <c r="E257" s="29"/>
      <c r="F257" s="29"/>
      <c r="G257" s="29"/>
    </row>
    <row r="258" spans="1:7" ht="12.75">
      <c r="A258" s="29"/>
      <c r="B258" s="29"/>
      <c r="C258" s="29"/>
      <c r="D258" s="29"/>
      <c r="E258" s="29"/>
      <c r="F258" s="29"/>
      <c r="G258" s="29"/>
    </row>
    <row r="259" spans="1:7" ht="12.75">
      <c r="A259" s="29"/>
      <c r="B259" s="29"/>
      <c r="C259" s="29"/>
      <c r="D259" s="29"/>
      <c r="E259" s="29"/>
      <c r="F259" s="29"/>
      <c r="G259" s="29"/>
    </row>
    <row r="260" spans="1:7" ht="12.75">
      <c r="A260" s="29"/>
      <c r="B260" s="29"/>
      <c r="C260" s="29"/>
      <c r="D260" s="29"/>
      <c r="E260" s="29"/>
      <c r="F260" s="29"/>
      <c r="G260" s="29"/>
    </row>
    <row r="261" spans="1:7" ht="12.75">
      <c r="A261" s="29"/>
      <c r="B261" s="29"/>
      <c r="C261" s="29"/>
      <c r="D261" s="29"/>
      <c r="E261" s="29"/>
      <c r="F261" s="29"/>
      <c r="G261" s="29"/>
    </row>
    <row r="262" spans="1:7" ht="12.75">
      <c r="A262" s="29"/>
      <c r="B262" s="29"/>
      <c r="C262" s="29"/>
      <c r="D262" s="29"/>
      <c r="E262" s="29"/>
      <c r="F262" s="29"/>
      <c r="G262" s="29"/>
    </row>
    <row r="263" spans="1:7" ht="12.75">
      <c r="A263" s="29"/>
      <c r="B263" s="29"/>
      <c r="C263" s="29"/>
      <c r="D263" s="29"/>
      <c r="E263" s="29"/>
      <c r="F263" s="29"/>
      <c r="G263" s="29"/>
    </row>
    <row r="264" spans="1:7" ht="12.75">
      <c r="A264" s="29"/>
      <c r="B264" s="29"/>
      <c r="C264" s="29"/>
      <c r="D264" s="29"/>
      <c r="E264" s="29"/>
      <c r="F264" s="29"/>
      <c r="G264" s="29"/>
    </row>
    <row r="265" spans="1:7" ht="12.75">
      <c r="A265" s="29"/>
      <c r="B265" s="29"/>
      <c r="C265" s="29"/>
      <c r="D265" s="29"/>
      <c r="E265" s="29"/>
      <c r="F265" s="29"/>
      <c r="G265" s="29"/>
    </row>
    <row r="266" spans="1:7" ht="12.75">
      <c r="A266" s="29"/>
      <c r="B266" s="29"/>
      <c r="C266" s="29"/>
      <c r="D266" s="29"/>
      <c r="E266" s="29"/>
      <c r="F266" s="29"/>
      <c r="G266" s="29"/>
    </row>
    <row r="267" spans="1:7" ht="12.75">
      <c r="A267" s="29"/>
      <c r="B267" s="29"/>
      <c r="C267" s="29"/>
      <c r="D267" s="29"/>
      <c r="E267" s="29"/>
      <c r="F267" s="29"/>
      <c r="G267" s="29"/>
    </row>
    <row r="268" spans="1:7" ht="12.75">
      <c r="A268" s="29"/>
      <c r="B268" s="29"/>
      <c r="C268" s="29"/>
      <c r="D268" s="29"/>
      <c r="E268" s="29"/>
      <c r="F268" s="29"/>
      <c r="G268" s="29"/>
    </row>
    <row r="269" spans="1:7" ht="12.75">
      <c r="A269" s="29"/>
      <c r="B269" s="29"/>
      <c r="C269" s="29"/>
      <c r="D269" s="29"/>
      <c r="E269" s="29"/>
      <c r="F269" s="29"/>
      <c r="G269" s="29"/>
    </row>
    <row r="270" spans="1:7" ht="12.75">
      <c r="A270" s="29"/>
      <c r="B270" s="29"/>
      <c r="C270" s="29"/>
      <c r="D270" s="29"/>
      <c r="E270" s="29"/>
      <c r="F270" s="29"/>
      <c r="G270" s="29"/>
    </row>
    <row r="271" spans="1:7" ht="12.75">
      <c r="A271" s="29"/>
      <c r="B271" s="29"/>
      <c r="C271" s="29"/>
      <c r="D271" s="29"/>
      <c r="E271" s="29"/>
      <c r="F271" s="29"/>
      <c r="G271" s="29"/>
    </row>
    <row r="272" spans="1:7" ht="12.75">
      <c r="A272" s="29"/>
      <c r="B272" s="29"/>
      <c r="C272" s="29"/>
      <c r="D272" s="29"/>
      <c r="E272" s="29"/>
      <c r="F272" s="29"/>
      <c r="G272" s="29"/>
    </row>
    <row r="273" spans="1:7" ht="12.75">
      <c r="A273" s="29"/>
      <c r="B273" s="29"/>
      <c r="C273" s="29"/>
      <c r="D273" s="29"/>
      <c r="E273" s="29"/>
      <c r="F273" s="29"/>
      <c r="G273" s="29"/>
    </row>
    <row r="274" spans="1:7" ht="12.75">
      <c r="A274" s="29"/>
      <c r="B274" s="29"/>
      <c r="C274" s="29"/>
      <c r="D274" s="29"/>
      <c r="E274" s="29"/>
      <c r="F274" s="29"/>
      <c r="G274" s="29"/>
    </row>
    <row r="275" spans="1:7" ht="12.75">
      <c r="A275" s="29"/>
      <c r="B275" s="29"/>
      <c r="C275" s="29"/>
      <c r="D275" s="29"/>
      <c r="E275" s="29"/>
      <c r="F275" s="29"/>
      <c r="G275" s="29"/>
    </row>
    <row r="276" spans="1:7" ht="12.75">
      <c r="A276" s="29"/>
      <c r="B276" s="29"/>
      <c r="C276" s="29"/>
      <c r="D276" s="29"/>
      <c r="E276" s="29"/>
      <c r="F276" s="29"/>
      <c r="G276" s="29"/>
    </row>
    <row r="277" spans="1:7" ht="12.75">
      <c r="A277" s="29"/>
      <c r="B277" s="29"/>
      <c r="C277" s="29"/>
      <c r="D277" s="29"/>
      <c r="E277" s="29"/>
      <c r="F277" s="29"/>
      <c r="G277" s="29"/>
    </row>
    <row r="278" spans="1:7" ht="12.75">
      <c r="A278" s="29"/>
      <c r="B278" s="29"/>
      <c r="C278" s="29"/>
      <c r="D278" s="29"/>
      <c r="E278" s="29"/>
      <c r="F278" s="29"/>
      <c r="G278" s="29"/>
    </row>
    <row r="279" spans="1:7" ht="12.75">
      <c r="A279" s="29"/>
      <c r="B279" s="29"/>
      <c r="C279" s="29"/>
      <c r="D279" s="29"/>
      <c r="E279" s="29"/>
      <c r="F279" s="29"/>
      <c r="G279" s="29"/>
    </row>
    <row r="280" spans="1:7" ht="12.75">
      <c r="A280" s="29"/>
      <c r="B280" s="29"/>
      <c r="C280" s="29"/>
      <c r="D280" s="29"/>
      <c r="E280" s="29"/>
      <c r="F280" s="29"/>
      <c r="G280" s="29"/>
    </row>
    <row r="281" spans="1:7" ht="12.75">
      <c r="A281" s="29"/>
      <c r="B281" s="29"/>
      <c r="C281" s="29"/>
      <c r="D281" s="29"/>
      <c r="E281" s="29"/>
      <c r="F281" s="29"/>
      <c r="G281" s="29"/>
    </row>
    <row r="282" spans="1:7" ht="12.75">
      <c r="A282" s="29"/>
      <c r="B282" s="29"/>
      <c r="C282" s="29"/>
      <c r="D282" s="29"/>
      <c r="E282" s="29"/>
      <c r="F282" s="29"/>
      <c r="G282" s="29"/>
    </row>
    <row r="283" spans="1:7" ht="12.75">
      <c r="A283" s="29"/>
      <c r="B283" s="29"/>
      <c r="C283" s="29"/>
      <c r="D283" s="29"/>
      <c r="E283" s="29"/>
      <c r="F283" s="29"/>
      <c r="G283" s="29"/>
    </row>
    <row r="284" spans="1:7" ht="12.75">
      <c r="A284" s="29"/>
      <c r="B284" s="29"/>
      <c r="C284" s="29"/>
      <c r="D284" s="29"/>
      <c r="E284" s="29"/>
      <c r="F284" s="29"/>
      <c r="G284" s="29"/>
    </row>
    <row r="285" spans="1:7" ht="12.75">
      <c r="A285" s="29"/>
      <c r="B285" s="29"/>
      <c r="C285" s="29"/>
      <c r="D285" s="29"/>
      <c r="E285" s="29"/>
      <c r="F285" s="29"/>
      <c r="G285" s="29"/>
    </row>
    <row r="286" spans="1:7" ht="12.75">
      <c r="A286" s="29"/>
      <c r="B286" s="29"/>
      <c r="C286" s="29"/>
      <c r="D286" s="29"/>
      <c r="E286" s="29"/>
      <c r="F286" s="29"/>
      <c r="G286" s="29"/>
    </row>
    <row r="287" spans="1:7" ht="12.75">
      <c r="A287" s="29"/>
      <c r="B287" s="29"/>
      <c r="C287" s="29"/>
      <c r="D287" s="29"/>
      <c r="E287" s="29"/>
      <c r="F287" s="29"/>
      <c r="G287" s="29"/>
    </row>
    <row r="288" spans="1:8" ht="12.75">
      <c r="A288" s="29"/>
      <c r="B288" s="29"/>
      <c r="C288" s="29"/>
      <c r="D288" s="29"/>
      <c r="E288" s="29"/>
      <c r="F288" s="29"/>
      <c r="G288" s="29"/>
      <c r="H288" s="29"/>
    </row>
    <row r="289" spans="1:8" ht="12.75">
      <c r="A289" s="29"/>
      <c r="B289" s="29"/>
      <c r="C289" s="29"/>
      <c r="D289" s="29"/>
      <c r="E289" s="29"/>
      <c r="F289" s="29"/>
      <c r="G289" s="29"/>
      <c r="H289" s="29"/>
    </row>
    <row r="290" spans="1:8" ht="12.75">
      <c r="A290" s="29"/>
      <c r="B290" s="29"/>
      <c r="C290" s="29"/>
      <c r="D290" s="29"/>
      <c r="E290" s="29"/>
      <c r="F290" s="29"/>
      <c r="G290" s="29"/>
      <c r="H290" s="29"/>
    </row>
    <row r="291" spans="1:8" ht="12.75">
      <c r="A291" s="29"/>
      <c r="B291" s="29"/>
      <c r="C291" s="29"/>
      <c r="D291" s="29"/>
      <c r="E291" s="29"/>
      <c r="F291" s="29"/>
      <c r="G291" s="29"/>
      <c r="H291" s="29"/>
    </row>
    <row r="292" spans="1:8" ht="12.75">
      <c r="A292" s="29"/>
      <c r="B292" s="29"/>
      <c r="C292" s="29"/>
      <c r="D292" s="29"/>
      <c r="E292" s="29"/>
      <c r="F292" s="29"/>
      <c r="G292" s="29"/>
      <c r="H292" s="29"/>
    </row>
    <row r="293" spans="1:8" ht="12.75">
      <c r="A293" s="29"/>
      <c r="B293" s="29"/>
      <c r="C293" s="29"/>
      <c r="D293" s="29"/>
      <c r="E293" s="29"/>
      <c r="F293" s="29"/>
      <c r="G293" s="29"/>
      <c r="H293" s="29"/>
    </row>
    <row r="294" spans="1:8" ht="12.75">
      <c r="A294" s="29"/>
      <c r="B294" s="29"/>
      <c r="C294" s="29"/>
      <c r="D294" s="29"/>
      <c r="E294" s="29"/>
      <c r="F294" s="29"/>
      <c r="G294" s="29"/>
      <c r="H294" s="29"/>
    </row>
    <row r="295" spans="1:8" ht="12.75">
      <c r="A295" s="29"/>
      <c r="B295" s="29"/>
      <c r="C295" s="29"/>
      <c r="D295" s="29"/>
      <c r="E295" s="29"/>
      <c r="F295" s="29"/>
      <c r="G295" s="29"/>
      <c r="H295" s="29"/>
    </row>
    <row r="296" spans="1:8" ht="12.75">
      <c r="A296" s="29"/>
      <c r="B296" s="29"/>
      <c r="C296" s="29"/>
      <c r="D296" s="29"/>
      <c r="E296" s="29"/>
      <c r="F296" s="29"/>
      <c r="G296" s="29"/>
      <c r="H296" s="29"/>
    </row>
    <row r="297" spans="1:8" ht="12.75">
      <c r="A297" s="29"/>
      <c r="B297" s="29"/>
      <c r="C297" s="29"/>
      <c r="D297" s="29"/>
      <c r="E297" s="29"/>
      <c r="F297" s="29"/>
      <c r="G297" s="29"/>
      <c r="H297" s="29"/>
    </row>
    <row r="298" spans="1:8" ht="12.75">
      <c r="A298" s="29"/>
      <c r="B298" s="29"/>
      <c r="C298" s="29"/>
      <c r="D298" s="29"/>
      <c r="E298" s="29"/>
      <c r="F298" s="29"/>
      <c r="G298" s="29"/>
      <c r="H298" s="29"/>
    </row>
    <row r="299" spans="1:8" ht="12.75">
      <c r="A299" s="29"/>
      <c r="B299" s="29"/>
      <c r="C299" s="29"/>
      <c r="D299" s="29"/>
      <c r="E299" s="29"/>
      <c r="F299" s="29"/>
      <c r="G299" s="29"/>
      <c r="H299" s="29"/>
    </row>
    <row r="300" spans="1:8" ht="12.75">
      <c r="A300" s="29"/>
      <c r="B300" s="29"/>
      <c r="C300" s="29"/>
      <c r="D300" s="29"/>
      <c r="E300" s="29"/>
      <c r="F300" s="29"/>
      <c r="G300" s="29"/>
      <c r="H300" s="29"/>
    </row>
    <row r="301" spans="1:8" ht="12.75">
      <c r="A301" s="29"/>
      <c r="B301" s="29"/>
      <c r="C301" s="29"/>
      <c r="D301" s="29"/>
      <c r="E301" s="29"/>
      <c r="F301" s="29"/>
      <c r="G301" s="29"/>
      <c r="H301" s="29"/>
    </row>
    <row r="302" spans="1:8" ht="12.75">
      <c r="A302" s="29"/>
      <c r="B302" s="29"/>
      <c r="C302" s="29"/>
      <c r="D302" s="29"/>
      <c r="E302" s="29"/>
      <c r="F302" s="29"/>
      <c r="G302" s="29"/>
      <c r="H302" s="29"/>
    </row>
    <row r="303" spans="1:8" ht="12.75">
      <c r="A303" s="29"/>
      <c r="B303" s="29"/>
      <c r="C303" s="29"/>
      <c r="D303" s="29"/>
      <c r="E303" s="29"/>
      <c r="F303" s="29"/>
      <c r="G303" s="29"/>
      <c r="H303" s="29"/>
    </row>
    <row r="304" spans="1:8" ht="12.75">
      <c r="A304" s="29"/>
      <c r="B304" s="29"/>
      <c r="C304" s="29"/>
      <c r="D304" s="29"/>
      <c r="E304" s="29"/>
      <c r="F304" s="29"/>
      <c r="G304" s="29"/>
      <c r="H304" s="29"/>
    </row>
    <row r="305" spans="1:8" ht="12.75">
      <c r="A305" s="29"/>
      <c r="B305" s="29"/>
      <c r="C305" s="29"/>
      <c r="D305" s="29"/>
      <c r="E305" s="29"/>
      <c r="F305" s="29"/>
      <c r="G305" s="29"/>
      <c r="H305" s="29"/>
    </row>
    <row r="306" spans="1:8" ht="12.75">
      <c r="A306" s="29"/>
      <c r="B306" s="29"/>
      <c r="C306" s="29"/>
      <c r="D306" s="29"/>
      <c r="E306" s="29"/>
      <c r="F306" s="29"/>
      <c r="G306" s="29"/>
      <c r="H306" s="2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G247"/>
  <sheetViews>
    <sheetView workbookViewId="0" topLeftCell="G1">
      <selection activeCell="G4" sqref="G4:L4"/>
    </sheetView>
  </sheetViews>
  <sheetFormatPr defaultColWidth="9.140625" defaultRowHeight="12.75"/>
  <cols>
    <col min="1" max="1" width="46.28125" style="72" hidden="1" customWidth="1"/>
    <col min="2" max="2" width="14.421875" style="72" hidden="1" customWidth="1"/>
    <col min="3" max="3" width="11.8515625" style="72" hidden="1" customWidth="1"/>
    <col min="4" max="4" width="10.57421875" style="72" hidden="1" customWidth="1"/>
    <col min="5" max="5" width="10.140625" style="72" hidden="1" customWidth="1"/>
    <col min="6" max="6" width="12.28125" style="72" hidden="1" customWidth="1"/>
    <col min="7" max="7" width="48.710937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8515625" style="0" customWidth="1"/>
    <col min="34" max="16384" width="9.140625" style="1" customWidth="1"/>
  </cols>
  <sheetData>
    <row r="1" spans="1:12" ht="12.75">
      <c r="A1" s="73"/>
      <c r="B1" s="73"/>
      <c r="C1" s="73"/>
      <c r="D1" s="73"/>
      <c r="F1" s="72" t="s">
        <v>245</v>
      </c>
      <c r="L1" s="72" t="s">
        <v>245</v>
      </c>
    </row>
    <row r="2" spans="1:12" ht="12.75">
      <c r="A2" s="3" t="s">
        <v>1</v>
      </c>
      <c r="B2" s="3"/>
      <c r="C2" s="40"/>
      <c r="D2" s="40"/>
      <c r="E2" s="3"/>
      <c r="G2" s="289" t="s">
        <v>1</v>
      </c>
      <c r="H2" s="289"/>
      <c r="I2" s="289"/>
      <c r="J2" s="289"/>
      <c r="K2" s="289"/>
      <c r="L2" s="289"/>
    </row>
    <row r="3" spans="1:5" ht="12.75">
      <c r="A3" s="3"/>
      <c r="B3" s="3"/>
      <c r="C3" s="40"/>
      <c r="D3" s="40"/>
      <c r="E3" s="3"/>
    </row>
    <row r="4" spans="1:12" ht="18" customHeight="1">
      <c r="A4" s="292" t="s">
        <v>246</v>
      </c>
      <c r="B4" s="292"/>
      <c r="C4" s="292"/>
      <c r="D4" s="292"/>
      <c r="E4" s="292"/>
      <c r="F4" s="292"/>
      <c r="G4" s="292" t="s">
        <v>246</v>
      </c>
      <c r="H4" s="292"/>
      <c r="I4" s="292"/>
      <c r="J4" s="292"/>
      <c r="K4" s="292"/>
      <c r="L4" s="292"/>
    </row>
    <row r="5" spans="1:12" ht="18" customHeight="1">
      <c r="A5" s="292" t="s">
        <v>247</v>
      </c>
      <c r="B5" s="292"/>
      <c r="C5" s="292"/>
      <c r="D5" s="292"/>
      <c r="E5" s="292"/>
      <c r="F5" s="292"/>
      <c r="G5" s="292" t="s">
        <v>247</v>
      </c>
      <c r="H5" s="292"/>
      <c r="I5" s="292"/>
      <c r="J5" s="292"/>
      <c r="K5" s="292"/>
      <c r="L5" s="292"/>
    </row>
    <row r="6" spans="1:12" ht="12.75">
      <c r="A6" s="199"/>
      <c r="B6" s="73"/>
      <c r="C6" s="73"/>
      <c r="D6" s="73"/>
      <c r="F6" s="73" t="s">
        <v>248</v>
      </c>
      <c r="L6" s="73" t="s">
        <v>248</v>
      </c>
    </row>
    <row r="7" spans="1:12" ht="45">
      <c r="A7" s="7" t="s">
        <v>5</v>
      </c>
      <c r="B7" s="7" t="s">
        <v>6</v>
      </c>
      <c r="C7" s="7" t="s">
        <v>128</v>
      </c>
      <c r="D7" s="7" t="s">
        <v>7</v>
      </c>
      <c r="E7" s="7" t="s">
        <v>249</v>
      </c>
      <c r="F7" s="7" t="s">
        <v>130</v>
      </c>
      <c r="G7" s="7" t="s">
        <v>5</v>
      </c>
      <c r="H7" s="7" t="s">
        <v>6</v>
      </c>
      <c r="I7" s="7" t="s">
        <v>250</v>
      </c>
      <c r="J7" s="7" t="s">
        <v>7</v>
      </c>
      <c r="K7" s="7" t="s">
        <v>249</v>
      </c>
      <c r="L7" s="7" t="s">
        <v>130</v>
      </c>
    </row>
    <row r="8" spans="1:12" ht="12.75">
      <c r="A8" s="48">
        <v>1</v>
      </c>
      <c r="B8" s="49">
        <v>2</v>
      </c>
      <c r="C8" s="79">
        <v>3</v>
      </c>
      <c r="D8" s="79">
        <v>4</v>
      </c>
      <c r="E8" s="79">
        <v>5</v>
      </c>
      <c r="F8" s="48">
        <v>6</v>
      </c>
      <c r="G8" s="48">
        <v>1</v>
      </c>
      <c r="H8" s="49">
        <v>2</v>
      </c>
      <c r="I8" s="79">
        <v>3</v>
      </c>
      <c r="J8" s="79">
        <v>4</v>
      </c>
      <c r="K8" s="79">
        <v>5</v>
      </c>
      <c r="L8" s="48">
        <v>6</v>
      </c>
    </row>
    <row r="9" spans="1:33" s="72" customFormat="1" ht="21" customHeight="1">
      <c r="A9" s="9" t="s">
        <v>251</v>
      </c>
      <c r="B9" s="200">
        <f>SUM(B19+B24+B30+B36+B42+B47+B55+B61+B72+B79+B87+B97+B104+B111+B116+B173+B184+B192+B198+B204+B211)-2600000</f>
        <v>766212969</v>
      </c>
      <c r="C9" s="88">
        <f>SUM(C19+C24+C30+C36+C42+C47+C55+C61+C72+C79+C87+C97+C104+C111+C116+C173+C184+C192+C198+C204+C211)-936000</f>
        <v>497520382</v>
      </c>
      <c r="D9" s="88">
        <f>SUM(D19+D24+D30+D36+D42+D47+D55+D61+D72+D79+D87+D97+D104+D111+D116+D173+D184+D192+D198+D204+D211)-393588</f>
        <v>456100125</v>
      </c>
      <c r="E9" s="11">
        <f>IF(ISERROR(D9/B9)," ",(D9/B9))</f>
        <v>0.5952654724642229</v>
      </c>
      <c r="F9" s="88">
        <f>SUM(F19+F24+F30+F36+F42+F47+F55+F61+F72+F79+F87+F97+F104+F111+F116+F173+F184+F192+F198+F204+F211)-393588</f>
        <v>60343569</v>
      </c>
      <c r="G9" s="9" t="s">
        <v>251</v>
      </c>
      <c r="H9" s="200">
        <f>SUM(H19+H24+H30+H36+H42+H47+H55+H61+H72+H79+H87+H97+H104+H111+H116+H173+H184+H192+H198+H204+H211)-2600</f>
        <v>766212</v>
      </c>
      <c r="I9" s="200">
        <f>SUM(I19+I24+I30+I36+I42+I47+I55+I61+I72+I79+I87+I97+I104+I111+I116+I173+I184+I192+I198+I204+I211)-936</f>
        <v>497521</v>
      </c>
      <c r="J9" s="200">
        <f>SUM(J19+J24+J30+J36+J42+J47+J55+J61+J72+J79+J87+J97+J104+J111+J116+J173+J184+J192+J198+J204+J211)-394</f>
        <v>456100</v>
      </c>
      <c r="K9" s="13">
        <f>IF(ISERROR(ROUND(J9,0)/ROUND(H9,0))," ",(ROUND(J9,)/ROUND(H9,)))</f>
        <v>0.5952660621342396</v>
      </c>
      <c r="L9" s="200">
        <f>SUM(L19+L24+L30+L36+L42+L47+L55+L61+L72+L79+L87+L97+L104+L111+L116+L173+L184+L192+L198+L204+L211)-393</f>
        <v>60343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72" customFormat="1" ht="28.5" customHeight="1">
      <c r="A10" s="9" t="s">
        <v>101</v>
      </c>
      <c r="B10" s="88">
        <f>B11+B12</f>
        <v>858962243</v>
      </c>
      <c r="C10" s="88">
        <f>C11+C12</f>
        <v>556594873</v>
      </c>
      <c r="D10" s="88">
        <f>D11+D12</f>
        <v>516085511</v>
      </c>
      <c r="E10" s="203">
        <f aca="true" t="shared" si="0" ref="E10:E73">IF(ISERROR(D10/B10)," ",(D10/B10))</f>
        <v>0.6008244427572587</v>
      </c>
      <c r="F10" s="88">
        <f>F11+F12</f>
        <v>69695170</v>
      </c>
      <c r="G10" s="9" t="s">
        <v>101</v>
      </c>
      <c r="H10" s="200">
        <f>H11+H12</f>
        <v>858962</v>
      </c>
      <c r="I10" s="200">
        <f>I11+I12</f>
        <v>556595</v>
      </c>
      <c r="J10" s="200">
        <f>J11+J12</f>
        <v>516085</v>
      </c>
      <c r="K10" s="13">
        <f aca="true" t="shared" si="1" ref="K10:K73">IF(ISERROR(ROUND(J10,0)/ROUND(H10,0))," ",(ROUND(J10,)/ROUND(H10,)))</f>
        <v>0.6008240178261669</v>
      </c>
      <c r="L10" s="200">
        <f>L11+L12</f>
        <v>69694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12" ht="12.75">
      <c r="A11" s="55" t="s">
        <v>252</v>
      </c>
      <c r="B11" s="96">
        <f>SUM(B21+B26+B34+B40+B45+B51+B58+B64+B76+B83+B92+B101+B108+B121+B178+B189+B194+B202+B208+B214)-2600000</f>
        <v>809221988</v>
      </c>
      <c r="C11" s="96">
        <f>SUM(C21+C26+C34+C40+C45+C51+C58+C64+C76+C83+C92+C101+C108+C121+C178+C189+C194+C202+C208+C214)-936000</f>
        <v>519361075</v>
      </c>
      <c r="D11" s="96">
        <f>SUM(D21+D26+D34+D40+D45+D51+D58+D64+D76+D83+D92+D101+D108+D121+D178+D189+D194+D202+D208+D214)-394000</f>
        <v>486277801</v>
      </c>
      <c r="E11" s="204">
        <f t="shared" si="0"/>
        <v>0.6009201531978144</v>
      </c>
      <c r="F11" s="96">
        <f>SUM(F21+F26+F34+F40+F45+F51+F58+F64+F76+F83+F92+F101+F108+F121+F178+F189+F194+F202+F208+F214)-393588</f>
        <v>62852556</v>
      </c>
      <c r="G11" s="55" t="s">
        <v>252</v>
      </c>
      <c r="H11" s="18">
        <f>ROUND(B11/1000,0)</f>
        <v>809222</v>
      </c>
      <c r="I11" s="96">
        <f>SUM(I21+I26+I34+I40+I45+I51+I58+I64+I76+I83+I92+I101+I108+I121+I178+I189+I194+I202+I208+I214)-936</f>
        <v>519361</v>
      </c>
      <c r="J11" s="96">
        <f>SUM(J21+J26+J34+J40+J45+J51+J58+J64+J76+J83+J92+J101+J108+J121+J178+J189+J194+J202+J208+J214)-394</f>
        <v>486277</v>
      </c>
      <c r="K11" s="20">
        <f t="shared" si="1"/>
        <v>0.600919154447111</v>
      </c>
      <c r="L11" s="96">
        <f>SUM(L21+L26+L34+L40+L45+L51+L58+L64+L76+L83+L92+L101+L108+L121+L178+L189+L194+L202+L208+L214)-394</f>
        <v>62851</v>
      </c>
    </row>
    <row r="12" spans="1:12" ht="12.75">
      <c r="A12" s="55" t="s">
        <v>253</v>
      </c>
      <c r="B12" s="96">
        <f>SUM(B27+B52+B59+B65+B77+B84+B93+B102+B109+B113+B122+B179+B190+B195+B209+B215)</f>
        <v>49740255</v>
      </c>
      <c r="C12" s="96">
        <f>SUM(C27+C52+C59+C65+C77+C84+C93+C102+C109+C113+C122+C179+C190+C195+C209+C215)</f>
        <v>37233798</v>
      </c>
      <c r="D12" s="96">
        <f>SUM(D27+D52+D59+D65+D77+D84+D93+D102+D109+D113+D122+D179+D190+D195+D209+D215)</f>
        <v>29807710</v>
      </c>
      <c r="E12" s="204">
        <f t="shared" si="0"/>
        <v>0.5992673338727355</v>
      </c>
      <c r="F12" s="96">
        <f>SUM(F27+F52+F59+F65+F77+F84+F93+F102+F109+F113+F122+F179+F190+F195+F209+F215)</f>
        <v>6842614</v>
      </c>
      <c r="G12" s="55" t="s">
        <v>253</v>
      </c>
      <c r="H12" s="18">
        <f>ROUND(B12/1000,0)</f>
        <v>49740</v>
      </c>
      <c r="I12" s="96">
        <f>SUM(I27+I52+I59+I65+I77+I84+I93+I102+I109+I113+I122+I179+I190+I195+I209+I215)</f>
        <v>37234</v>
      </c>
      <c r="J12" s="96">
        <f>SUM(J27+J52+J59+J65+J77+J84+J93+J102+J109+J113+J122+J179+J190+J195+J209+J215)</f>
        <v>29808</v>
      </c>
      <c r="K12" s="20">
        <f t="shared" si="1"/>
        <v>0.5992762364294331</v>
      </c>
      <c r="L12" s="96">
        <f>SUM(L27+L52+L59+L65+L77+L84+L93+L102+L109+L113+L122+L179+L190+L195+L209+L215)</f>
        <v>6843</v>
      </c>
    </row>
    <row r="13" spans="1:33" s="206" customFormat="1" ht="18.75" customHeight="1">
      <c r="A13" s="9" t="s">
        <v>254</v>
      </c>
      <c r="B13" s="88">
        <f aca="true" t="shared" si="2" ref="B13:D14">SUM(B66)</f>
        <v>3756000</v>
      </c>
      <c r="C13" s="88">
        <f t="shared" si="2"/>
        <v>1830069</v>
      </c>
      <c r="D13" s="88">
        <f t="shared" si="2"/>
        <v>1492639</v>
      </c>
      <c r="E13" s="203">
        <f t="shared" si="0"/>
        <v>0.39740122470713524</v>
      </c>
      <c r="F13" s="88">
        <f>SUM(F66)</f>
        <v>0</v>
      </c>
      <c r="G13" s="9" t="s">
        <v>254</v>
      </c>
      <c r="H13" s="200">
        <f aca="true" t="shared" si="3" ref="H13:J14">SUM(H66)</f>
        <v>3756</v>
      </c>
      <c r="I13" s="200">
        <f t="shared" si="3"/>
        <v>1830</v>
      </c>
      <c r="J13" s="200">
        <f t="shared" si="3"/>
        <v>1493</v>
      </c>
      <c r="K13" s="13">
        <f t="shared" si="1"/>
        <v>0.39749733759318423</v>
      </c>
      <c r="L13" s="200">
        <f>SUM(L66)</f>
        <v>0</v>
      </c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</row>
    <row r="14" spans="1:33" s="206" customFormat="1" ht="16.5" customHeight="1">
      <c r="A14" s="9" t="s">
        <v>255</v>
      </c>
      <c r="B14" s="88">
        <f t="shared" si="2"/>
        <v>5250</v>
      </c>
      <c r="C14" s="88">
        <f t="shared" si="2"/>
        <v>0</v>
      </c>
      <c r="D14" s="88">
        <f t="shared" si="2"/>
        <v>1324</v>
      </c>
      <c r="E14" s="203">
        <f t="shared" si="0"/>
        <v>0.2521904761904762</v>
      </c>
      <c r="F14" s="88">
        <f>SUM(F67)</f>
        <v>1324</v>
      </c>
      <c r="G14" s="9" t="s">
        <v>255</v>
      </c>
      <c r="H14" s="200">
        <f t="shared" si="3"/>
        <v>5</v>
      </c>
      <c r="I14" s="200">
        <f t="shared" si="3"/>
        <v>0</v>
      </c>
      <c r="J14" s="200">
        <f t="shared" si="3"/>
        <v>1</v>
      </c>
      <c r="K14" s="13">
        <f t="shared" si="1"/>
        <v>0.2</v>
      </c>
      <c r="L14" s="200">
        <f>SUM(L67)</f>
        <v>1</v>
      </c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</row>
    <row r="15" spans="1:33" s="206" customFormat="1" ht="16.5" customHeight="1">
      <c r="A15" s="9" t="s">
        <v>256</v>
      </c>
      <c r="B15" s="88">
        <f>B9-B10-B13+B14</f>
        <v>-96500024</v>
      </c>
      <c r="C15" s="88">
        <f>C9-C10-C13+C14</f>
        <v>-60904560</v>
      </c>
      <c r="D15" s="88">
        <f>D9-D10-D13+D14</f>
        <v>-61476701</v>
      </c>
      <c r="E15" s="203">
        <f t="shared" si="0"/>
        <v>0.637064100626545</v>
      </c>
      <c r="F15" s="88">
        <f>F9-F10-F13+F14</f>
        <v>-9350277</v>
      </c>
      <c r="G15" s="9" t="s">
        <v>256</v>
      </c>
      <c r="H15" s="88">
        <f>H9-H10-H13+H14</f>
        <v>-96501</v>
      </c>
      <c r="I15" s="89">
        <f>I9-I10-I13+I14</f>
        <v>-60904</v>
      </c>
      <c r="J15" s="89">
        <f>J9-J10-J13+J14</f>
        <v>-61477</v>
      </c>
      <c r="K15" s="13">
        <f t="shared" si="1"/>
        <v>0.6370607558470897</v>
      </c>
      <c r="L15" s="89">
        <f>L9-L10-L13+L14</f>
        <v>-9350</v>
      </c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</row>
    <row r="16" spans="1:33" s="206" customFormat="1" ht="12.75">
      <c r="A16" s="110" t="s">
        <v>243</v>
      </c>
      <c r="B16" s="88">
        <f>SUM(B69+B95+B124+B181+B217)</f>
        <v>79270566</v>
      </c>
      <c r="C16" s="88">
        <f>SUM(C69+C95+C124+C181+C217)</f>
        <v>0</v>
      </c>
      <c r="D16" s="88">
        <f>SUM(D69+D95+D124+D181+D217)</f>
        <v>43083400</v>
      </c>
      <c r="E16" s="203">
        <f t="shared" si="0"/>
        <v>0.5434980746826004</v>
      </c>
      <c r="F16" s="88">
        <f>SUM(F69+F95+F124+F181+F217)</f>
        <v>8352111</v>
      </c>
      <c r="G16" s="110" t="s">
        <v>243</v>
      </c>
      <c r="H16" s="88">
        <f>SUM(H69+H95+H124+H181+H217)</f>
        <v>79270</v>
      </c>
      <c r="I16" s="200">
        <f>SUM(I69+I95+I124+I181+I217)</f>
        <v>18219</v>
      </c>
      <c r="J16" s="200">
        <f>SUM(J69+J95+J124+J181+J217)</f>
        <v>43083</v>
      </c>
      <c r="K16" s="13">
        <f t="shared" si="1"/>
        <v>0.5434969092973382</v>
      </c>
      <c r="L16" s="200">
        <f>SUM(L69+L95+L124+L181+L217)</f>
        <v>8395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</row>
    <row r="17" spans="1:12" ht="15" customHeight="1">
      <c r="A17" s="9" t="s">
        <v>257</v>
      </c>
      <c r="B17" s="88"/>
      <c r="C17" s="88"/>
      <c r="D17" s="88"/>
      <c r="E17" s="203" t="str">
        <f t="shared" si="0"/>
        <v> </v>
      </c>
      <c r="F17" s="88"/>
      <c r="G17" s="9" t="s">
        <v>257</v>
      </c>
      <c r="H17" s="164"/>
      <c r="I17" s="164"/>
      <c r="J17" s="164"/>
      <c r="K17" s="16"/>
      <c r="L17" s="164"/>
    </row>
    <row r="18" spans="1:12" ht="12.75">
      <c r="A18" s="207" t="s">
        <v>258</v>
      </c>
      <c r="B18" s="96"/>
      <c r="C18" s="96"/>
      <c r="D18" s="96"/>
      <c r="E18" s="203" t="str">
        <f t="shared" si="0"/>
        <v> </v>
      </c>
      <c r="F18" s="96"/>
      <c r="G18" s="207" t="s">
        <v>258</v>
      </c>
      <c r="H18" s="180"/>
      <c r="I18" s="180"/>
      <c r="J18" s="180"/>
      <c r="K18" s="16"/>
      <c r="L18" s="180"/>
    </row>
    <row r="19" spans="1:12" ht="12.75">
      <c r="A19" s="60" t="s">
        <v>259</v>
      </c>
      <c r="B19" s="96">
        <v>44790000</v>
      </c>
      <c r="C19" s="96">
        <v>4349000</v>
      </c>
      <c r="D19" s="96">
        <v>3823940</v>
      </c>
      <c r="E19" s="204">
        <f t="shared" si="0"/>
        <v>0.0853748604599241</v>
      </c>
      <c r="F19" s="96">
        <f>D19-'[4]Jūlijs'!D19</f>
        <v>-33366</v>
      </c>
      <c r="G19" s="60" t="s">
        <v>259</v>
      </c>
      <c r="H19" s="18">
        <f>ROUND(B19/1000,0)</f>
        <v>44790</v>
      </c>
      <c r="I19" s="18">
        <f>ROUND(C19/1000,0)</f>
        <v>4349</v>
      </c>
      <c r="J19" s="18">
        <f>ROUND(D19/1000,0)</f>
        <v>3824</v>
      </c>
      <c r="K19" s="20">
        <f t="shared" si="1"/>
        <v>0.08537620004465282</v>
      </c>
      <c r="L19" s="18">
        <f>ROUND(F19/1000,0)</f>
        <v>-33</v>
      </c>
    </row>
    <row r="20" spans="1:12" ht="12.75">
      <c r="A20" s="60" t="s">
        <v>260</v>
      </c>
      <c r="B20" s="96">
        <f>B21</f>
        <v>45451869</v>
      </c>
      <c r="C20" s="96">
        <f>C21</f>
        <v>4341000</v>
      </c>
      <c r="D20" s="96">
        <f>D21</f>
        <v>4293000</v>
      </c>
      <c r="E20" s="204">
        <f t="shared" si="0"/>
        <v>0.09445156149684406</v>
      </c>
      <c r="F20" s="96">
        <f>F21</f>
        <v>0</v>
      </c>
      <c r="G20" s="60" t="s">
        <v>260</v>
      </c>
      <c r="H20" s="18">
        <f>ROUND(B20/1000,0)</f>
        <v>45452</v>
      </c>
      <c r="I20" s="96">
        <f>I21</f>
        <v>4341</v>
      </c>
      <c r="J20" s="96">
        <f>J21</f>
        <v>4293</v>
      </c>
      <c r="K20" s="20">
        <f t="shared" si="1"/>
        <v>0.09445128927219924</v>
      </c>
      <c r="L20" s="180">
        <f>L21</f>
        <v>0</v>
      </c>
    </row>
    <row r="21" spans="1:12" ht="12.75">
      <c r="A21" s="60" t="s">
        <v>252</v>
      </c>
      <c r="B21" s="96">
        <v>45451869</v>
      </c>
      <c r="C21" s="6">
        <v>4341000</v>
      </c>
      <c r="D21" s="6">
        <v>4293000</v>
      </c>
      <c r="E21" s="204">
        <f>IF(ISERROR(D20/B21)," ",(D20/B21))</f>
        <v>0.09445156149684406</v>
      </c>
      <c r="F21" s="96">
        <f>D21-'[4]Jūlijs'!D21</f>
        <v>0</v>
      </c>
      <c r="G21" s="60" t="s">
        <v>252</v>
      </c>
      <c r="H21" s="18">
        <f>ROUND(B21/1000,0)</f>
        <v>45452</v>
      </c>
      <c r="I21" s="18">
        <f>ROUND(C21/1000,0)</f>
        <v>4341</v>
      </c>
      <c r="J21" s="18">
        <f>ROUND(D21/1000,0)</f>
        <v>4293</v>
      </c>
      <c r="K21" s="20">
        <f t="shared" si="1"/>
        <v>0.09445128927219924</v>
      </c>
      <c r="L21" s="18">
        <f>J21-'[4]Jūlijs'!J21</f>
        <v>0</v>
      </c>
    </row>
    <row r="22" spans="1:12" ht="12.75">
      <c r="A22" s="208" t="s">
        <v>261</v>
      </c>
      <c r="B22" s="96">
        <v>38313869</v>
      </c>
      <c r="C22" s="96"/>
      <c r="D22" s="96">
        <v>3512000</v>
      </c>
      <c r="E22" s="204">
        <f t="shared" si="0"/>
        <v>0.09166393506226166</v>
      </c>
      <c r="F22" s="96">
        <f>D22-'[4]Jūlijs'!D22</f>
        <v>0</v>
      </c>
      <c r="G22" s="208" t="s">
        <v>261</v>
      </c>
      <c r="H22" s="26">
        <f>ROUND(B22/1000,0)</f>
        <v>38314</v>
      </c>
      <c r="I22" s="26">
        <f>ROUND(C22/1000,0)</f>
        <v>0</v>
      </c>
      <c r="J22" s="26">
        <f>ROUND(D22/1000,0)</f>
        <v>3512</v>
      </c>
      <c r="K22" s="27">
        <f t="shared" si="1"/>
        <v>0.09166362165265961</v>
      </c>
      <c r="L22" s="26">
        <f>J22-'[4]Jūlijs'!J22</f>
        <v>0</v>
      </c>
    </row>
    <row r="23" spans="1:12" ht="12.75">
      <c r="A23" s="207" t="s">
        <v>262</v>
      </c>
      <c r="B23" s="96"/>
      <c r="C23" s="96"/>
      <c r="D23" s="96"/>
      <c r="E23" s="204" t="str">
        <f t="shared" si="0"/>
        <v> </v>
      </c>
      <c r="F23" s="96"/>
      <c r="G23" s="207" t="s">
        <v>262</v>
      </c>
      <c r="H23" s="180"/>
      <c r="I23" s="180"/>
      <c r="J23" s="180"/>
      <c r="K23" s="20"/>
      <c r="L23" s="180"/>
    </row>
    <row r="24" spans="1:12" ht="12.75">
      <c r="A24" s="60" t="s">
        <v>259</v>
      </c>
      <c r="B24" s="96">
        <v>3307500</v>
      </c>
      <c r="C24" s="96">
        <v>2187500</v>
      </c>
      <c r="D24" s="96">
        <v>1747594</v>
      </c>
      <c r="E24" s="204">
        <f t="shared" si="0"/>
        <v>0.5283730914588057</v>
      </c>
      <c r="F24" s="96">
        <f>D24-'[4]Jūlijs'!D24</f>
        <v>341051</v>
      </c>
      <c r="G24" s="60" t="s">
        <v>259</v>
      </c>
      <c r="H24" s="18">
        <f>ROUND(B24/1000,0)-1</f>
        <v>3307</v>
      </c>
      <c r="I24" s="18">
        <f>ROUND(C24/1000,0)-1</f>
        <v>2187</v>
      </c>
      <c r="J24" s="18">
        <f>ROUND(D24/1000,0)</f>
        <v>1748</v>
      </c>
      <c r="K24" s="20">
        <f t="shared" si="1"/>
        <v>0.5285757484124585</v>
      </c>
      <c r="L24" s="18">
        <f>J24-'[4]Jūlijs'!J24</f>
        <v>342</v>
      </c>
    </row>
    <row r="25" spans="1:12" ht="12.75">
      <c r="A25" s="60" t="s">
        <v>260</v>
      </c>
      <c r="B25" s="96">
        <f>B26+B27</f>
        <v>2607500</v>
      </c>
      <c r="C25" s="96">
        <f>C26+C27</f>
        <v>2187500</v>
      </c>
      <c r="D25" s="96">
        <f>D26+D27</f>
        <v>1515223</v>
      </c>
      <c r="E25" s="204">
        <f t="shared" si="0"/>
        <v>0.5811018216682646</v>
      </c>
      <c r="F25" s="96">
        <f>F26+F27</f>
        <v>163374</v>
      </c>
      <c r="G25" s="60" t="s">
        <v>260</v>
      </c>
      <c r="H25" s="180">
        <f>H26+H27</f>
        <v>2608</v>
      </c>
      <c r="I25" s="180">
        <f>I26+I27</f>
        <v>2188</v>
      </c>
      <c r="J25" s="180">
        <f>J26+J27</f>
        <v>1515</v>
      </c>
      <c r="K25" s="20">
        <f t="shared" si="1"/>
        <v>0.5809049079754601</v>
      </c>
      <c r="L25" s="180">
        <f>L26+L27</f>
        <v>163</v>
      </c>
    </row>
    <row r="26" spans="1:12" ht="12.75">
      <c r="A26" s="60" t="s">
        <v>252</v>
      </c>
      <c r="B26" s="96">
        <v>2521500</v>
      </c>
      <c r="C26" s="96">
        <v>1979500</v>
      </c>
      <c r="D26" s="96">
        <v>1471908</v>
      </c>
      <c r="E26" s="204">
        <f t="shared" si="0"/>
        <v>0.583743010113028</v>
      </c>
      <c r="F26" s="96">
        <f>D26-'[4]Jūlijs'!D26</f>
        <v>163245</v>
      </c>
      <c r="G26" s="60" t="s">
        <v>252</v>
      </c>
      <c r="H26" s="18">
        <f aca="true" t="shared" si="4" ref="H26:J27">ROUND(B26/1000,0)</f>
        <v>2522</v>
      </c>
      <c r="I26" s="18">
        <f t="shared" si="4"/>
        <v>1980</v>
      </c>
      <c r="J26" s="18">
        <f t="shared" si="4"/>
        <v>1472</v>
      </c>
      <c r="K26" s="20">
        <f t="shared" si="1"/>
        <v>0.5836637589214909</v>
      </c>
      <c r="L26" s="18">
        <f>J26-'[4]Jūlijs'!J26</f>
        <v>163</v>
      </c>
    </row>
    <row r="27" spans="1:12" ht="12.75">
      <c r="A27" s="60" t="s">
        <v>253</v>
      </c>
      <c r="B27" s="96">
        <v>86000</v>
      </c>
      <c r="C27" s="96">
        <v>208000</v>
      </c>
      <c r="D27" s="96">
        <v>43315</v>
      </c>
      <c r="E27" s="204">
        <f t="shared" si="0"/>
        <v>0.5036627906976744</v>
      </c>
      <c r="F27" s="96">
        <f>D27-'[4]Jūlijs'!D27</f>
        <v>129</v>
      </c>
      <c r="G27" s="60" t="s">
        <v>253</v>
      </c>
      <c r="H27" s="18">
        <f t="shared" si="4"/>
        <v>86</v>
      </c>
      <c r="I27" s="18">
        <f t="shared" si="4"/>
        <v>208</v>
      </c>
      <c r="J27" s="18">
        <f t="shared" si="4"/>
        <v>43</v>
      </c>
      <c r="K27" s="20">
        <f t="shared" si="1"/>
        <v>0.5</v>
      </c>
      <c r="L27" s="18">
        <f>J27-'[4]Jūlijs'!J27</f>
        <v>0</v>
      </c>
    </row>
    <row r="28" spans="1:12" ht="15" customHeight="1">
      <c r="A28" s="9" t="s">
        <v>263</v>
      </c>
      <c r="B28" s="88"/>
      <c r="C28" s="88"/>
      <c r="D28" s="88"/>
      <c r="E28" s="204" t="str">
        <f t="shared" si="0"/>
        <v> </v>
      </c>
      <c r="F28" s="88"/>
      <c r="G28" s="9" t="s">
        <v>263</v>
      </c>
      <c r="H28" s="164"/>
      <c r="I28" s="164"/>
      <c r="J28" s="164"/>
      <c r="K28" s="20"/>
      <c r="L28" s="164"/>
    </row>
    <row r="29" spans="1:12" ht="27.75" customHeight="1">
      <c r="A29" s="209" t="s">
        <v>264</v>
      </c>
      <c r="B29" s="96"/>
      <c r="C29" s="96"/>
      <c r="D29" s="96"/>
      <c r="E29" s="204" t="str">
        <f t="shared" si="0"/>
        <v> </v>
      </c>
      <c r="F29" s="96"/>
      <c r="G29" s="209" t="s">
        <v>264</v>
      </c>
      <c r="H29" s="180"/>
      <c r="I29" s="180"/>
      <c r="J29" s="180"/>
      <c r="K29" s="20"/>
      <c r="L29" s="180"/>
    </row>
    <row r="30" spans="1:12" ht="12.75">
      <c r="A30" s="60" t="s">
        <v>259</v>
      </c>
      <c r="B30" s="96">
        <f>B31+B32</f>
        <v>1764000</v>
      </c>
      <c r="C30" s="96">
        <f>146629+146629+146629+140100+140000+144000+144300+144000</f>
        <v>1152287</v>
      </c>
      <c r="D30" s="96">
        <f>D31+D32</f>
        <v>1635779</v>
      </c>
      <c r="E30" s="204">
        <f t="shared" si="0"/>
        <v>0.927312358276644</v>
      </c>
      <c r="F30" s="96">
        <f>F31+F32</f>
        <v>-296772</v>
      </c>
      <c r="G30" s="60" t="s">
        <v>259</v>
      </c>
      <c r="H30" s="180">
        <f>H31+H32</f>
        <v>1764</v>
      </c>
      <c r="I30" s="18">
        <f>ROUND(C30/1000,0)</f>
        <v>1152</v>
      </c>
      <c r="J30" s="180">
        <f>J31+J32</f>
        <v>1636</v>
      </c>
      <c r="K30" s="20">
        <f t="shared" si="1"/>
        <v>0.927437641723356</v>
      </c>
      <c r="L30" s="180">
        <f>L31+L32</f>
        <v>-296</v>
      </c>
    </row>
    <row r="31" spans="1:12" ht="12.75">
      <c r="A31" s="63" t="s">
        <v>265</v>
      </c>
      <c r="B31" s="96">
        <v>1550000</v>
      </c>
      <c r="C31" s="96"/>
      <c r="D31" s="96">
        <v>1420557</v>
      </c>
      <c r="E31" s="204">
        <f t="shared" si="0"/>
        <v>0.9164883870967742</v>
      </c>
      <c r="F31" s="96">
        <f>D31-'[4]Jūlijs'!D31</f>
        <v>-318777</v>
      </c>
      <c r="G31" s="63" t="s">
        <v>265</v>
      </c>
      <c r="H31" s="18">
        <f>ROUND(B31/1000,0)</f>
        <v>1550</v>
      </c>
      <c r="I31" s="18">
        <f>ROUND(C31/1000,0)</f>
        <v>0</v>
      </c>
      <c r="J31" s="18">
        <f>ROUND(D31/1000,0)</f>
        <v>1421</v>
      </c>
      <c r="K31" s="20">
        <f t="shared" si="1"/>
        <v>0.9167741935483871</v>
      </c>
      <c r="L31" s="18">
        <f>J31-'[4]Jūlijs'!J31</f>
        <v>-318</v>
      </c>
    </row>
    <row r="32" spans="1:12" ht="12.75">
      <c r="A32" s="210" t="s">
        <v>266</v>
      </c>
      <c r="B32" s="96">
        <v>214000</v>
      </c>
      <c r="C32" s="96"/>
      <c r="D32" s="96">
        <v>215222</v>
      </c>
      <c r="E32" s="204">
        <f t="shared" si="0"/>
        <v>1.0057102803738318</v>
      </c>
      <c r="F32" s="96">
        <f>D32-'[4]Jūlijs'!D32</f>
        <v>22005</v>
      </c>
      <c r="G32" s="210" t="s">
        <v>266</v>
      </c>
      <c r="H32" s="18">
        <f>ROUND(B32/1000,0)</f>
        <v>214</v>
      </c>
      <c r="I32" s="18">
        <f>ROUND(C32/1000,0)</f>
        <v>0</v>
      </c>
      <c r="J32" s="18">
        <f>ROUND(D32/1000,0)</f>
        <v>215</v>
      </c>
      <c r="K32" s="20">
        <f t="shared" si="1"/>
        <v>1.0046728971962617</v>
      </c>
      <c r="L32" s="18">
        <f>J32-'[4]Jūlijs'!J32</f>
        <v>22</v>
      </c>
    </row>
    <row r="33" spans="1:12" ht="12.75">
      <c r="A33" s="60" t="s">
        <v>260</v>
      </c>
      <c r="B33" s="96">
        <v>764000</v>
      </c>
      <c r="C33" s="96">
        <f>C34</f>
        <v>1152287</v>
      </c>
      <c r="D33" s="96">
        <f>D34</f>
        <v>413773</v>
      </c>
      <c r="E33" s="204">
        <f t="shared" si="0"/>
        <v>0.5415876963350785</v>
      </c>
      <c r="F33" s="96">
        <f>F34</f>
        <v>51573</v>
      </c>
      <c r="G33" s="60" t="s">
        <v>260</v>
      </c>
      <c r="H33" s="180">
        <f>H34</f>
        <v>764</v>
      </c>
      <c r="I33" s="180">
        <f>I34</f>
        <v>1152</v>
      </c>
      <c r="J33" s="180">
        <f>J34</f>
        <v>414</v>
      </c>
      <c r="K33" s="20">
        <f t="shared" si="1"/>
        <v>0.5418848167539267</v>
      </c>
      <c r="L33" s="180">
        <f>L34</f>
        <v>52</v>
      </c>
    </row>
    <row r="34" spans="1:12" ht="12.75">
      <c r="A34" s="60" t="s">
        <v>252</v>
      </c>
      <c r="B34" s="96">
        <v>764000</v>
      </c>
      <c r="C34" s="96">
        <f>146629+146629+146629+140100+140000+144000+144300+144000</f>
        <v>1152287</v>
      </c>
      <c r="D34" s="96">
        <v>413773</v>
      </c>
      <c r="E34" s="204">
        <f t="shared" si="0"/>
        <v>0.5415876963350785</v>
      </c>
      <c r="F34" s="96">
        <f>D34-'[4]Jūlijs'!D34</f>
        <v>51573</v>
      </c>
      <c r="G34" s="60" t="s">
        <v>252</v>
      </c>
      <c r="H34" s="18">
        <f>ROUND(B34/1000,0)</f>
        <v>764</v>
      </c>
      <c r="I34" s="18">
        <f>ROUND(C34/1000,0)</f>
        <v>1152</v>
      </c>
      <c r="J34" s="18">
        <f>ROUND(D34/1000,0)</f>
        <v>414</v>
      </c>
      <c r="K34" s="20">
        <f t="shared" si="1"/>
        <v>0.5418848167539267</v>
      </c>
      <c r="L34" s="18">
        <f>J34-'[4]Jūlijs'!J34</f>
        <v>52</v>
      </c>
    </row>
    <row r="35" spans="1:12" ht="24.75" customHeight="1">
      <c r="A35" s="209" t="s">
        <v>267</v>
      </c>
      <c r="B35" s="96"/>
      <c r="C35" s="96"/>
      <c r="D35" s="96"/>
      <c r="E35" s="204" t="str">
        <f t="shared" si="0"/>
        <v> </v>
      </c>
      <c r="F35" s="96"/>
      <c r="G35" s="209" t="s">
        <v>267</v>
      </c>
      <c r="H35" s="180"/>
      <c r="I35" s="180"/>
      <c r="J35" s="180"/>
      <c r="K35" s="20"/>
      <c r="L35" s="180"/>
    </row>
    <row r="36" spans="1:12" ht="12.75">
      <c r="A36" s="60" t="s">
        <v>259</v>
      </c>
      <c r="B36" s="96">
        <f>B37+B38</f>
        <v>147000</v>
      </c>
      <c r="C36" s="96">
        <f>68180+36700</f>
        <v>104880</v>
      </c>
      <c r="D36" s="96">
        <f>D37+D38</f>
        <v>84189</v>
      </c>
      <c r="E36" s="204">
        <f t="shared" si="0"/>
        <v>0.5727142857142857</v>
      </c>
      <c r="F36" s="96">
        <f>F37+F38</f>
        <v>-65600</v>
      </c>
      <c r="G36" s="60" t="s">
        <v>259</v>
      </c>
      <c r="H36" s="180">
        <f>H37+H38</f>
        <v>147</v>
      </c>
      <c r="I36" s="18">
        <f>ROUND(C36/1000,0)</f>
        <v>105</v>
      </c>
      <c r="J36" s="180">
        <f>J37+J38</f>
        <v>84</v>
      </c>
      <c r="K36" s="20">
        <f t="shared" si="1"/>
        <v>0.5714285714285714</v>
      </c>
      <c r="L36" s="180">
        <f>L37+L38</f>
        <v>-66</v>
      </c>
    </row>
    <row r="37" spans="1:12" ht="12.75">
      <c r="A37" s="63" t="s">
        <v>268</v>
      </c>
      <c r="B37" s="96">
        <v>147000</v>
      </c>
      <c r="C37" s="96"/>
      <c r="D37" s="96">
        <v>84189</v>
      </c>
      <c r="E37" s="204">
        <f t="shared" si="0"/>
        <v>0.5727142857142857</v>
      </c>
      <c r="F37" s="96">
        <f>D37-'[4]Jūlijs'!D37</f>
        <v>-65600</v>
      </c>
      <c r="G37" s="63" t="s">
        <v>268</v>
      </c>
      <c r="H37" s="18">
        <f>ROUND(B37/1000,0)</f>
        <v>147</v>
      </c>
      <c r="I37" s="18">
        <f>ROUND(C37/1000,0)</f>
        <v>0</v>
      </c>
      <c r="J37" s="18">
        <f>ROUND(D37/1000,0)</f>
        <v>84</v>
      </c>
      <c r="K37" s="20">
        <f t="shared" si="1"/>
        <v>0.5714285714285714</v>
      </c>
      <c r="L37" s="18">
        <f>J37-'[4]Jūlijs'!J37</f>
        <v>-66</v>
      </c>
    </row>
    <row r="38" spans="1:12" ht="12.75">
      <c r="A38" s="63" t="s">
        <v>266</v>
      </c>
      <c r="B38" s="96"/>
      <c r="C38" s="96"/>
      <c r="D38" s="96"/>
      <c r="E38" s="204" t="str">
        <f t="shared" si="0"/>
        <v> </v>
      </c>
      <c r="F38" s="96">
        <f>D38-'[4]Jūlijs'!D38</f>
        <v>0</v>
      </c>
      <c r="G38" s="63" t="s">
        <v>266</v>
      </c>
      <c r="H38" s="18">
        <f>ROUND(B38/1000,0)</f>
        <v>0</v>
      </c>
      <c r="I38" s="180"/>
      <c r="J38" s="180"/>
      <c r="K38" s="20" t="str">
        <f t="shared" si="1"/>
        <v> </v>
      </c>
      <c r="L38" s="18">
        <f>J38-'[4]Jūlijs'!J38</f>
        <v>0</v>
      </c>
    </row>
    <row r="39" spans="1:12" ht="12.75">
      <c r="A39" s="60" t="s">
        <v>260</v>
      </c>
      <c r="B39" s="96"/>
      <c r="C39" s="96">
        <f>C40</f>
        <v>104880</v>
      </c>
      <c r="D39" s="96">
        <f>D40</f>
        <v>94750</v>
      </c>
      <c r="E39" s="204" t="str">
        <f t="shared" si="0"/>
        <v> </v>
      </c>
      <c r="F39" s="96">
        <f>F40</f>
        <v>94750</v>
      </c>
      <c r="G39" s="60" t="s">
        <v>260</v>
      </c>
      <c r="H39" s="180">
        <f>H40</f>
        <v>0</v>
      </c>
      <c r="I39" s="180">
        <f>I40</f>
        <v>105</v>
      </c>
      <c r="J39" s="180">
        <f>J40</f>
        <v>95</v>
      </c>
      <c r="K39" s="20" t="str">
        <f t="shared" si="1"/>
        <v> </v>
      </c>
      <c r="L39" s="180">
        <f>L40</f>
        <v>95</v>
      </c>
    </row>
    <row r="40" spans="1:12" ht="12.75">
      <c r="A40" s="60" t="s">
        <v>252</v>
      </c>
      <c r="B40" s="96"/>
      <c r="C40" s="96">
        <f>68180+36700</f>
        <v>104880</v>
      </c>
      <c r="D40" s="96">
        <v>94750</v>
      </c>
      <c r="E40" s="204" t="str">
        <f t="shared" si="0"/>
        <v> </v>
      </c>
      <c r="F40" s="96">
        <f>D40-'[4]Jūlijs'!D40</f>
        <v>94750</v>
      </c>
      <c r="G40" s="60" t="s">
        <v>252</v>
      </c>
      <c r="H40" s="18">
        <f>ROUND(B40/1000,0)</f>
        <v>0</v>
      </c>
      <c r="I40" s="18">
        <f>ROUND(C40/1000,0)</f>
        <v>105</v>
      </c>
      <c r="J40" s="18">
        <f>ROUND(D40/1000,0)</f>
        <v>95</v>
      </c>
      <c r="K40" s="20" t="str">
        <f t="shared" si="1"/>
        <v> </v>
      </c>
      <c r="L40" s="18">
        <f>J40-'[4]Jūlijs'!J40</f>
        <v>95</v>
      </c>
    </row>
    <row r="41" spans="1:12" ht="15.75" customHeight="1">
      <c r="A41" s="209" t="s">
        <v>269</v>
      </c>
      <c r="B41" s="96"/>
      <c r="C41" s="96"/>
      <c r="D41" s="96"/>
      <c r="E41" s="204" t="str">
        <f t="shared" si="0"/>
        <v> </v>
      </c>
      <c r="F41" s="96"/>
      <c r="G41" s="209" t="s">
        <v>269</v>
      </c>
      <c r="H41" s="180"/>
      <c r="I41" s="180"/>
      <c r="J41" s="180"/>
      <c r="K41" s="20"/>
      <c r="L41" s="180"/>
    </row>
    <row r="42" spans="1:12" ht="12.75">
      <c r="A42" s="60" t="s">
        <v>259</v>
      </c>
      <c r="B42" s="96">
        <f>B43</f>
        <v>88200</v>
      </c>
      <c r="C42" s="96">
        <f>50000+16450</f>
        <v>66450</v>
      </c>
      <c r="D42" s="96">
        <f>D43</f>
        <v>153068</v>
      </c>
      <c r="E42" s="204">
        <f t="shared" si="0"/>
        <v>1.7354648526077097</v>
      </c>
      <c r="F42" s="96">
        <f>F43</f>
        <v>68879</v>
      </c>
      <c r="G42" s="60" t="s">
        <v>259</v>
      </c>
      <c r="H42" s="180">
        <f>H43</f>
        <v>88</v>
      </c>
      <c r="I42" s="18">
        <f>ROUND(C42/1000,0)</f>
        <v>66</v>
      </c>
      <c r="J42" s="180">
        <f>J43</f>
        <v>153</v>
      </c>
      <c r="K42" s="20">
        <f t="shared" si="1"/>
        <v>1.7386363636363635</v>
      </c>
      <c r="L42" s="180">
        <f>L43</f>
        <v>69</v>
      </c>
    </row>
    <row r="43" spans="1:12" ht="12.75">
      <c r="A43" s="63" t="s">
        <v>268</v>
      </c>
      <c r="B43" s="96">
        <v>88200</v>
      </c>
      <c r="C43" s="96"/>
      <c r="D43" s="96">
        <v>153068</v>
      </c>
      <c r="E43" s="204">
        <f t="shared" si="0"/>
        <v>1.7354648526077097</v>
      </c>
      <c r="F43" s="96">
        <f>D43-'[4]Jūlijs'!D43</f>
        <v>68879</v>
      </c>
      <c r="G43" s="63" t="s">
        <v>268</v>
      </c>
      <c r="H43" s="18">
        <f>ROUND(B43/1000,0)</f>
        <v>88</v>
      </c>
      <c r="I43" s="18">
        <f>ROUND(C43/1000,0)</f>
        <v>0</v>
      </c>
      <c r="J43" s="18">
        <f>ROUND(D43/1000,0)</f>
        <v>153</v>
      </c>
      <c r="K43" s="20">
        <f t="shared" si="1"/>
        <v>1.7386363636363635</v>
      </c>
      <c r="L43" s="18">
        <f>J43-'[4]Jūlijs'!J43</f>
        <v>69</v>
      </c>
    </row>
    <row r="44" spans="1:12" ht="12.75">
      <c r="A44" s="60" t="s">
        <v>260</v>
      </c>
      <c r="B44" s="96">
        <f>B45</f>
        <v>180123</v>
      </c>
      <c r="C44" s="96">
        <f>C45</f>
        <v>158373</v>
      </c>
      <c r="D44" s="96">
        <f>D45</f>
        <v>0</v>
      </c>
      <c r="E44" s="204">
        <f t="shared" si="0"/>
        <v>0</v>
      </c>
      <c r="F44" s="96">
        <f>F45</f>
        <v>-24750</v>
      </c>
      <c r="G44" s="60" t="s">
        <v>260</v>
      </c>
      <c r="H44" s="180">
        <f>H45</f>
        <v>180</v>
      </c>
      <c r="I44" s="180">
        <f>I45</f>
        <v>159</v>
      </c>
      <c r="J44" s="180">
        <f>J45</f>
        <v>0</v>
      </c>
      <c r="K44" s="20">
        <f t="shared" si="1"/>
        <v>0</v>
      </c>
      <c r="L44" s="180">
        <f>L45</f>
        <v>-25</v>
      </c>
    </row>
    <row r="45" spans="1:12" ht="12.75">
      <c r="A45" s="60" t="s">
        <v>252</v>
      </c>
      <c r="B45" s="211">
        <v>180123</v>
      </c>
      <c r="C45" s="211">
        <f>50000+16450+91923</f>
        <v>158373</v>
      </c>
      <c r="D45" s="211"/>
      <c r="E45" s="204">
        <f t="shared" si="0"/>
        <v>0</v>
      </c>
      <c r="F45" s="96">
        <f>D45-'[4]Jūlijs'!D45</f>
        <v>-24750</v>
      </c>
      <c r="G45" s="60" t="s">
        <v>252</v>
      </c>
      <c r="H45" s="18">
        <f>ROUND(B45/1000,0)</f>
        <v>180</v>
      </c>
      <c r="I45" s="18">
        <f>ROUND(C45/1000,0)+1</f>
        <v>159</v>
      </c>
      <c r="J45" s="18">
        <f>ROUND(D45/1000,0)</f>
        <v>0</v>
      </c>
      <c r="K45" s="20">
        <f t="shared" si="1"/>
        <v>0</v>
      </c>
      <c r="L45" s="18">
        <f>J45-'[4]Jūlijs'!J45</f>
        <v>-25</v>
      </c>
    </row>
    <row r="46" spans="1:12" ht="26.25" customHeight="1">
      <c r="A46" s="209" t="s">
        <v>270</v>
      </c>
      <c r="B46" s="98"/>
      <c r="C46" s="98"/>
      <c r="D46" s="98"/>
      <c r="E46" s="204" t="str">
        <f t="shared" si="0"/>
        <v> </v>
      </c>
      <c r="F46" s="98"/>
      <c r="G46" s="209" t="s">
        <v>270</v>
      </c>
      <c r="H46" s="171"/>
      <c r="I46" s="171"/>
      <c r="J46" s="171"/>
      <c r="K46" s="20"/>
      <c r="L46" s="171"/>
    </row>
    <row r="47" spans="1:12" ht="12.75">
      <c r="A47" s="60" t="s">
        <v>259</v>
      </c>
      <c r="B47" s="96">
        <f>B48+B49</f>
        <v>1300000</v>
      </c>
      <c r="C47" s="96">
        <v>927770</v>
      </c>
      <c r="D47" s="96">
        <f>D48+D49</f>
        <v>1061114</v>
      </c>
      <c r="E47" s="204">
        <f t="shared" si="0"/>
        <v>0.8162415384615385</v>
      </c>
      <c r="F47" s="96">
        <f>F48+F49</f>
        <v>404</v>
      </c>
      <c r="G47" s="60" t="s">
        <v>259</v>
      </c>
      <c r="H47" s="180">
        <f>H48+H49</f>
        <v>1300</v>
      </c>
      <c r="I47" s="18">
        <f>ROUND(C47/1000,0)</f>
        <v>928</v>
      </c>
      <c r="J47" s="180">
        <f>J48+J49</f>
        <v>1061</v>
      </c>
      <c r="K47" s="20">
        <f t="shared" si="1"/>
        <v>0.8161538461538461</v>
      </c>
      <c r="L47" s="180">
        <f>L48+L49</f>
        <v>0</v>
      </c>
    </row>
    <row r="48" spans="1:12" ht="25.5" customHeight="1">
      <c r="A48" s="112" t="s">
        <v>271</v>
      </c>
      <c r="B48" s="99">
        <v>500000</v>
      </c>
      <c r="C48" s="99"/>
      <c r="D48" s="99">
        <v>500000</v>
      </c>
      <c r="E48" s="204">
        <f t="shared" si="0"/>
        <v>1</v>
      </c>
      <c r="F48" s="96">
        <f>D48-'[4]Jūlijs'!D48</f>
        <v>0</v>
      </c>
      <c r="G48" s="112" t="s">
        <v>271</v>
      </c>
      <c r="H48" s="18">
        <f aca="true" t="shared" si="5" ref="H48:J49">ROUND(B48/1000,0)</f>
        <v>500</v>
      </c>
      <c r="I48" s="18">
        <f t="shared" si="5"/>
        <v>0</v>
      </c>
      <c r="J48" s="18">
        <f t="shared" si="5"/>
        <v>500</v>
      </c>
      <c r="K48" s="20">
        <f t="shared" si="1"/>
        <v>1</v>
      </c>
      <c r="L48" s="18">
        <f>J48-'[4]Jūlijs'!J48</f>
        <v>0</v>
      </c>
    </row>
    <row r="49" spans="1:12" ht="12.75">
      <c r="A49" s="212" t="s">
        <v>272</v>
      </c>
      <c r="B49" s="99">
        <v>800000</v>
      </c>
      <c r="C49" s="99"/>
      <c r="D49" s="99">
        <v>561114</v>
      </c>
      <c r="E49" s="204">
        <f t="shared" si="0"/>
        <v>0.7013925</v>
      </c>
      <c r="F49" s="96">
        <f>D49-'[4]Jūlijs'!D49</f>
        <v>404</v>
      </c>
      <c r="G49" s="212" t="s">
        <v>272</v>
      </c>
      <c r="H49" s="18">
        <f t="shared" si="5"/>
        <v>800</v>
      </c>
      <c r="I49" s="18">
        <f t="shared" si="5"/>
        <v>0</v>
      </c>
      <c r="J49" s="18">
        <f t="shared" si="5"/>
        <v>561</v>
      </c>
      <c r="K49" s="20">
        <f t="shared" si="1"/>
        <v>0.70125</v>
      </c>
      <c r="L49" s="18">
        <f>J49-'[4]Jūlijs'!J49</f>
        <v>0</v>
      </c>
    </row>
    <row r="50" spans="1:12" ht="12.75">
      <c r="A50" s="60" t="s">
        <v>260</v>
      </c>
      <c r="B50" s="96">
        <f>B51+B52</f>
        <v>79595</v>
      </c>
      <c r="C50" s="96">
        <f>C51+C52</f>
        <v>559810</v>
      </c>
      <c r="D50" s="96">
        <f>D51+D52</f>
        <v>47825</v>
      </c>
      <c r="E50" s="204">
        <f t="shared" si="0"/>
        <v>0.6008543250204158</v>
      </c>
      <c r="F50" s="96">
        <f>F51+F52</f>
        <v>2621</v>
      </c>
      <c r="G50" s="60" t="s">
        <v>260</v>
      </c>
      <c r="H50" s="180">
        <f>H51+H52</f>
        <v>80</v>
      </c>
      <c r="I50" s="180">
        <f>I51+I52</f>
        <v>559</v>
      </c>
      <c r="J50" s="180">
        <f>J51+J52</f>
        <v>48</v>
      </c>
      <c r="K50" s="20">
        <f t="shared" si="1"/>
        <v>0.6</v>
      </c>
      <c r="L50" s="180">
        <f>L51+L52</f>
        <v>3</v>
      </c>
    </row>
    <row r="51" spans="1:12" ht="12.75">
      <c r="A51" s="60" t="s">
        <v>252</v>
      </c>
      <c r="B51" s="211">
        <v>67595</v>
      </c>
      <c r="C51" s="211">
        <v>548410</v>
      </c>
      <c r="D51" s="211">
        <v>42041</v>
      </c>
      <c r="E51" s="204">
        <f t="shared" si="0"/>
        <v>0.6219542865596568</v>
      </c>
      <c r="F51" s="96">
        <f>D51-'[4]Jūlijs'!D51</f>
        <v>2621</v>
      </c>
      <c r="G51" s="60" t="s">
        <v>252</v>
      </c>
      <c r="H51" s="18">
        <f aca="true" t="shared" si="6" ref="H51:J52">ROUND(B51/1000,0)</f>
        <v>68</v>
      </c>
      <c r="I51" s="18">
        <f t="shared" si="6"/>
        <v>548</v>
      </c>
      <c r="J51" s="18">
        <f t="shared" si="6"/>
        <v>42</v>
      </c>
      <c r="K51" s="20">
        <f t="shared" si="1"/>
        <v>0.6176470588235294</v>
      </c>
      <c r="L51" s="18">
        <f>J51-'[4]Jūlijs'!J51</f>
        <v>3</v>
      </c>
    </row>
    <row r="52" spans="1:12" ht="12.75">
      <c r="A52" s="60" t="s">
        <v>253</v>
      </c>
      <c r="B52" s="96">
        <v>12000</v>
      </c>
      <c r="C52" s="96">
        <v>11400</v>
      </c>
      <c r="D52" s="96">
        <v>5784</v>
      </c>
      <c r="E52" s="204">
        <f t="shared" si="0"/>
        <v>0.482</v>
      </c>
      <c r="F52" s="96">
        <f>D52-'[4]Jūlijs'!D52</f>
        <v>0</v>
      </c>
      <c r="G52" s="60" t="s">
        <v>253</v>
      </c>
      <c r="H52" s="18">
        <f t="shared" si="6"/>
        <v>12</v>
      </c>
      <c r="I52" s="18">
        <f t="shared" si="6"/>
        <v>11</v>
      </c>
      <c r="J52" s="18">
        <f t="shared" si="6"/>
        <v>6</v>
      </c>
      <c r="K52" s="20">
        <f t="shared" si="1"/>
        <v>0.5</v>
      </c>
      <c r="L52" s="18">
        <f>J52-'[4]Jūlijs'!J52</f>
        <v>0</v>
      </c>
    </row>
    <row r="53" spans="1:12" ht="16.5" customHeight="1">
      <c r="A53" s="9" t="s">
        <v>273</v>
      </c>
      <c r="B53" s="88"/>
      <c r="C53" s="88"/>
      <c r="D53" s="88"/>
      <c r="E53" s="204" t="str">
        <f t="shared" si="0"/>
        <v> </v>
      </c>
      <c r="F53" s="88"/>
      <c r="G53" s="9" t="s">
        <v>273</v>
      </c>
      <c r="H53" s="164"/>
      <c r="I53" s="164"/>
      <c r="J53" s="164"/>
      <c r="K53" s="20"/>
      <c r="L53" s="164"/>
    </row>
    <row r="54" spans="1:12" ht="19.5" customHeight="1">
      <c r="A54" s="207" t="s">
        <v>274</v>
      </c>
      <c r="B54" s="96"/>
      <c r="C54" s="96"/>
      <c r="D54" s="96"/>
      <c r="E54" s="204" t="str">
        <f t="shared" si="0"/>
        <v> </v>
      </c>
      <c r="F54" s="96"/>
      <c r="G54" s="207" t="s">
        <v>274</v>
      </c>
      <c r="H54" s="180"/>
      <c r="I54" s="180"/>
      <c r="J54" s="180"/>
      <c r="K54" s="20"/>
      <c r="L54" s="180"/>
    </row>
    <row r="55" spans="1:12" ht="12.75">
      <c r="A55" s="60" t="s">
        <v>259</v>
      </c>
      <c r="B55" s="96">
        <f>B56</f>
        <v>2032476</v>
      </c>
      <c r="C55" s="96">
        <v>1218999</v>
      </c>
      <c r="D55" s="96">
        <f>D56</f>
        <v>1153357</v>
      </c>
      <c r="E55" s="204">
        <f t="shared" si="0"/>
        <v>0.567464019255332</v>
      </c>
      <c r="F55" s="96">
        <f>F56</f>
        <v>0</v>
      </c>
      <c r="G55" s="60" t="s">
        <v>259</v>
      </c>
      <c r="H55" s="180">
        <f>H56</f>
        <v>2032</v>
      </c>
      <c r="I55" s="18">
        <f>ROUND(C55/1000,0)</f>
        <v>1219</v>
      </c>
      <c r="J55" s="180">
        <f>J56</f>
        <v>1153</v>
      </c>
      <c r="K55" s="20">
        <f t="shared" si="1"/>
        <v>0.5674212598425197</v>
      </c>
      <c r="L55" s="180">
        <f>L56</f>
        <v>0</v>
      </c>
    </row>
    <row r="56" spans="1:12" ht="22.5">
      <c r="A56" s="63" t="s">
        <v>275</v>
      </c>
      <c r="B56" s="96">
        <v>2032476</v>
      </c>
      <c r="C56" s="96"/>
      <c r="D56" s="96">
        <v>1153357</v>
      </c>
      <c r="E56" s="204">
        <f t="shared" si="0"/>
        <v>0.567464019255332</v>
      </c>
      <c r="F56" s="96">
        <f>D56-'[4]Jūlijs'!D56</f>
        <v>0</v>
      </c>
      <c r="G56" s="63" t="s">
        <v>275</v>
      </c>
      <c r="H56" s="18">
        <f>ROUND(B56/1000,0)</f>
        <v>2032</v>
      </c>
      <c r="I56" s="18">
        <f>ROUND(C56/1000,0)</f>
        <v>0</v>
      </c>
      <c r="J56" s="18">
        <f>ROUND(D56/1000,0)</f>
        <v>1153</v>
      </c>
      <c r="K56" s="20">
        <f t="shared" si="1"/>
        <v>0.5674212598425197</v>
      </c>
      <c r="L56" s="18">
        <f>J56-'[4]Jūlijs'!J56</f>
        <v>0</v>
      </c>
    </row>
    <row r="57" spans="1:12" ht="12.75">
      <c r="A57" s="60" t="s">
        <v>260</v>
      </c>
      <c r="B57" s="96">
        <f>B58+B59</f>
        <v>2032476</v>
      </c>
      <c r="C57" s="96">
        <f>C58+C59</f>
        <v>1218999</v>
      </c>
      <c r="D57" s="96">
        <f>D58+D59</f>
        <v>1186682</v>
      </c>
      <c r="E57" s="204">
        <f t="shared" si="0"/>
        <v>0.583860276824917</v>
      </c>
      <c r="F57" s="96">
        <f>F58+F59</f>
        <v>50890</v>
      </c>
      <c r="G57" s="60" t="s">
        <v>260</v>
      </c>
      <c r="H57" s="180">
        <f>H58+H59</f>
        <v>2032</v>
      </c>
      <c r="I57" s="180">
        <f>I58+I59</f>
        <v>1219</v>
      </c>
      <c r="J57" s="180">
        <f>J58+J59</f>
        <v>1187</v>
      </c>
      <c r="K57" s="20">
        <f t="shared" si="1"/>
        <v>0.5841535433070866</v>
      </c>
      <c r="L57" s="180">
        <f>L58+L59</f>
        <v>51</v>
      </c>
    </row>
    <row r="58" spans="1:12" ht="12.75">
      <c r="A58" s="60" t="s">
        <v>252</v>
      </c>
      <c r="B58" s="96">
        <v>1391476</v>
      </c>
      <c r="C58" s="96">
        <v>577999</v>
      </c>
      <c r="D58" s="96">
        <v>575682</v>
      </c>
      <c r="E58" s="204">
        <f t="shared" si="0"/>
        <v>0.4137203947462982</v>
      </c>
      <c r="F58" s="96">
        <f>D58-'[4]Jūlijs'!D58</f>
        <v>50890</v>
      </c>
      <c r="G58" s="60" t="s">
        <v>252</v>
      </c>
      <c r="H58" s="18">
        <f aca="true" t="shared" si="7" ref="H58:J59">ROUND(B58/1000,0)</f>
        <v>1391</v>
      </c>
      <c r="I58" s="18">
        <f t="shared" si="7"/>
        <v>578</v>
      </c>
      <c r="J58" s="18">
        <f t="shared" si="7"/>
        <v>576</v>
      </c>
      <c r="K58" s="20">
        <f t="shared" si="1"/>
        <v>0.4140905823148814</v>
      </c>
      <c r="L58" s="18">
        <f>J58-'[4]Jūlijs'!J58</f>
        <v>51</v>
      </c>
    </row>
    <row r="59" spans="1:12" ht="12.75">
      <c r="A59" s="60" t="s">
        <v>253</v>
      </c>
      <c r="B59" s="96">
        <v>641000</v>
      </c>
      <c r="C59" s="96">
        <v>641000</v>
      </c>
      <c r="D59" s="96">
        <v>611000</v>
      </c>
      <c r="E59" s="204">
        <f t="shared" si="0"/>
        <v>0.953198127925117</v>
      </c>
      <c r="F59" s="96">
        <f>D59-'[4]Jūlijs'!D59</f>
        <v>0</v>
      </c>
      <c r="G59" s="60" t="s">
        <v>253</v>
      </c>
      <c r="H59" s="18">
        <f t="shared" si="7"/>
        <v>641</v>
      </c>
      <c r="I59" s="18">
        <f t="shared" si="7"/>
        <v>641</v>
      </c>
      <c r="J59" s="18">
        <f t="shared" si="7"/>
        <v>611</v>
      </c>
      <c r="K59" s="20">
        <f t="shared" si="1"/>
        <v>0.953198127925117</v>
      </c>
      <c r="L59" s="18">
        <f>J59-'[4]Jūlijs'!J59</f>
        <v>0</v>
      </c>
    </row>
    <row r="60" spans="1:12" ht="16.5" customHeight="1">
      <c r="A60" s="209" t="s">
        <v>276</v>
      </c>
      <c r="B60" s="96"/>
      <c r="C60" s="96"/>
      <c r="D60" s="96"/>
      <c r="E60" s="204" t="str">
        <f t="shared" si="0"/>
        <v> </v>
      </c>
      <c r="F60" s="96"/>
      <c r="G60" s="209" t="s">
        <v>276</v>
      </c>
      <c r="H60" s="180"/>
      <c r="I60" s="180"/>
      <c r="J60" s="180"/>
      <c r="K60" s="20"/>
      <c r="L60" s="180"/>
    </row>
    <row r="61" spans="1:12" ht="12.75">
      <c r="A61" s="60" t="s">
        <v>259</v>
      </c>
      <c r="B61" s="96">
        <f>B62</f>
        <v>257230</v>
      </c>
      <c r="C61" s="96">
        <v>175071</v>
      </c>
      <c r="D61" s="96">
        <f>D62</f>
        <v>29678</v>
      </c>
      <c r="E61" s="204">
        <f t="shared" si="0"/>
        <v>0.11537534502196478</v>
      </c>
      <c r="F61" s="96">
        <f>F62</f>
        <v>1</v>
      </c>
      <c r="G61" s="60" t="s">
        <v>259</v>
      </c>
      <c r="H61" s="180">
        <f>H62</f>
        <v>257</v>
      </c>
      <c r="I61" s="18">
        <f>ROUND(C61/1000,0)</f>
        <v>175</v>
      </c>
      <c r="J61" s="180">
        <f>J62</f>
        <v>30</v>
      </c>
      <c r="K61" s="20">
        <f t="shared" si="1"/>
        <v>0.11673151750972763</v>
      </c>
      <c r="L61" s="180">
        <f>L62</f>
        <v>0</v>
      </c>
    </row>
    <row r="62" spans="1:12" ht="12.75">
      <c r="A62" s="63" t="s">
        <v>277</v>
      </c>
      <c r="B62" s="96">
        <v>257230</v>
      </c>
      <c r="C62" s="96"/>
      <c r="D62" s="96">
        <v>29678</v>
      </c>
      <c r="E62" s="204">
        <f t="shared" si="0"/>
        <v>0.11537534502196478</v>
      </c>
      <c r="F62" s="96">
        <f>D62-'[4]Jūlijs'!D62</f>
        <v>1</v>
      </c>
      <c r="G62" s="63" t="s">
        <v>277</v>
      </c>
      <c r="H62" s="18">
        <f>ROUND(B62/1000,0)</f>
        <v>257</v>
      </c>
      <c r="I62" s="18">
        <f>ROUND(C62/1000,0)</f>
        <v>0</v>
      </c>
      <c r="J62" s="18">
        <f>ROUND(D62/1000,0)</f>
        <v>30</v>
      </c>
      <c r="K62" s="20">
        <f t="shared" si="1"/>
        <v>0.11673151750972763</v>
      </c>
      <c r="L62" s="18">
        <f>J62-'[4]Jūlijs'!J62</f>
        <v>0</v>
      </c>
    </row>
    <row r="63" spans="1:12" ht="12.75">
      <c r="A63" s="60" t="s">
        <v>260</v>
      </c>
      <c r="B63" s="96">
        <f>B64+B65</f>
        <v>262480</v>
      </c>
      <c r="C63" s="96">
        <f>C64+C65</f>
        <v>175071</v>
      </c>
      <c r="D63" s="96">
        <f>D64+D65</f>
        <v>29678</v>
      </c>
      <c r="E63" s="204">
        <f t="shared" si="0"/>
        <v>0.11306766229807985</v>
      </c>
      <c r="F63" s="96">
        <f>F64+F65</f>
        <v>1</v>
      </c>
      <c r="G63" s="60" t="s">
        <v>260</v>
      </c>
      <c r="H63" s="180">
        <f>H64+H65</f>
        <v>262</v>
      </c>
      <c r="I63" s="180">
        <f>I64+I65</f>
        <v>175</v>
      </c>
      <c r="J63" s="180">
        <f>J64+J65</f>
        <v>30</v>
      </c>
      <c r="K63" s="20">
        <f t="shared" si="1"/>
        <v>0.11450381679389313</v>
      </c>
      <c r="L63" s="180">
        <f>L64+L65</f>
        <v>0</v>
      </c>
    </row>
    <row r="64" spans="1:12" ht="12.75">
      <c r="A64" s="60" t="s">
        <v>252</v>
      </c>
      <c r="B64" s="96">
        <v>260480</v>
      </c>
      <c r="C64" s="96">
        <v>173071</v>
      </c>
      <c r="D64" s="96">
        <v>29678</v>
      </c>
      <c r="E64" s="204">
        <f t="shared" si="0"/>
        <v>0.1139358108108108</v>
      </c>
      <c r="F64" s="96">
        <f>D64-'[4]Jūlijs'!D64</f>
        <v>1</v>
      </c>
      <c r="G64" s="60" t="s">
        <v>252</v>
      </c>
      <c r="H64" s="18">
        <f aca="true" t="shared" si="8" ref="H64:J69">ROUND(B64/1000,0)</f>
        <v>260</v>
      </c>
      <c r="I64" s="18">
        <f t="shared" si="8"/>
        <v>173</v>
      </c>
      <c r="J64" s="18">
        <f t="shared" si="8"/>
        <v>30</v>
      </c>
      <c r="K64" s="20">
        <f t="shared" si="1"/>
        <v>0.11538461538461539</v>
      </c>
      <c r="L64" s="18">
        <f>J64-'[4]Jūlijs'!J64</f>
        <v>0</v>
      </c>
    </row>
    <row r="65" spans="1:12" ht="12.75">
      <c r="A65" s="60" t="s">
        <v>253</v>
      </c>
      <c r="B65" s="96">
        <v>2000</v>
      </c>
      <c r="C65" s="96">
        <v>2000</v>
      </c>
      <c r="D65" s="96"/>
      <c r="E65" s="204">
        <f t="shared" si="0"/>
        <v>0</v>
      </c>
      <c r="F65" s="96">
        <f>D65-'[4]Jūlijs'!D65</f>
        <v>0</v>
      </c>
      <c r="G65" s="60" t="s">
        <v>253</v>
      </c>
      <c r="H65" s="18">
        <f t="shared" si="8"/>
        <v>2</v>
      </c>
      <c r="I65" s="18">
        <f t="shared" si="8"/>
        <v>2</v>
      </c>
      <c r="J65" s="18">
        <f t="shared" si="8"/>
        <v>0</v>
      </c>
      <c r="K65" s="20">
        <f t="shared" si="1"/>
        <v>0</v>
      </c>
      <c r="L65" s="18">
        <f>J65-'[4]Jūlijs'!J65</f>
        <v>0</v>
      </c>
    </row>
    <row r="66" spans="1:12" ht="12.75">
      <c r="A66" s="60" t="s">
        <v>254</v>
      </c>
      <c r="B66" s="96">
        <v>3756000</v>
      </c>
      <c r="C66" s="96">
        <v>1830069</v>
      </c>
      <c r="D66" s="96">
        <v>1492639</v>
      </c>
      <c r="E66" s="204">
        <f t="shared" si="0"/>
        <v>0.39740122470713524</v>
      </c>
      <c r="F66" s="96">
        <f>D66-'[4]Jūlijs'!D66</f>
        <v>0</v>
      </c>
      <c r="G66" s="60" t="s">
        <v>254</v>
      </c>
      <c r="H66" s="18">
        <f t="shared" si="8"/>
        <v>3756</v>
      </c>
      <c r="I66" s="18">
        <f t="shared" si="8"/>
        <v>1830</v>
      </c>
      <c r="J66" s="18">
        <f t="shared" si="8"/>
        <v>1493</v>
      </c>
      <c r="K66" s="20">
        <f t="shared" si="1"/>
        <v>0.39749733759318423</v>
      </c>
      <c r="L66" s="18">
        <f>J66-'[4]Jūlijs'!J66</f>
        <v>0</v>
      </c>
    </row>
    <row r="67" spans="1:12" ht="12.75">
      <c r="A67" s="60" t="s">
        <v>255</v>
      </c>
      <c r="B67" s="96">
        <v>5250</v>
      </c>
      <c r="C67" s="96"/>
      <c r="D67" s="96">
        <v>1324</v>
      </c>
      <c r="E67" s="204">
        <f t="shared" si="0"/>
        <v>0.2521904761904762</v>
      </c>
      <c r="F67" s="96">
        <f>D67-'[4]Jūlijs'!D67</f>
        <v>1324</v>
      </c>
      <c r="G67" s="60" t="s">
        <v>255</v>
      </c>
      <c r="H67" s="18">
        <f t="shared" si="8"/>
        <v>5</v>
      </c>
      <c r="I67" s="18">
        <f t="shared" si="8"/>
        <v>0</v>
      </c>
      <c r="J67" s="18">
        <f t="shared" si="8"/>
        <v>1</v>
      </c>
      <c r="K67" s="20">
        <f t="shared" si="1"/>
        <v>0.2</v>
      </c>
      <c r="L67" s="18">
        <f>J67-'[4]Jūlijs'!J67</f>
        <v>1</v>
      </c>
    </row>
    <row r="68" spans="1:12" ht="12.75">
      <c r="A68" s="60" t="s">
        <v>256</v>
      </c>
      <c r="B68" s="96">
        <v>-3756000</v>
      </c>
      <c r="C68" s="96">
        <f>C61-C63-C66+C67</f>
        <v>-1830069</v>
      </c>
      <c r="D68" s="96">
        <f>D61-D63-D66+D67</f>
        <v>-1491315</v>
      </c>
      <c r="E68" s="204">
        <f t="shared" si="0"/>
        <v>0.3970487220447284</v>
      </c>
      <c r="F68" s="96">
        <f>D68-'[4]Jūlijs'!D68</f>
        <v>1324</v>
      </c>
      <c r="G68" s="60" t="s">
        <v>256</v>
      </c>
      <c r="H68" s="18">
        <f t="shared" si="8"/>
        <v>-3756</v>
      </c>
      <c r="I68" s="18">
        <f t="shared" si="8"/>
        <v>-1830</v>
      </c>
      <c r="J68" s="18">
        <f t="shared" si="8"/>
        <v>-1491</v>
      </c>
      <c r="K68" s="20">
        <f t="shared" si="1"/>
        <v>0.39696485623003197</v>
      </c>
      <c r="L68" s="18">
        <f>J68-'[4]Jūlijs'!J68</f>
        <v>2</v>
      </c>
    </row>
    <row r="69" spans="1:12" ht="12.75">
      <c r="A69" s="60" t="s">
        <v>243</v>
      </c>
      <c r="B69" s="96">
        <v>3756000</v>
      </c>
      <c r="C69" s="96"/>
      <c r="D69" s="96">
        <v>1492637</v>
      </c>
      <c r="E69" s="204">
        <f t="shared" si="0"/>
        <v>0.3974006922257721</v>
      </c>
      <c r="F69" s="96">
        <f>D69-'[4]Jūlijs'!D69</f>
        <v>-2</v>
      </c>
      <c r="G69" s="60" t="s">
        <v>243</v>
      </c>
      <c r="H69" s="18">
        <f t="shared" si="8"/>
        <v>3756</v>
      </c>
      <c r="I69" s="18">
        <f t="shared" si="8"/>
        <v>0</v>
      </c>
      <c r="J69" s="18">
        <f t="shared" si="8"/>
        <v>1493</v>
      </c>
      <c r="K69" s="20">
        <f t="shared" si="1"/>
        <v>0.39749733759318423</v>
      </c>
      <c r="L69" s="18">
        <f>J69-'[4]Jūlijs'!J69</f>
        <v>0</v>
      </c>
    </row>
    <row r="70" spans="1:12" ht="15.75" customHeight="1">
      <c r="A70" s="32" t="s">
        <v>278</v>
      </c>
      <c r="B70" s="88"/>
      <c r="C70" s="88"/>
      <c r="D70" s="88"/>
      <c r="E70" s="204" t="str">
        <f t="shared" si="0"/>
        <v> </v>
      </c>
      <c r="F70" s="88"/>
      <c r="G70" s="32" t="s">
        <v>278</v>
      </c>
      <c r="H70" s="164"/>
      <c r="I70" s="164"/>
      <c r="J70" s="164"/>
      <c r="K70" s="20"/>
      <c r="L70" s="164"/>
    </row>
    <row r="71" spans="1:12" ht="16.5" customHeight="1">
      <c r="A71" s="207" t="s">
        <v>279</v>
      </c>
      <c r="B71" s="96"/>
      <c r="C71" s="96"/>
      <c r="D71" s="96"/>
      <c r="E71" s="204" t="str">
        <f t="shared" si="0"/>
        <v> </v>
      </c>
      <c r="F71" s="96"/>
      <c r="G71" s="207" t="s">
        <v>279</v>
      </c>
      <c r="H71" s="180"/>
      <c r="I71" s="180"/>
      <c r="J71" s="180"/>
      <c r="K71" s="20"/>
      <c r="L71" s="180"/>
    </row>
    <row r="72" spans="1:12" ht="12.75">
      <c r="A72" s="60" t="s">
        <v>259</v>
      </c>
      <c r="B72" s="96">
        <f>B73+B74</f>
        <v>784500</v>
      </c>
      <c r="C72" s="96">
        <v>503800</v>
      </c>
      <c r="D72" s="96">
        <f>D73+D74</f>
        <v>460596</v>
      </c>
      <c r="E72" s="204">
        <f t="shared" si="0"/>
        <v>0.5871204588910134</v>
      </c>
      <c r="F72" s="96">
        <f>F73+F74</f>
        <v>17683</v>
      </c>
      <c r="G72" s="60" t="s">
        <v>259</v>
      </c>
      <c r="H72" s="180">
        <f>H73+H74</f>
        <v>785</v>
      </c>
      <c r="I72" s="18">
        <f>ROUND(C72/1000,0)</f>
        <v>504</v>
      </c>
      <c r="J72" s="180">
        <f>J73+J74</f>
        <v>460</v>
      </c>
      <c r="K72" s="20">
        <f t="shared" si="1"/>
        <v>0.5859872611464968</v>
      </c>
      <c r="L72" s="180">
        <f>L73+L74</f>
        <v>17</v>
      </c>
    </row>
    <row r="73" spans="1:12" ht="27.75" customHeight="1">
      <c r="A73" s="63" t="s">
        <v>280</v>
      </c>
      <c r="B73" s="96">
        <f>380000+65000+55000+10000</f>
        <v>510000</v>
      </c>
      <c r="C73" s="96"/>
      <c r="D73" s="96">
        <f>224160+42320+44285+2493</f>
        <v>313258</v>
      </c>
      <c r="E73" s="204">
        <f t="shared" si="0"/>
        <v>0.6142313725490196</v>
      </c>
      <c r="F73" s="96">
        <f>D73-'[4]Jūlijs'!D73</f>
        <v>101482</v>
      </c>
      <c r="G73" s="63" t="s">
        <v>280</v>
      </c>
      <c r="H73" s="18">
        <f>ROUND(B73/1000,0)</f>
        <v>510</v>
      </c>
      <c r="I73" s="18">
        <f>ROUND(C73/1000,0)</f>
        <v>0</v>
      </c>
      <c r="J73" s="18">
        <f>ROUND(D73/1000,0)</f>
        <v>313</v>
      </c>
      <c r="K73" s="20">
        <f t="shared" si="1"/>
        <v>0.6137254901960785</v>
      </c>
      <c r="L73" s="18">
        <f>J73-'[4]Jūlijs'!J73</f>
        <v>101</v>
      </c>
    </row>
    <row r="74" spans="1:12" ht="12.75">
      <c r="A74" s="63" t="s">
        <v>266</v>
      </c>
      <c r="B74" s="96">
        <v>274500</v>
      </c>
      <c r="C74" s="96"/>
      <c r="D74" s="96">
        <v>147338</v>
      </c>
      <c r="E74" s="204">
        <f aca="true" t="shared" si="9" ref="E74:E137">IF(ISERROR(D74/B74)," ",(D74/B74))</f>
        <v>0.5367504553734062</v>
      </c>
      <c r="F74" s="96">
        <f>D74-'[4]Jūlijs'!D74</f>
        <v>-83799</v>
      </c>
      <c r="G74" s="63" t="s">
        <v>266</v>
      </c>
      <c r="H74" s="18">
        <f>ROUND(B74/1000,0)</f>
        <v>275</v>
      </c>
      <c r="I74" s="18">
        <f>ROUND(C74/1000,0)</f>
        <v>0</v>
      </c>
      <c r="J74" s="18">
        <f>ROUND(D74/1000,0)</f>
        <v>147</v>
      </c>
      <c r="K74" s="20">
        <f aca="true" t="shared" si="10" ref="K74:K137">IF(ISERROR(ROUND(J74,0)/ROUND(H74,0))," ",(ROUND(J74,)/ROUND(H74,)))</f>
        <v>0.5345454545454545</v>
      </c>
      <c r="L74" s="18">
        <f>J74-'[4]Jūlijs'!J74</f>
        <v>-84</v>
      </c>
    </row>
    <row r="75" spans="1:12" ht="12.75">
      <c r="A75" s="60" t="s">
        <v>260</v>
      </c>
      <c r="B75" s="96">
        <f>B76+B77</f>
        <v>784500</v>
      </c>
      <c r="C75" s="96">
        <f>C76+C77</f>
        <v>503800</v>
      </c>
      <c r="D75" s="96">
        <f>D76+D77</f>
        <v>470671</v>
      </c>
      <c r="E75" s="204">
        <f t="shared" si="9"/>
        <v>0.5999630337794774</v>
      </c>
      <c r="F75" s="96">
        <f>F76+F77</f>
        <v>64205</v>
      </c>
      <c r="G75" s="60" t="s">
        <v>260</v>
      </c>
      <c r="H75" s="180">
        <f>H76+H77</f>
        <v>785</v>
      </c>
      <c r="I75" s="180">
        <f>I76+I77</f>
        <v>504</v>
      </c>
      <c r="J75" s="180">
        <f>J76+J77</f>
        <v>471</v>
      </c>
      <c r="K75" s="20">
        <f t="shared" si="10"/>
        <v>0.6</v>
      </c>
      <c r="L75" s="180">
        <f>L76+L77</f>
        <v>65</v>
      </c>
    </row>
    <row r="76" spans="1:12" ht="12.75">
      <c r="A76" s="60" t="s">
        <v>252</v>
      </c>
      <c r="B76" s="96">
        <v>700577</v>
      </c>
      <c r="C76" s="96">
        <v>424800</v>
      </c>
      <c r="D76" s="96">
        <v>398872</v>
      </c>
      <c r="E76" s="204">
        <f t="shared" si="9"/>
        <v>0.569347837568176</v>
      </c>
      <c r="F76" s="96">
        <f>D76-'[4]Jūlijs'!D76</f>
        <v>49800</v>
      </c>
      <c r="G76" s="60" t="s">
        <v>252</v>
      </c>
      <c r="H76" s="18">
        <f aca="true" t="shared" si="11" ref="H76:J77">ROUND(B76/1000,0)</f>
        <v>701</v>
      </c>
      <c r="I76" s="18">
        <f t="shared" si="11"/>
        <v>425</v>
      </c>
      <c r="J76" s="18">
        <f t="shared" si="11"/>
        <v>399</v>
      </c>
      <c r="K76" s="20">
        <f t="shared" si="10"/>
        <v>0.5691868758915835</v>
      </c>
      <c r="L76" s="18">
        <f>J76-'[4]Jūlijs'!J76</f>
        <v>50</v>
      </c>
    </row>
    <row r="77" spans="1:12" ht="12.75">
      <c r="A77" s="60" t="s">
        <v>253</v>
      </c>
      <c r="B77" s="96">
        <v>83923</v>
      </c>
      <c r="C77" s="96">
        <v>79000</v>
      </c>
      <c r="D77" s="96">
        <v>71799</v>
      </c>
      <c r="E77" s="204">
        <f t="shared" si="9"/>
        <v>0.8555342397197431</v>
      </c>
      <c r="F77" s="96">
        <f>D77-'[4]Jūlijs'!D77</f>
        <v>14405</v>
      </c>
      <c r="G77" s="60" t="s">
        <v>253</v>
      </c>
      <c r="H77" s="18">
        <f t="shared" si="11"/>
        <v>84</v>
      </c>
      <c r="I77" s="18">
        <f t="shared" si="11"/>
        <v>79</v>
      </c>
      <c r="J77" s="18">
        <f t="shared" si="11"/>
        <v>72</v>
      </c>
      <c r="K77" s="20">
        <f t="shared" si="10"/>
        <v>0.8571428571428571</v>
      </c>
      <c r="L77" s="18">
        <f>J77-'[4]Jūlijs'!J77</f>
        <v>15</v>
      </c>
    </row>
    <row r="78" spans="1:12" ht="15.75" customHeight="1">
      <c r="A78" s="207" t="s">
        <v>281</v>
      </c>
      <c r="B78" s="96"/>
      <c r="C78" s="96"/>
      <c r="D78" s="96"/>
      <c r="E78" s="204" t="str">
        <f t="shared" si="9"/>
        <v> </v>
      </c>
      <c r="F78" s="96"/>
      <c r="G78" s="207" t="s">
        <v>281</v>
      </c>
      <c r="H78" s="180"/>
      <c r="I78" s="180"/>
      <c r="J78" s="180"/>
      <c r="K78" s="20"/>
      <c r="L78" s="180"/>
    </row>
    <row r="79" spans="1:12" ht="12.75">
      <c r="A79" s="60" t="s">
        <v>259</v>
      </c>
      <c r="B79" s="96">
        <f>B80+B81</f>
        <v>24000000</v>
      </c>
      <c r="C79" s="96">
        <v>17478046</v>
      </c>
      <c r="D79" s="96">
        <f>D80+D81</f>
        <v>11660241</v>
      </c>
      <c r="E79" s="204">
        <f t="shared" si="9"/>
        <v>0.485843375</v>
      </c>
      <c r="F79" s="96">
        <f>F80+F81</f>
        <v>1478542</v>
      </c>
      <c r="G79" s="60" t="s">
        <v>259</v>
      </c>
      <c r="H79" s="180">
        <f>H80+H81</f>
        <v>24000</v>
      </c>
      <c r="I79" s="18">
        <f>ROUND(C79/1000,0)</f>
        <v>17478</v>
      </c>
      <c r="J79" s="180">
        <f>J80+J81</f>
        <v>11660</v>
      </c>
      <c r="K79" s="20">
        <f t="shared" si="10"/>
        <v>0.48583333333333334</v>
      </c>
      <c r="L79" s="180">
        <f>L80+L81</f>
        <v>1478</v>
      </c>
    </row>
    <row r="80" spans="1:12" ht="12.75">
      <c r="A80" s="63" t="s">
        <v>282</v>
      </c>
      <c r="B80" s="96">
        <v>18919004</v>
      </c>
      <c r="C80" s="96"/>
      <c r="D80" s="96">
        <f>10361134+211831</f>
        <v>10572965</v>
      </c>
      <c r="E80" s="204">
        <f t="shared" si="9"/>
        <v>0.5588542081813609</v>
      </c>
      <c r="F80" s="96">
        <f>D80-'[4]Jūlijs'!D80</f>
        <v>1388406</v>
      </c>
      <c r="G80" s="63" t="s">
        <v>282</v>
      </c>
      <c r="H80" s="18">
        <f>ROUND(B80/1000,0)</f>
        <v>18919</v>
      </c>
      <c r="I80" s="18">
        <f>ROUND(C80/1000,0)</f>
        <v>0</v>
      </c>
      <c r="J80" s="18">
        <f>ROUND(D80/1000,0)</f>
        <v>10573</v>
      </c>
      <c r="K80" s="20">
        <f t="shared" si="10"/>
        <v>0.5588561763306729</v>
      </c>
      <c r="L80" s="18">
        <f>J80-'[4]Jūlijs'!J80</f>
        <v>1388</v>
      </c>
    </row>
    <row r="81" spans="1:12" ht="12.75">
      <c r="A81" s="60" t="s">
        <v>283</v>
      </c>
      <c r="B81" s="96">
        <v>5080996</v>
      </c>
      <c r="C81" s="96"/>
      <c r="D81" s="96">
        <v>1087276</v>
      </c>
      <c r="E81" s="204">
        <f t="shared" si="9"/>
        <v>0.21398875338614712</v>
      </c>
      <c r="F81" s="96">
        <f>D81-'[4]Jūlijs'!D81</f>
        <v>90136</v>
      </c>
      <c r="G81" s="60" t="s">
        <v>283</v>
      </c>
      <c r="H81" s="18">
        <f>ROUND(B81/1000,0)</f>
        <v>5081</v>
      </c>
      <c r="I81" s="18">
        <f>ROUND(C81/1000,0)</f>
        <v>0</v>
      </c>
      <c r="J81" s="18">
        <f>ROUND(D81/1000,0)</f>
        <v>1087</v>
      </c>
      <c r="K81" s="20">
        <f t="shared" si="10"/>
        <v>0.21393426490848258</v>
      </c>
      <c r="L81" s="18">
        <f>J81-'[4]Jūlijs'!J81</f>
        <v>90</v>
      </c>
    </row>
    <row r="82" spans="1:12" ht="12.75">
      <c r="A82" s="60" t="s">
        <v>260</v>
      </c>
      <c r="B82" s="96">
        <f>B83+B84</f>
        <v>23000000</v>
      </c>
      <c r="C82" s="96">
        <f>C83+C84</f>
        <v>17478046</v>
      </c>
      <c r="D82" s="96">
        <f>D83+D84</f>
        <v>13174926</v>
      </c>
      <c r="E82" s="204">
        <f t="shared" si="9"/>
        <v>0.5728228695652174</v>
      </c>
      <c r="F82" s="96">
        <f>F83+F84</f>
        <v>1962597</v>
      </c>
      <c r="G82" s="60" t="s">
        <v>260</v>
      </c>
      <c r="H82" s="180">
        <f>H83+H84</f>
        <v>23000</v>
      </c>
      <c r="I82" s="180">
        <f>I83+I84</f>
        <v>17478</v>
      </c>
      <c r="J82" s="180">
        <f>J83+J84</f>
        <v>13175</v>
      </c>
      <c r="K82" s="20">
        <f t="shared" si="10"/>
        <v>0.5728260869565217</v>
      </c>
      <c r="L82" s="180">
        <f>L83+L84</f>
        <v>1963</v>
      </c>
    </row>
    <row r="83" spans="1:12" ht="12.75">
      <c r="A83" s="60" t="s">
        <v>252</v>
      </c>
      <c r="B83" s="96">
        <v>21037468</v>
      </c>
      <c r="C83" s="96">
        <v>15668046</v>
      </c>
      <c r="D83" s="96">
        <v>12121320</v>
      </c>
      <c r="E83" s="204">
        <f t="shared" si="9"/>
        <v>0.5761777035145104</v>
      </c>
      <c r="F83" s="96">
        <f>D83-'[4]Jūlijs'!D83</f>
        <v>1850255</v>
      </c>
      <c r="G83" s="60" t="s">
        <v>252</v>
      </c>
      <c r="H83" s="18">
        <f aca="true" t="shared" si="12" ref="H83:J84">ROUND(B83/1000,0)</f>
        <v>21037</v>
      </c>
      <c r="I83" s="18">
        <f t="shared" si="12"/>
        <v>15668</v>
      </c>
      <c r="J83" s="18">
        <f>ROUND(D83/1000,0)</f>
        <v>12121</v>
      </c>
      <c r="K83" s="20">
        <f t="shared" si="10"/>
        <v>0.5761753101677995</v>
      </c>
      <c r="L83" s="18">
        <f>J83-'[4]Jūlijs'!J83</f>
        <v>1850</v>
      </c>
    </row>
    <row r="84" spans="1:12" ht="12.75">
      <c r="A84" s="60" t="s">
        <v>253</v>
      </c>
      <c r="B84" s="96">
        <v>1962532</v>
      </c>
      <c r="C84" s="96">
        <v>1810000</v>
      </c>
      <c r="D84" s="96">
        <v>1053606</v>
      </c>
      <c r="E84" s="204">
        <f t="shared" si="9"/>
        <v>0.5368605454586218</v>
      </c>
      <c r="F84" s="96">
        <f>D84-'[4]Jūlijs'!D84</f>
        <v>112342</v>
      </c>
      <c r="G84" s="60" t="s">
        <v>253</v>
      </c>
      <c r="H84" s="18">
        <f t="shared" si="12"/>
        <v>1963</v>
      </c>
      <c r="I84" s="18">
        <f t="shared" si="12"/>
        <v>1810</v>
      </c>
      <c r="J84" s="18">
        <f t="shared" si="12"/>
        <v>1054</v>
      </c>
      <c r="K84" s="20">
        <f t="shared" si="10"/>
        <v>0.5369332654100866</v>
      </c>
      <c r="L84" s="18">
        <f>J84-'[4]Jūlijs'!J84</f>
        <v>113</v>
      </c>
    </row>
    <row r="85" spans="1:12" ht="18" customHeight="1">
      <c r="A85" s="9" t="s">
        <v>284</v>
      </c>
      <c r="B85" s="88"/>
      <c r="C85" s="88"/>
      <c r="D85" s="88"/>
      <c r="E85" s="204" t="str">
        <f t="shared" si="9"/>
        <v> </v>
      </c>
      <c r="F85" s="88"/>
      <c r="G85" s="9" t="s">
        <v>284</v>
      </c>
      <c r="H85" s="18"/>
      <c r="I85" s="18"/>
      <c r="J85" s="18"/>
      <c r="K85" s="20"/>
      <c r="L85" s="18"/>
    </row>
    <row r="86" spans="1:12" ht="21" customHeight="1">
      <c r="A86" s="207" t="s">
        <v>285</v>
      </c>
      <c r="B86" s="96"/>
      <c r="C86" s="96"/>
      <c r="D86" s="96"/>
      <c r="E86" s="204" t="str">
        <f t="shared" si="9"/>
        <v> </v>
      </c>
      <c r="F86" s="96"/>
      <c r="G86" s="207" t="s">
        <v>285</v>
      </c>
      <c r="H86" s="180"/>
      <c r="I86" s="180"/>
      <c r="J86" s="180"/>
      <c r="K86" s="20"/>
      <c r="L86" s="180"/>
    </row>
    <row r="87" spans="1:12" ht="12.75">
      <c r="A87" s="60" t="s">
        <v>259</v>
      </c>
      <c r="B87" s="96">
        <f>SUM(B88:B90)</f>
        <v>61798609</v>
      </c>
      <c r="C87" s="96">
        <v>48496330</v>
      </c>
      <c r="D87" s="96">
        <f>SUM(D88:D90)</f>
        <v>38205703</v>
      </c>
      <c r="E87" s="204">
        <f t="shared" si="9"/>
        <v>0.6182291740579469</v>
      </c>
      <c r="F87" s="96">
        <f>SUM(F88:F90)</f>
        <v>5566661</v>
      </c>
      <c r="G87" s="60" t="s">
        <v>259</v>
      </c>
      <c r="H87" s="180">
        <f>SUM(H88:H90)</f>
        <v>61799</v>
      </c>
      <c r="I87" s="18">
        <f>ROUND(C87/1000,0)</f>
        <v>48496</v>
      </c>
      <c r="J87" s="180">
        <f>SUM(J88:J90)</f>
        <v>38206</v>
      </c>
      <c r="K87" s="20">
        <f t="shared" si="10"/>
        <v>0.6182300684477096</v>
      </c>
      <c r="L87" s="180">
        <f>SUM(L88:L90)</f>
        <v>5567</v>
      </c>
    </row>
    <row r="88" spans="1:12" ht="12.75">
      <c r="A88" s="60" t="s">
        <v>286</v>
      </c>
      <c r="B88" s="96">
        <v>7800000</v>
      </c>
      <c r="C88" s="96"/>
      <c r="D88" s="96">
        <v>6006326</v>
      </c>
      <c r="E88" s="204">
        <f t="shared" si="9"/>
        <v>0.7700417948717949</v>
      </c>
      <c r="F88" s="96">
        <f>D88-'[4]Jūlijs'!D88</f>
        <v>635457</v>
      </c>
      <c r="G88" s="60" t="s">
        <v>286</v>
      </c>
      <c r="H88" s="18">
        <f>ROUND(B88/1000,0)</f>
        <v>7800</v>
      </c>
      <c r="I88" s="18">
        <f>ROUND(C88/1000,0)</f>
        <v>0</v>
      </c>
      <c r="J88" s="18">
        <f>ROUND(D88/1000,0)</f>
        <v>6006</v>
      </c>
      <c r="K88" s="20">
        <f t="shared" si="10"/>
        <v>0.77</v>
      </c>
      <c r="L88" s="18">
        <f>J88-'[4]Jūlijs'!J88</f>
        <v>635</v>
      </c>
    </row>
    <row r="89" spans="1:12" ht="12.75">
      <c r="A89" s="60" t="s">
        <v>287</v>
      </c>
      <c r="B89" s="96">
        <v>53948609</v>
      </c>
      <c r="C89" s="96"/>
      <c r="D89" s="96">
        <v>32179874</v>
      </c>
      <c r="E89" s="204">
        <f t="shared" si="9"/>
        <v>0.5964912644921021</v>
      </c>
      <c r="F89" s="96">
        <f>D89-'[4]Jūlijs'!D89</f>
        <v>4928768</v>
      </c>
      <c r="G89" s="60" t="s">
        <v>287</v>
      </c>
      <c r="H89" s="18">
        <f>ROUND(B89/1000,0)</f>
        <v>53949</v>
      </c>
      <c r="I89" s="18">
        <f>ROUND(C89/1000,0)</f>
        <v>0</v>
      </c>
      <c r="J89" s="18">
        <f>ROUND(D89/1000,0)</f>
        <v>32180</v>
      </c>
      <c r="K89" s="20">
        <f t="shared" si="10"/>
        <v>0.5964892769096739</v>
      </c>
      <c r="L89" s="18">
        <f>J89-'[4]Jūlijs'!J89</f>
        <v>4929</v>
      </c>
    </row>
    <row r="90" spans="1:12" ht="12.75">
      <c r="A90" s="60" t="s">
        <v>288</v>
      </c>
      <c r="B90" s="96">
        <v>50000</v>
      </c>
      <c r="C90" s="96"/>
      <c r="D90" s="96">
        <v>19503</v>
      </c>
      <c r="E90" s="204">
        <f t="shared" si="9"/>
        <v>0.39006</v>
      </c>
      <c r="F90" s="96">
        <f>D90-'[4]Jūlijs'!D90</f>
        <v>2436</v>
      </c>
      <c r="G90" s="60" t="s">
        <v>288</v>
      </c>
      <c r="H90" s="18">
        <f>ROUND(B90/1000,0)</f>
        <v>50</v>
      </c>
      <c r="I90" s="18">
        <f>ROUND(C90/1000,0)</f>
        <v>0</v>
      </c>
      <c r="J90" s="18">
        <f>ROUND(D90/1000,0)</f>
        <v>20</v>
      </c>
      <c r="K90" s="20">
        <f t="shared" si="10"/>
        <v>0.4</v>
      </c>
      <c r="L90" s="18">
        <f>J90-'[4]Jūlijs'!J90</f>
        <v>3</v>
      </c>
    </row>
    <row r="91" spans="1:12" ht="12.75">
      <c r="A91" s="60" t="s">
        <v>260</v>
      </c>
      <c r="B91" s="96">
        <f>B92+B93</f>
        <v>81512640</v>
      </c>
      <c r="C91" s="96">
        <f>C92+C93</f>
        <v>65786142</v>
      </c>
      <c r="D91" s="96">
        <f>D92+D93</f>
        <v>56268102</v>
      </c>
      <c r="E91" s="204">
        <f t="shared" si="9"/>
        <v>0.6902990996243037</v>
      </c>
      <c r="F91" s="96">
        <f>F92+F93</f>
        <v>10278434</v>
      </c>
      <c r="G91" s="60" t="s">
        <v>260</v>
      </c>
      <c r="H91" s="180">
        <f>H92+H93</f>
        <v>81513</v>
      </c>
      <c r="I91" s="180">
        <f>I92+I93</f>
        <v>65786</v>
      </c>
      <c r="J91" s="180">
        <f>J92+J93</f>
        <v>56267</v>
      </c>
      <c r="K91" s="20">
        <f t="shared" si="10"/>
        <v>0.6902825316207231</v>
      </c>
      <c r="L91" s="180">
        <f>L92+L93</f>
        <v>10277</v>
      </c>
    </row>
    <row r="92" spans="1:12" ht="12.75">
      <c r="A92" s="60" t="s">
        <v>252</v>
      </c>
      <c r="B92" s="96">
        <v>52743056</v>
      </c>
      <c r="C92" s="96">
        <f>43340181+936000</f>
        <v>44276181</v>
      </c>
      <c r="D92" s="96">
        <v>35179773</v>
      </c>
      <c r="E92" s="204">
        <f t="shared" si="9"/>
        <v>0.6670029321016211</v>
      </c>
      <c r="F92" s="96">
        <f>D92-'[4]Jūlijs'!D92</f>
        <v>4703010</v>
      </c>
      <c r="G92" s="60" t="s">
        <v>252</v>
      </c>
      <c r="H92" s="18">
        <f aca="true" t="shared" si="13" ref="H92:J95">ROUND(B92/1000,0)</f>
        <v>52743</v>
      </c>
      <c r="I92" s="18">
        <f t="shared" si="13"/>
        <v>44276</v>
      </c>
      <c r="J92" s="18">
        <f>ROUND(D92/1000,0)-1</f>
        <v>35179</v>
      </c>
      <c r="K92" s="20">
        <f t="shared" si="10"/>
        <v>0.6669889843201942</v>
      </c>
      <c r="L92" s="18">
        <f>J92-'[4]Jūlijs'!J92</f>
        <v>4702</v>
      </c>
    </row>
    <row r="93" spans="1:12" ht="12.75">
      <c r="A93" s="60" t="s">
        <v>289</v>
      </c>
      <c r="B93" s="96">
        <v>28769584</v>
      </c>
      <c r="C93" s="96">
        <v>21509961</v>
      </c>
      <c r="D93" s="96">
        <v>21088329</v>
      </c>
      <c r="E93" s="204">
        <f t="shared" si="9"/>
        <v>0.7330077834980165</v>
      </c>
      <c r="F93" s="96">
        <f>D93-'[4]Jūlijs'!D93</f>
        <v>5575424</v>
      </c>
      <c r="G93" s="60" t="s">
        <v>289</v>
      </c>
      <c r="H93" s="18">
        <f t="shared" si="13"/>
        <v>28770</v>
      </c>
      <c r="I93" s="18">
        <f t="shared" si="13"/>
        <v>21510</v>
      </c>
      <c r="J93" s="18">
        <f t="shared" si="13"/>
        <v>21088</v>
      </c>
      <c r="K93" s="20">
        <f t="shared" si="10"/>
        <v>0.7329857490441432</v>
      </c>
      <c r="L93" s="18">
        <f>J93-'[4]Jūlijs'!J93</f>
        <v>5575</v>
      </c>
    </row>
    <row r="94" spans="1:12" ht="15.75" customHeight="1">
      <c r="A94" s="60" t="s">
        <v>256</v>
      </c>
      <c r="B94" s="96">
        <f>B87-B91</f>
        <v>-19714031</v>
      </c>
      <c r="C94" s="96">
        <f>C87-C91</f>
        <v>-17289812</v>
      </c>
      <c r="D94" s="96">
        <f>D87-D91</f>
        <v>-18062399</v>
      </c>
      <c r="E94" s="204">
        <f t="shared" si="9"/>
        <v>0.9162204827617446</v>
      </c>
      <c r="F94" s="96">
        <f>F87-F91</f>
        <v>-4711773</v>
      </c>
      <c r="G94" s="60" t="s">
        <v>256</v>
      </c>
      <c r="H94" s="180">
        <f>H87-H91</f>
        <v>-19714</v>
      </c>
      <c r="I94" s="180">
        <f>I87-I91</f>
        <v>-17290</v>
      </c>
      <c r="J94" s="180">
        <f>J87-J91</f>
        <v>-18061</v>
      </c>
      <c r="K94" s="20">
        <f t="shared" si="10"/>
        <v>0.9161509587095465</v>
      </c>
      <c r="L94" s="180">
        <f>L87-L91</f>
        <v>-4710</v>
      </c>
    </row>
    <row r="95" spans="1:12" ht="15.75" customHeight="1">
      <c r="A95" s="60" t="s">
        <v>243</v>
      </c>
      <c r="B95" s="96">
        <v>15750000</v>
      </c>
      <c r="C95" s="96"/>
      <c r="D95" s="96">
        <v>13968945</v>
      </c>
      <c r="E95" s="204">
        <f t="shared" si="9"/>
        <v>0.8869171428571428</v>
      </c>
      <c r="F95" s="96">
        <f>D95-'[4]Jūlijs'!D95</f>
        <v>4725711</v>
      </c>
      <c r="G95" s="60" t="s">
        <v>243</v>
      </c>
      <c r="H95" s="18">
        <f t="shared" si="13"/>
        <v>15750</v>
      </c>
      <c r="I95" s="180">
        <f>-I94</f>
        <v>17290</v>
      </c>
      <c r="J95" s="18">
        <f t="shared" si="13"/>
        <v>13969</v>
      </c>
      <c r="K95" s="20">
        <f t="shared" si="10"/>
        <v>0.8869206349206349</v>
      </c>
      <c r="L95" s="18">
        <f>J95-'[4]Jūlijs'!J95</f>
        <v>4726</v>
      </c>
    </row>
    <row r="96" spans="1:12" ht="16.5" customHeight="1">
      <c r="A96" s="207" t="s">
        <v>290</v>
      </c>
      <c r="B96" s="96"/>
      <c r="C96" s="96"/>
      <c r="D96" s="96"/>
      <c r="E96" s="204" t="str">
        <f t="shared" si="9"/>
        <v> </v>
      </c>
      <c r="F96" s="96"/>
      <c r="G96" s="207" t="s">
        <v>290</v>
      </c>
      <c r="H96" s="180"/>
      <c r="I96" s="180"/>
      <c r="J96" s="180"/>
      <c r="K96" s="20"/>
      <c r="L96" s="18"/>
    </row>
    <row r="97" spans="1:12" ht="12.75">
      <c r="A97" s="60" t="s">
        <v>259</v>
      </c>
      <c r="B97" s="96">
        <f>B98+B99</f>
        <v>21878279</v>
      </c>
      <c r="C97" s="96">
        <f>C98+C99</f>
        <v>8235893</v>
      </c>
      <c r="D97" s="96">
        <f>D98+D99</f>
        <v>879759</v>
      </c>
      <c r="E97" s="204">
        <f t="shared" si="9"/>
        <v>0.040211526692753116</v>
      </c>
      <c r="F97" s="96">
        <f>F98+F99</f>
        <v>879759</v>
      </c>
      <c r="G97" s="60" t="s">
        <v>259</v>
      </c>
      <c r="H97" s="180">
        <f>H98+H99</f>
        <v>21878</v>
      </c>
      <c r="I97" s="180">
        <f>I98+I99</f>
        <v>8236</v>
      </c>
      <c r="J97" s="180">
        <f>J98+J99</f>
        <v>880</v>
      </c>
      <c r="K97" s="20">
        <f t="shared" si="10"/>
        <v>0.04022305512386873</v>
      </c>
      <c r="L97" s="180">
        <f>L98+L99</f>
        <v>880</v>
      </c>
    </row>
    <row r="98" spans="1:12" ht="12.75">
      <c r="A98" s="60" t="s">
        <v>291</v>
      </c>
      <c r="B98" s="96">
        <v>19278279</v>
      </c>
      <c r="C98" s="96">
        <v>8235893</v>
      </c>
      <c r="D98" s="96">
        <f>879759-393588</f>
        <v>486171</v>
      </c>
      <c r="E98" s="204">
        <f t="shared" si="9"/>
        <v>0.025218589273451223</v>
      </c>
      <c r="F98" s="96">
        <f>D98-'[4]Jūlijs'!D98</f>
        <v>486171</v>
      </c>
      <c r="G98" s="60" t="s">
        <v>291</v>
      </c>
      <c r="H98" s="18">
        <f aca="true" t="shared" si="14" ref="H98:J99">ROUND(B98/1000,0)</f>
        <v>19278</v>
      </c>
      <c r="I98" s="18">
        <f t="shared" si="14"/>
        <v>8236</v>
      </c>
      <c r="J98" s="18">
        <f t="shared" si="14"/>
        <v>486</v>
      </c>
      <c r="K98" s="20">
        <f t="shared" si="10"/>
        <v>0.025210084033613446</v>
      </c>
      <c r="L98" s="18">
        <f>J98-'[4]Jūlijs'!J98</f>
        <v>486</v>
      </c>
    </row>
    <row r="99" spans="1:12" ht="12.75">
      <c r="A99" s="60" t="s">
        <v>292</v>
      </c>
      <c r="B99" s="96">
        <v>2600000</v>
      </c>
      <c r="C99" s="96"/>
      <c r="D99" s="96">
        <v>393588</v>
      </c>
      <c r="E99" s="204">
        <f t="shared" si="9"/>
        <v>0.15138</v>
      </c>
      <c r="F99" s="96">
        <f>D99-'[4]Jūlijs'!D99</f>
        <v>393588</v>
      </c>
      <c r="G99" s="60" t="s">
        <v>292</v>
      </c>
      <c r="H99" s="18">
        <f t="shared" si="14"/>
        <v>2600</v>
      </c>
      <c r="I99" s="18">
        <f t="shared" si="14"/>
        <v>0</v>
      </c>
      <c r="J99" s="18">
        <f t="shared" si="14"/>
        <v>394</v>
      </c>
      <c r="K99" s="20">
        <f t="shared" si="10"/>
        <v>0.15153846153846154</v>
      </c>
      <c r="L99" s="18">
        <f>J99-'[4]Jūlijs'!J99</f>
        <v>394</v>
      </c>
    </row>
    <row r="100" spans="1:12" ht="12.75">
      <c r="A100" s="60" t="s">
        <v>260</v>
      </c>
      <c r="B100" s="96">
        <f>B101+B102</f>
        <v>21878279</v>
      </c>
      <c r="C100" s="96">
        <f>C101+C102</f>
        <v>8235893</v>
      </c>
      <c r="D100" s="96">
        <f>D101+D102</f>
        <v>530103</v>
      </c>
      <c r="E100" s="204">
        <f t="shared" si="9"/>
        <v>0.024229648044985622</v>
      </c>
      <c r="F100" s="96">
        <f>F101+F102</f>
        <v>530103</v>
      </c>
      <c r="G100" s="60" t="s">
        <v>260</v>
      </c>
      <c r="H100" s="180">
        <f>H101+H102</f>
        <v>21878</v>
      </c>
      <c r="I100" s="180">
        <f>I101+I102</f>
        <v>8236</v>
      </c>
      <c r="J100" s="180">
        <f>J101+J102</f>
        <v>529</v>
      </c>
      <c r="K100" s="20">
        <f t="shared" si="10"/>
        <v>0.02417954109150745</v>
      </c>
      <c r="L100" s="180">
        <f>L101+L102</f>
        <v>529</v>
      </c>
    </row>
    <row r="101" spans="1:12" ht="12.75">
      <c r="A101" s="60" t="s">
        <v>252</v>
      </c>
      <c r="B101" s="96">
        <v>21860229</v>
      </c>
      <c r="C101" s="96">
        <v>5271593</v>
      </c>
      <c r="D101" s="96">
        <v>528610</v>
      </c>
      <c r="E101" s="204">
        <f t="shared" si="9"/>
        <v>0.024181356929060534</v>
      </c>
      <c r="F101" s="96">
        <f>D101-'[4]Jūlijs'!D101</f>
        <v>528610</v>
      </c>
      <c r="G101" s="60" t="s">
        <v>252</v>
      </c>
      <c r="H101" s="18">
        <f aca="true" t="shared" si="15" ref="H101:J102">ROUND(B101/1000,0)</f>
        <v>21860</v>
      </c>
      <c r="I101" s="18">
        <f t="shared" si="15"/>
        <v>5272</v>
      </c>
      <c r="J101" s="18">
        <f>ROUND(D101/1000,0)-1</f>
        <v>528</v>
      </c>
      <c r="K101" s="20">
        <f t="shared" si="10"/>
        <v>0.024153705397987193</v>
      </c>
      <c r="L101" s="18">
        <f>J101-'[4]Jūlijs'!J101</f>
        <v>528</v>
      </c>
    </row>
    <row r="102" spans="1:12" ht="12.75">
      <c r="A102" s="60" t="s">
        <v>253</v>
      </c>
      <c r="B102" s="96">
        <v>18050</v>
      </c>
      <c r="C102" s="96">
        <v>2964300</v>
      </c>
      <c r="D102" s="96">
        <v>1493</v>
      </c>
      <c r="E102" s="204">
        <f t="shared" si="9"/>
        <v>0.08271468144044321</v>
      </c>
      <c r="F102" s="96">
        <f>D102-'[4]Jūlijs'!D102</f>
        <v>1493</v>
      </c>
      <c r="G102" s="60" t="s">
        <v>253</v>
      </c>
      <c r="H102" s="18">
        <f t="shared" si="15"/>
        <v>18</v>
      </c>
      <c r="I102" s="18">
        <f t="shared" si="15"/>
        <v>2964</v>
      </c>
      <c r="J102" s="18">
        <f t="shared" si="15"/>
        <v>1</v>
      </c>
      <c r="K102" s="20">
        <f t="shared" si="10"/>
        <v>0.05555555555555555</v>
      </c>
      <c r="L102" s="18">
        <f>J102-'[4]Jūlijs'!J102</f>
        <v>1</v>
      </c>
    </row>
    <row r="103" spans="1:12" ht="15.75" customHeight="1">
      <c r="A103" s="207" t="s">
        <v>293</v>
      </c>
      <c r="B103" s="96"/>
      <c r="C103" s="96"/>
      <c r="D103" s="96"/>
      <c r="E103" s="204" t="str">
        <f t="shared" si="9"/>
        <v> </v>
      </c>
      <c r="F103" s="96"/>
      <c r="G103" s="207" t="s">
        <v>293</v>
      </c>
      <c r="H103" s="180"/>
      <c r="I103" s="180"/>
      <c r="J103" s="180"/>
      <c r="K103" s="20"/>
      <c r="L103" s="180"/>
    </row>
    <row r="104" spans="1:12" ht="12.75">
      <c r="A104" s="60" t="s">
        <v>259</v>
      </c>
      <c r="B104" s="96">
        <f>B105+B106</f>
        <v>840000</v>
      </c>
      <c r="C104" s="96">
        <v>712684</v>
      </c>
      <c r="D104" s="96">
        <f>D105+D106</f>
        <v>527456</v>
      </c>
      <c r="E104" s="204">
        <f t="shared" si="9"/>
        <v>0.6279238095238096</v>
      </c>
      <c r="F104" s="96">
        <f>F105+F106</f>
        <v>64097</v>
      </c>
      <c r="G104" s="60" t="s">
        <v>259</v>
      </c>
      <c r="H104" s="180">
        <f>H105+H106</f>
        <v>840</v>
      </c>
      <c r="I104" s="18">
        <f>ROUND(C104/1000,0)</f>
        <v>713</v>
      </c>
      <c r="J104" s="180">
        <f>J105+J106+1</f>
        <v>528</v>
      </c>
      <c r="K104" s="20">
        <f t="shared" si="10"/>
        <v>0.6285714285714286</v>
      </c>
      <c r="L104" s="180">
        <f>L105+L106</f>
        <v>64</v>
      </c>
    </row>
    <row r="105" spans="1:12" ht="12.75">
      <c r="A105" s="60" t="s">
        <v>294</v>
      </c>
      <c r="B105" s="96">
        <v>840000</v>
      </c>
      <c r="C105" s="96"/>
      <c r="D105" s="96">
        <v>522286</v>
      </c>
      <c r="E105" s="204">
        <f t="shared" si="9"/>
        <v>0.6217690476190476</v>
      </c>
      <c r="F105" s="96">
        <f>D105-'[4]Jūlijs'!D105</f>
        <v>63851</v>
      </c>
      <c r="G105" s="60" t="s">
        <v>294</v>
      </c>
      <c r="H105" s="18">
        <f>ROUND(B105/1000,0)</f>
        <v>840</v>
      </c>
      <c r="I105" s="18">
        <f>ROUND(C105/1000,0)</f>
        <v>0</v>
      </c>
      <c r="J105" s="18">
        <f>ROUND(D105/1000,0)</f>
        <v>522</v>
      </c>
      <c r="K105" s="20">
        <f t="shared" si="10"/>
        <v>0.6214285714285714</v>
      </c>
      <c r="L105" s="18">
        <f>J105-'[4]Jūlijs'!J105</f>
        <v>64</v>
      </c>
    </row>
    <row r="106" spans="1:12" ht="12.75">
      <c r="A106" s="60" t="s">
        <v>266</v>
      </c>
      <c r="B106" s="96"/>
      <c r="C106" s="96"/>
      <c r="D106" s="96">
        <v>5170</v>
      </c>
      <c r="E106" s="204" t="str">
        <f t="shared" si="9"/>
        <v> </v>
      </c>
      <c r="F106" s="96">
        <f>D106-'[4]Jūlijs'!D106</f>
        <v>246</v>
      </c>
      <c r="G106" s="60" t="s">
        <v>266</v>
      </c>
      <c r="H106" s="18">
        <f>ROUND(B106/1000,0)</f>
        <v>0</v>
      </c>
      <c r="I106" s="18">
        <f>ROUND(C106/1000,0)</f>
        <v>0</v>
      </c>
      <c r="J106" s="18">
        <f>ROUND(D106/1000,0)</f>
        <v>5</v>
      </c>
      <c r="K106" s="20" t="str">
        <f t="shared" si="10"/>
        <v> </v>
      </c>
      <c r="L106" s="18">
        <f>J106-'[4]Jūlijs'!J106</f>
        <v>0</v>
      </c>
    </row>
    <row r="107" spans="1:12" ht="12.75">
      <c r="A107" s="60" t="s">
        <v>260</v>
      </c>
      <c r="B107" s="96">
        <f>B108+B109</f>
        <v>840000</v>
      </c>
      <c r="C107" s="96">
        <f>C108+C109</f>
        <v>712684</v>
      </c>
      <c r="D107" s="96">
        <f>D108+D109</f>
        <v>447076</v>
      </c>
      <c r="E107" s="204">
        <f t="shared" si="9"/>
        <v>0.5322333333333333</v>
      </c>
      <c r="F107" s="96">
        <f>F108+F109</f>
        <v>27411</v>
      </c>
      <c r="G107" s="60" t="s">
        <v>260</v>
      </c>
      <c r="H107" s="180">
        <f>H108+H109</f>
        <v>840</v>
      </c>
      <c r="I107" s="180">
        <f>I108+I109</f>
        <v>712</v>
      </c>
      <c r="J107" s="180">
        <f>J108+J109</f>
        <v>447</v>
      </c>
      <c r="K107" s="20">
        <f t="shared" si="10"/>
        <v>0.5321428571428571</v>
      </c>
      <c r="L107" s="180">
        <f>L108+L109</f>
        <v>28</v>
      </c>
    </row>
    <row r="108" spans="1:12" ht="12.75">
      <c r="A108" s="60" t="s">
        <v>252</v>
      </c>
      <c r="B108" s="96">
        <v>487506</v>
      </c>
      <c r="C108" s="96">
        <v>390190</v>
      </c>
      <c r="D108" s="96">
        <v>276893</v>
      </c>
      <c r="E108" s="204">
        <f t="shared" si="9"/>
        <v>0.5679786505191731</v>
      </c>
      <c r="F108" s="96">
        <f>D108-'[4]Jūlijs'!D108</f>
        <v>8411</v>
      </c>
      <c r="G108" s="60" t="s">
        <v>252</v>
      </c>
      <c r="H108" s="18">
        <f aca="true" t="shared" si="16" ref="H108:J109">ROUND(B108/1000,0)</f>
        <v>488</v>
      </c>
      <c r="I108" s="18">
        <f t="shared" si="16"/>
        <v>390</v>
      </c>
      <c r="J108" s="18">
        <f t="shared" si="16"/>
        <v>277</v>
      </c>
      <c r="K108" s="20">
        <f t="shared" si="10"/>
        <v>0.5676229508196722</v>
      </c>
      <c r="L108" s="18">
        <f>J108-'[4]Jūlijs'!J108</f>
        <v>9</v>
      </c>
    </row>
    <row r="109" spans="1:12" ht="12.75">
      <c r="A109" s="60" t="s">
        <v>253</v>
      </c>
      <c r="B109" s="96">
        <v>352494</v>
      </c>
      <c r="C109" s="96">
        <v>322494</v>
      </c>
      <c r="D109" s="96">
        <v>170183</v>
      </c>
      <c r="E109" s="204">
        <f t="shared" si="9"/>
        <v>0.48279687030133844</v>
      </c>
      <c r="F109" s="96">
        <f>D109-'[4]Jūlijs'!D109</f>
        <v>19000</v>
      </c>
      <c r="G109" s="60" t="s">
        <v>253</v>
      </c>
      <c r="H109" s="18">
        <f t="shared" si="16"/>
        <v>352</v>
      </c>
      <c r="I109" s="18">
        <f t="shared" si="16"/>
        <v>322</v>
      </c>
      <c r="J109" s="18">
        <f>ROUND(D109/1000,0)</f>
        <v>170</v>
      </c>
      <c r="K109" s="20">
        <f t="shared" si="10"/>
        <v>0.48295454545454547</v>
      </c>
      <c r="L109" s="18">
        <f>J109-'[4]Jūlijs'!J109</f>
        <v>19</v>
      </c>
    </row>
    <row r="110" spans="1:12" ht="16.5" customHeight="1">
      <c r="A110" s="207" t="s">
        <v>295</v>
      </c>
      <c r="B110" s="96"/>
      <c r="C110" s="96"/>
      <c r="D110" s="96"/>
      <c r="E110" s="204" t="str">
        <f t="shared" si="9"/>
        <v> </v>
      </c>
      <c r="F110" s="96"/>
      <c r="G110" s="207" t="s">
        <v>295</v>
      </c>
      <c r="H110" s="180"/>
      <c r="I110" s="180"/>
      <c r="J110" s="180"/>
      <c r="K110" s="20"/>
      <c r="L110" s="180"/>
    </row>
    <row r="111" spans="1:12" ht="12.75">
      <c r="A111" s="60" t="s">
        <v>259</v>
      </c>
      <c r="B111" s="96">
        <v>1881705</v>
      </c>
      <c r="C111" s="96">
        <v>1824195</v>
      </c>
      <c r="D111" s="96">
        <v>1370523</v>
      </c>
      <c r="E111" s="204">
        <f t="shared" si="9"/>
        <v>0.7283410523966296</v>
      </c>
      <c r="F111" s="96">
        <f>D111-'[4]Jūlijs'!D111</f>
        <v>342392</v>
      </c>
      <c r="G111" s="60" t="s">
        <v>259</v>
      </c>
      <c r="H111" s="18">
        <f>ROUND(B111/1000,0)</f>
        <v>1882</v>
      </c>
      <c r="I111" s="18">
        <f>ROUND(C111/1000,0)</f>
        <v>1824</v>
      </c>
      <c r="J111" s="18">
        <f>ROUND(D111/1000,0)</f>
        <v>1371</v>
      </c>
      <c r="K111" s="20">
        <f t="shared" si="10"/>
        <v>0.7284803400637619</v>
      </c>
      <c r="L111" s="18">
        <f>J111-'[4]Jūlijs'!J111</f>
        <v>343</v>
      </c>
    </row>
    <row r="112" spans="1:12" ht="12.75">
      <c r="A112" s="60" t="s">
        <v>260</v>
      </c>
      <c r="B112" s="96">
        <f>B113</f>
        <v>3610882</v>
      </c>
      <c r="C112" s="96">
        <f>C113</f>
        <v>2324195</v>
      </c>
      <c r="D112" s="96">
        <f>D113</f>
        <v>2266483</v>
      </c>
      <c r="E112" s="204">
        <f t="shared" si="9"/>
        <v>0.6276812701162763</v>
      </c>
      <c r="F112" s="96">
        <f>F113</f>
        <v>479723</v>
      </c>
      <c r="G112" s="60" t="s">
        <v>260</v>
      </c>
      <c r="H112" s="180">
        <f>H113</f>
        <v>3611</v>
      </c>
      <c r="I112" s="180">
        <f>I113</f>
        <v>2324</v>
      </c>
      <c r="J112" s="180">
        <f>J113</f>
        <v>2266</v>
      </c>
      <c r="K112" s="20">
        <f t="shared" si="10"/>
        <v>0.6275270008307948</v>
      </c>
      <c r="L112" s="180">
        <f>L113</f>
        <v>479</v>
      </c>
    </row>
    <row r="113" spans="1:12" ht="12.75">
      <c r="A113" s="60" t="s">
        <v>253</v>
      </c>
      <c r="B113" s="96">
        <v>3610882</v>
      </c>
      <c r="C113" s="96">
        <v>2324195</v>
      </c>
      <c r="D113" s="96">
        <v>2266483</v>
      </c>
      <c r="E113" s="204">
        <f t="shared" si="9"/>
        <v>0.6276812701162763</v>
      </c>
      <c r="F113" s="96">
        <f>D113-'[4]Jūlijs'!D113</f>
        <v>479723</v>
      </c>
      <c r="G113" s="60" t="s">
        <v>253</v>
      </c>
      <c r="H113" s="18">
        <f>ROUND(B113/1000,0)</f>
        <v>3611</v>
      </c>
      <c r="I113" s="18">
        <f>ROUND(C113/1000,0)</f>
        <v>2324</v>
      </c>
      <c r="J113" s="18">
        <f>ROUND(D113/1000,0)</f>
        <v>2266</v>
      </c>
      <c r="K113" s="20">
        <f t="shared" si="10"/>
        <v>0.6275270008307948</v>
      </c>
      <c r="L113" s="18">
        <f>J113-'[4]Jūlijs'!J113</f>
        <v>479</v>
      </c>
    </row>
    <row r="114" spans="1:12" ht="15" customHeight="1">
      <c r="A114" s="9" t="s">
        <v>296</v>
      </c>
      <c r="B114" s="96"/>
      <c r="C114" s="96"/>
      <c r="D114" s="96"/>
      <c r="E114" s="204" t="str">
        <f t="shared" si="9"/>
        <v> </v>
      </c>
      <c r="F114" s="96"/>
      <c r="G114" s="9" t="s">
        <v>296</v>
      </c>
      <c r="H114" s="180"/>
      <c r="I114" s="180"/>
      <c r="J114" s="180"/>
      <c r="K114" s="20"/>
      <c r="L114" s="180"/>
    </row>
    <row r="115" spans="1:12" ht="15.75" customHeight="1">
      <c r="A115" s="207" t="s">
        <v>297</v>
      </c>
      <c r="B115" s="96"/>
      <c r="C115" s="96"/>
      <c r="D115" s="96"/>
      <c r="E115" s="204" t="str">
        <f t="shared" si="9"/>
        <v> </v>
      </c>
      <c r="F115" s="96"/>
      <c r="G115" s="207" t="s">
        <v>297</v>
      </c>
      <c r="H115" s="180"/>
      <c r="I115" s="180"/>
      <c r="J115" s="180"/>
      <c r="K115" s="20"/>
      <c r="L115" s="180"/>
    </row>
    <row r="116" spans="1:12" ht="12.75">
      <c r="A116" s="60" t="s">
        <v>259</v>
      </c>
      <c r="B116" s="96">
        <f>SUM(B117:B119)</f>
        <v>453488313</v>
      </c>
      <c r="C116" s="96">
        <f>36125915+36707916+37245916+38083147+39168533+40272492+42330940+40530940</f>
        <v>310465799</v>
      </c>
      <c r="D116" s="96">
        <f>SUM(D117:D119)</f>
        <v>296942344</v>
      </c>
      <c r="E116" s="204">
        <f t="shared" si="9"/>
        <v>0.6547960233762408</v>
      </c>
      <c r="F116" s="96">
        <f>SUM(F117:F119)</f>
        <v>39387389</v>
      </c>
      <c r="G116" s="60" t="s">
        <v>259</v>
      </c>
      <c r="H116" s="180">
        <f>SUM(H117:H119)</f>
        <v>453488</v>
      </c>
      <c r="I116" s="18">
        <f aca="true" t="shared" si="17" ref="H116:J119">ROUND(C116/1000,0)</f>
        <v>310466</v>
      </c>
      <c r="J116" s="180">
        <f>SUM(J117:J119)</f>
        <v>296942</v>
      </c>
      <c r="K116" s="20">
        <f t="shared" si="10"/>
        <v>0.6547957167554599</v>
      </c>
      <c r="L116" s="18">
        <f>SUM(L117:L119)</f>
        <v>39387</v>
      </c>
    </row>
    <row r="117" spans="1:33" s="176" customFormat="1" ht="12.75">
      <c r="A117" s="208" t="s">
        <v>298</v>
      </c>
      <c r="B117" s="102">
        <v>445475000</v>
      </c>
      <c r="C117" s="102"/>
      <c r="D117" s="102">
        <v>291902344</v>
      </c>
      <c r="E117" s="204">
        <f t="shared" si="9"/>
        <v>0.6552608878163758</v>
      </c>
      <c r="F117" s="96">
        <f>D117-'[4]Jūlijs'!D117</f>
        <v>38796827</v>
      </c>
      <c r="G117" s="60" t="s">
        <v>298</v>
      </c>
      <c r="H117" s="18">
        <f t="shared" si="17"/>
        <v>445475</v>
      </c>
      <c r="I117" s="18">
        <f t="shared" si="17"/>
        <v>0</v>
      </c>
      <c r="J117" s="18">
        <f t="shared" si="17"/>
        <v>291902</v>
      </c>
      <c r="K117" s="20">
        <f t="shared" si="10"/>
        <v>0.6552601156069364</v>
      </c>
      <c r="L117" s="18">
        <f>J117-'[4]Jūlijs'!J117</f>
        <v>38796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76" customFormat="1" ht="12.75">
      <c r="A118" s="208" t="s">
        <v>299</v>
      </c>
      <c r="B118" s="102">
        <f>1890000+3597299+200000</f>
        <v>5687299</v>
      </c>
      <c r="C118" s="102"/>
      <c r="D118" s="102">
        <f>1209000+184266+2338388</f>
        <v>3731654</v>
      </c>
      <c r="E118" s="204">
        <f t="shared" si="9"/>
        <v>0.6561381773667957</v>
      </c>
      <c r="F118" s="96">
        <f>D118-'[4]Jūlijs'!D118</f>
        <v>500646</v>
      </c>
      <c r="G118" s="60" t="s">
        <v>299</v>
      </c>
      <c r="H118" s="18">
        <f t="shared" si="17"/>
        <v>5687</v>
      </c>
      <c r="I118" s="18">
        <f t="shared" si="17"/>
        <v>0</v>
      </c>
      <c r="J118" s="18">
        <f t="shared" si="17"/>
        <v>3732</v>
      </c>
      <c r="K118" s="20">
        <f t="shared" si="10"/>
        <v>0.6562335150342887</v>
      </c>
      <c r="L118" s="18">
        <f>J118-'[4]Jūlijs'!J118</f>
        <v>501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76" customFormat="1" ht="12.75">
      <c r="A119" s="208" t="s">
        <v>300</v>
      </c>
      <c r="B119" s="102">
        <v>2326014</v>
      </c>
      <c r="C119" s="102"/>
      <c r="D119" s="102">
        <f>3646734-2338388</f>
        <v>1308346</v>
      </c>
      <c r="E119" s="204">
        <f t="shared" si="9"/>
        <v>0.562484146699031</v>
      </c>
      <c r="F119" s="96">
        <f>D119-'[4]Jūlijs'!D119</f>
        <v>89916</v>
      </c>
      <c r="G119" s="60" t="s">
        <v>300</v>
      </c>
      <c r="H119" s="18">
        <f t="shared" si="17"/>
        <v>2326</v>
      </c>
      <c r="I119" s="18">
        <f t="shared" si="17"/>
        <v>0</v>
      </c>
      <c r="J119" s="18">
        <f>ROUND(D119/1000,0)</f>
        <v>1308</v>
      </c>
      <c r="K119" s="20">
        <f t="shared" si="10"/>
        <v>0.5623387790197765</v>
      </c>
      <c r="L119" s="18">
        <f>J119-'[4]Jūlijs'!J119</f>
        <v>90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76" customFormat="1" ht="12.75">
      <c r="A120" s="60" t="s">
        <v>260</v>
      </c>
      <c r="B120" s="96">
        <v>523210392</v>
      </c>
      <c r="C120" s="96">
        <f>SUM(C121:C122)</f>
        <v>350704797</v>
      </c>
      <c r="D120" s="96">
        <f>SUM(D121:D122)</f>
        <v>340128854</v>
      </c>
      <c r="E120" s="204">
        <f t="shared" si="9"/>
        <v>0.6500804632336126</v>
      </c>
      <c r="F120" s="96">
        <f>SUM(F121:F122)</f>
        <v>43399791</v>
      </c>
      <c r="G120" s="60" t="s">
        <v>260</v>
      </c>
      <c r="H120" s="96">
        <f>SUM(H121:H122)</f>
        <v>523210</v>
      </c>
      <c r="I120" s="96">
        <f>SUM(I121:I122)</f>
        <v>350705</v>
      </c>
      <c r="J120" s="96">
        <f>SUM(J121:J122)</f>
        <v>340129</v>
      </c>
      <c r="K120" s="20">
        <f t="shared" si="10"/>
        <v>0.6500812293343017</v>
      </c>
      <c r="L120" s="180">
        <f>SUM(L121:L122)</f>
        <v>43400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60" t="s">
        <v>252</v>
      </c>
      <c r="B121" s="96">
        <v>519554392</v>
      </c>
      <c r="C121" s="96">
        <f>37828437+41772077+45619032+40393708+43914085+46026376+43867144+49416233</f>
        <v>348837092</v>
      </c>
      <c r="D121" s="96">
        <v>338514288</v>
      </c>
      <c r="E121" s="204">
        <f t="shared" si="9"/>
        <v>0.6515473513695175</v>
      </c>
      <c r="F121" s="96">
        <f>D121-'[4]Jūlijs'!D121</f>
        <v>43264376</v>
      </c>
      <c r="G121" s="60" t="s">
        <v>252</v>
      </c>
      <c r="H121" s="18">
        <f aca="true" t="shared" si="18" ref="H121:J124">ROUND(B121/1000,0)</f>
        <v>519554</v>
      </c>
      <c r="I121" s="18">
        <f t="shared" si="18"/>
        <v>348837</v>
      </c>
      <c r="J121" s="18">
        <f t="shared" si="18"/>
        <v>338514</v>
      </c>
      <c r="K121" s="20">
        <f t="shared" si="10"/>
        <v>0.6515472886360224</v>
      </c>
      <c r="L121" s="18">
        <f>J121-'[4]Jūlijs'!J121</f>
        <v>43264</v>
      </c>
    </row>
    <row r="122" spans="1:12" ht="12.75">
      <c r="A122" s="60" t="s">
        <v>253</v>
      </c>
      <c r="B122" s="96">
        <v>3656000</v>
      </c>
      <c r="C122" s="96">
        <f>58000+66182+95182+787839+666269+44714+41525+107994</f>
        <v>1867705</v>
      </c>
      <c r="D122" s="96">
        <v>1614566</v>
      </c>
      <c r="E122" s="204">
        <f t="shared" si="9"/>
        <v>0.44162089715536107</v>
      </c>
      <c r="F122" s="96">
        <f>D122-'[4]Jūlijs'!D122</f>
        <v>135415</v>
      </c>
      <c r="G122" s="60" t="s">
        <v>253</v>
      </c>
      <c r="H122" s="18">
        <f t="shared" si="18"/>
        <v>3656</v>
      </c>
      <c r="I122" s="18">
        <f t="shared" si="18"/>
        <v>1868</v>
      </c>
      <c r="J122" s="18">
        <f t="shared" si="18"/>
        <v>1615</v>
      </c>
      <c r="K122" s="20">
        <f t="shared" si="10"/>
        <v>0.44173960612691465</v>
      </c>
      <c r="L122" s="18">
        <f>J122-'[4]Jūlijs'!J122</f>
        <v>136</v>
      </c>
    </row>
    <row r="123" spans="1:12" ht="12.75">
      <c r="A123" s="60" t="s">
        <v>256</v>
      </c>
      <c r="B123" s="96">
        <v>-69722079</v>
      </c>
      <c r="C123" s="96">
        <f>SUM(C116-C120)</f>
        <v>-40238998</v>
      </c>
      <c r="D123" s="96">
        <f>SUM(D116-D120)</f>
        <v>-43186510</v>
      </c>
      <c r="E123" s="204">
        <f t="shared" si="9"/>
        <v>0.6194093839341768</v>
      </c>
      <c r="F123" s="96">
        <f>SUM(F116-F120)</f>
        <v>-4012402</v>
      </c>
      <c r="G123" s="60" t="s">
        <v>256</v>
      </c>
      <c r="H123" s="18">
        <f t="shared" si="18"/>
        <v>-69722</v>
      </c>
      <c r="I123" s="18">
        <f t="shared" si="18"/>
        <v>-40239</v>
      </c>
      <c r="J123" s="18">
        <f t="shared" si="18"/>
        <v>-43187</v>
      </c>
      <c r="K123" s="20">
        <f t="shared" si="10"/>
        <v>0.6194171136800436</v>
      </c>
      <c r="L123" s="18">
        <f>J123-'[4]Jūlijs'!J123</f>
        <v>-4013</v>
      </c>
    </row>
    <row r="124" spans="1:12" ht="12.75">
      <c r="A124" s="60" t="s">
        <v>243</v>
      </c>
      <c r="B124" s="96">
        <v>54693986</v>
      </c>
      <c r="C124" s="96"/>
      <c r="D124" s="96">
        <f>26630396+904950</f>
        <v>27535346</v>
      </c>
      <c r="E124" s="204">
        <f t="shared" si="9"/>
        <v>0.5034437607089013</v>
      </c>
      <c r="F124" s="96">
        <f>D124-'[4]Jūlijs'!D124</f>
        <v>3653339</v>
      </c>
      <c r="G124" s="60" t="s">
        <v>243</v>
      </c>
      <c r="H124" s="18">
        <f t="shared" si="18"/>
        <v>54694</v>
      </c>
      <c r="I124" s="18">
        <f t="shared" si="18"/>
        <v>0</v>
      </c>
      <c r="J124" s="18">
        <f>ROUND(D124/1000,0)</f>
        <v>27535</v>
      </c>
      <c r="K124" s="20">
        <f t="shared" si="10"/>
        <v>0.5034373057373752</v>
      </c>
      <c r="L124" s="18">
        <f>J124-'[4]Jūlijs'!J124</f>
        <v>3653</v>
      </c>
    </row>
    <row r="125" spans="1:12" ht="12.75">
      <c r="A125" s="207" t="s">
        <v>301</v>
      </c>
      <c r="B125" s="96"/>
      <c r="C125" s="96"/>
      <c r="D125" s="96"/>
      <c r="E125" s="204" t="str">
        <f t="shared" si="9"/>
        <v> </v>
      </c>
      <c r="F125" s="96"/>
      <c r="G125" s="207" t="s">
        <v>301</v>
      </c>
      <c r="H125" s="180"/>
      <c r="I125" s="180"/>
      <c r="J125" s="180"/>
      <c r="K125" s="20"/>
      <c r="L125" s="180"/>
    </row>
    <row r="126" spans="1:12" ht="12.75">
      <c r="A126" s="60" t="s">
        <v>259</v>
      </c>
      <c r="B126" s="96">
        <f>SUM(B127:B129)</f>
        <v>359238385</v>
      </c>
      <c r="C126" s="96">
        <f>28576600+29016476+29423097+31977699+30239101+31555760+33111902+31751102</f>
        <v>245651737</v>
      </c>
      <c r="D126" s="96">
        <f>SUM(D127:D129)</f>
        <v>234929016</v>
      </c>
      <c r="E126" s="204">
        <f t="shared" si="9"/>
        <v>0.6539641246856179</v>
      </c>
      <c r="F126" s="96">
        <f>SUM(F127:F129)</f>
        <v>30892680</v>
      </c>
      <c r="G126" s="60" t="s">
        <v>259</v>
      </c>
      <c r="H126" s="180">
        <f>SUM(H127:H129)</f>
        <v>359238</v>
      </c>
      <c r="I126" s="26">
        <f aca="true" t="shared" si="19" ref="H126:J131">ROUND(C126/1000,0)</f>
        <v>245652</v>
      </c>
      <c r="J126" s="180">
        <f>SUM(J127:J129)</f>
        <v>234928</v>
      </c>
      <c r="K126" s="20">
        <f t="shared" si="10"/>
        <v>0.6539619973388116</v>
      </c>
      <c r="L126" s="18">
        <f>SUM(L127:L129)</f>
        <v>30891</v>
      </c>
    </row>
    <row r="127" spans="1:33" s="176" customFormat="1" ht="12.75">
      <c r="A127" s="208" t="s">
        <v>298</v>
      </c>
      <c r="B127" s="102">
        <v>336834000</v>
      </c>
      <c r="C127" s="102"/>
      <c r="D127" s="26">
        <v>220682789</v>
      </c>
      <c r="E127" s="204" t="str">
        <f>IF(ISERROR(#REF!/B127)," ",(#REF!/B127))</f>
        <v> </v>
      </c>
      <c r="F127" s="96">
        <f>D127-'[4]Jūlijs'!D127</f>
        <v>29333140</v>
      </c>
      <c r="G127" s="208" t="s">
        <v>298</v>
      </c>
      <c r="H127" s="26">
        <f t="shared" si="19"/>
        <v>336834</v>
      </c>
      <c r="I127" s="26">
        <f t="shared" si="19"/>
        <v>0</v>
      </c>
      <c r="J127" s="26">
        <f>ROUND(D127/1000,0)-1</f>
        <v>220682</v>
      </c>
      <c r="K127" s="27">
        <f t="shared" si="10"/>
        <v>0.6551654524186988</v>
      </c>
      <c r="L127" s="26">
        <f>J127-'[4]Jūlijs'!J127</f>
        <v>29332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76" customFormat="1" ht="12.75">
      <c r="A128" s="208" t="s">
        <v>299</v>
      </c>
      <c r="B128" s="102">
        <v>3224892</v>
      </c>
      <c r="C128" s="102"/>
      <c r="D128" s="26">
        <v>2056340</v>
      </c>
      <c r="E128" s="204" t="str">
        <f>IF(ISERROR(#REF!/B128)," ",(#REF!/B128))</f>
        <v> </v>
      </c>
      <c r="F128" s="96">
        <f>D128-'[4]Jūlijs'!D128</f>
        <v>283551</v>
      </c>
      <c r="G128" s="208" t="s">
        <v>299</v>
      </c>
      <c r="H128" s="26">
        <f t="shared" si="19"/>
        <v>3225</v>
      </c>
      <c r="I128" s="26">
        <f t="shared" si="19"/>
        <v>0</v>
      </c>
      <c r="J128" s="26">
        <f t="shared" si="19"/>
        <v>2056</v>
      </c>
      <c r="K128" s="27">
        <f t="shared" si="10"/>
        <v>0.6375193798449612</v>
      </c>
      <c r="L128" s="26">
        <f>J128-'[4]Jūlijs'!J128</f>
        <v>283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76" customFormat="1" ht="12.75">
      <c r="A129" s="208" t="s">
        <v>300</v>
      </c>
      <c r="B129" s="102">
        <v>19179493</v>
      </c>
      <c r="C129" s="102"/>
      <c r="D129" s="26">
        <f>234929016-222739129</f>
        <v>12189887</v>
      </c>
      <c r="E129" s="204" t="str">
        <f>IF(ISERROR(#REF!/B129)," ",(#REF!/B129))</f>
        <v> </v>
      </c>
      <c r="F129" s="96">
        <f>D129-'[4]Jūlijs'!D129</f>
        <v>1275989</v>
      </c>
      <c r="G129" s="208" t="s">
        <v>300</v>
      </c>
      <c r="H129" s="26">
        <f t="shared" si="19"/>
        <v>19179</v>
      </c>
      <c r="I129" s="26">
        <f t="shared" si="19"/>
        <v>0</v>
      </c>
      <c r="J129" s="26">
        <f t="shared" si="19"/>
        <v>12190</v>
      </c>
      <c r="K129" s="27">
        <f t="shared" si="10"/>
        <v>0.6355910110016163</v>
      </c>
      <c r="L129" s="26">
        <f>J129-'[4]Jūlijs'!J129</f>
        <v>1276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76" customFormat="1" ht="12.75">
      <c r="A130" s="60" t="s">
        <v>260</v>
      </c>
      <c r="B130" s="102">
        <f>SUM(B131)</f>
        <v>405035050</v>
      </c>
      <c r="C130" s="102">
        <f>SUM(C131)</f>
        <v>271196990</v>
      </c>
      <c r="D130" s="102">
        <f>SUM(D131)</f>
        <v>263697004</v>
      </c>
      <c r="E130" s="204">
        <f t="shared" si="9"/>
        <v>0.6510473698510784</v>
      </c>
      <c r="F130" s="102">
        <f>SUM(F131)</f>
        <v>33986203</v>
      </c>
      <c r="G130" s="60" t="s">
        <v>260</v>
      </c>
      <c r="H130" s="180">
        <f>SUM(H131)</f>
        <v>405035</v>
      </c>
      <c r="I130" s="180">
        <f>SUM(I131)</f>
        <v>271197</v>
      </c>
      <c r="J130" s="180">
        <f>SUM(J131)</f>
        <v>263697</v>
      </c>
      <c r="K130" s="20">
        <f t="shared" si="10"/>
        <v>0.6510474403446616</v>
      </c>
      <c r="L130" s="180">
        <f>SUM(L131)</f>
        <v>33986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60" t="s">
        <v>302</v>
      </c>
      <c r="B131" s="96">
        <v>405035050</v>
      </c>
      <c r="C131" s="96">
        <f>29634910+32118610+35602310+32281900+30694982+36054614+34669982+40139682</f>
        <v>271196990</v>
      </c>
      <c r="D131" s="26">
        <v>263697004</v>
      </c>
      <c r="E131" s="204" t="str">
        <f>IF(ISERROR(#REF!/B131)," ",(#REF!/B131))</f>
        <v> </v>
      </c>
      <c r="F131" s="96">
        <f>D131-'[4]Jūlijs'!D131</f>
        <v>33986203</v>
      </c>
      <c r="G131" s="208" t="s">
        <v>302</v>
      </c>
      <c r="H131" s="26">
        <f>ROUND(B131/1000,0)</f>
        <v>405035</v>
      </c>
      <c r="I131" s="26">
        <f>ROUND(C131/1000,0)</f>
        <v>271197</v>
      </c>
      <c r="J131" s="26">
        <f t="shared" si="19"/>
        <v>263697</v>
      </c>
      <c r="K131" s="27">
        <f t="shared" si="10"/>
        <v>0.6510474403446616</v>
      </c>
      <c r="L131" s="26">
        <f>J131-'[4]Jūlijs'!J131</f>
        <v>33986</v>
      </c>
    </row>
    <row r="132" spans="1:12" ht="12.75">
      <c r="A132" s="60" t="s">
        <v>256</v>
      </c>
      <c r="B132" s="96">
        <f>SUM(B126-B130)</f>
        <v>-45796665</v>
      </c>
      <c r="C132" s="96">
        <f>SUM(C126-C130)</f>
        <v>-25545253</v>
      </c>
      <c r="D132" s="96">
        <f>SUM(D126-D130)</f>
        <v>-28767988</v>
      </c>
      <c r="E132" s="204">
        <f t="shared" si="9"/>
        <v>0.628167749769552</v>
      </c>
      <c r="F132" s="96">
        <f>SUM(F126-F130)</f>
        <v>-3093523</v>
      </c>
      <c r="G132" s="60" t="s">
        <v>256</v>
      </c>
      <c r="H132" s="180">
        <f>SUM(H126-H130)</f>
        <v>-45797</v>
      </c>
      <c r="I132" s="180">
        <f>SUM(I126-I130)</f>
        <v>-25545</v>
      </c>
      <c r="J132" s="180">
        <f>SUM(J126-J130)</f>
        <v>-28769</v>
      </c>
      <c r="K132" s="20">
        <f t="shared" si="10"/>
        <v>0.6281852523091033</v>
      </c>
      <c r="L132" s="180">
        <f>SUM(L126-L130)</f>
        <v>-3095</v>
      </c>
    </row>
    <row r="133" spans="1:12" ht="12.75">
      <c r="A133" s="60" t="s">
        <v>243</v>
      </c>
      <c r="B133" s="96">
        <v>40394886</v>
      </c>
      <c r="C133" s="96"/>
      <c r="D133" s="96">
        <v>21234658</v>
      </c>
      <c r="E133" s="204">
        <f t="shared" si="9"/>
        <v>0.5256768889012337</v>
      </c>
      <c r="F133" s="96">
        <f>D133-'[4]Jūlijs'!D133</f>
        <v>3088576</v>
      </c>
      <c r="G133" s="60" t="s">
        <v>243</v>
      </c>
      <c r="H133" s="18">
        <f>ROUND(B133/1000,0)</f>
        <v>40395</v>
      </c>
      <c r="I133" s="18">
        <f>ROUND(C133/1000,0)</f>
        <v>0</v>
      </c>
      <c r="J133" s="18">
        <f>ROUND(D133/1000,0)</f>
        <v>21235</v>
      </c>
      <c r="K133" s="20">
        <f t="shared" si="10"/>
        <v>0.5256838717663077</v>
      </c>
      <c r="L133" s="18">
        <f>J133-'[4]Jūlijs'!J133</f>
        <v>3089</v>
      </c>
    </row>
    <row r="134" spans="1:12" ht="12.75">
      <c r="A134" s="207" t="s">
        <v>303</v>
      </c>
      <c r="B134" s="96"/>
      <c r="C134" s="96"/>
      <c r="D134" s="96"/>
      <c r="E134" s="204" t="str">
        <f t="shared" si="9"/>
        <v> </v>
      </c>
      <c r="F134" s="96"/>
      <c r="G134" s="207" t="s">
        <v>303</v>
      </c>
      <c r="H134" s="180"/>
      <c r="I134" s="180"/>
      <c r="J134" s="180"/>
      <c r="K134" s="20"/>
      <c r="L134" s="180"/>
    </row>
    <row r="135" spans="1:12" ht="12.75">
      <c r="A135" s="60" t="s">
        <v>259</v>
      </c>
      <c r="B135" s="96">
        <f>SUM(B136:B138)</f>
        <v>32506731</v>
      </c>
      <c r="C135" s="96">
        <f>2874933+2862264+2903690+1320586+2813701+2920858+3054241+2940301</f>
        <v>21690574</v>
      </c>
      <c r="D135" s="96">
        <f>SUM(D136:D138)</f>
        <v>22558363</v>
      </c>
      <c r="E135" s="204">
        <f t="shared" si="9"/>
        <v>0.693959752520178</v>
      </c>
      <c r="F135" s="96">
        <f>SUM(F136:F138)</f>
        <v>2874057</v>
      </c>
      <c r="G135" s="60" t="s">
        <v>259</v>
      </c>
      <c r="H135" s="180">
        <f>SUM(H136:H138)</f>
        <v>32507</v>
      </c>
      <c r="I135" s="26">
        <f aca="true" t="shared" si="20" ref="H135:J138">ROUND(C135/1000,0)</f>
        <v>21691</v>
      </c>
      <c r="J135" s="180">
        <f>SUM(J136:J138)</f>
        <v>22557</v>
      </c>
      <c r="K135" s="20">
        <f t="shared" si="10"/>
        <v>0.6939120804749747</v>
      </c>
      <c r="L135" s="18">
        <f>SUM(L136:L138)</f>
        <v>2872</v>
      </c>
    </row>
    <row r="136" spans="1:33" s="176" customFormat="1" ht="12.75">
      <c r="A136" s="208" t="s">
        <v>298</v>
      </c>
      <c r="B136" s="102">
        <v>28184325</v>
      </c>
      <c r="C136" s="102"/>
      <c r="D136" s="102">
        <v>19873846</v>
      </c>
      <c r="E136" s="204">
        <f t="shared" si="9"/>
        <v>0.7051382639108795</v>
      </c>
      <c r="F136" s="96">
        <f>D136-'[4]Jūlijs'!D136</f>
        <v>2455129</v>
      </c>
      <c r="G136" s="208" t="s">
        <v>298</v>
      </c>
      <c r="H136" s="26">
        <f t="shared" si="20"/>
        <v>28184</v>
      </c>
      <c r="I136" s="26">
        <f t="shared" si="20"/>
        <v>0</v>
      </c>
      <c r="J136" s="26">
        <f t="shared" si="20"/>
        <v>19874</v>
      </c>
      <c r="K136" s="27">
        <f t="shared" si="10"/>
        <v>0.7051518592108998</v>
      </c>
      <c r="L136" s="26">
        <f>J136-'[4]Jūlijs'!J136</f>
        <v>2455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76" customFormat="1" ht="12.75">
      <c r="A137" s="208" t="s">
        <v>299</v>
      </c>
      <c r="B137" s="102">
        <v>372407</v>
      </c>
      <c r="C137" s="102"/>
      <c r="D137" s="102">
        <v>282048</v>
      </c>
      <c r="E137" s="204">
        <f t="shared" si="9"/>
        <v>0.7573649260083726</v>
      </c>
      <c r="F137" s="96">
        <f>D137-'[4]Jūlijs'!D137</f>
        <v>31177</v>
      </c>
      <c r="G137" s="208" t="s">
        <v>299</v>
      </c>
      <c r="H137" s="26">
        <f>ROUND(B137/1000,0)+1</f>
        <v>373</v>
      </c>
      <c r="I137" s="26">
        <f t="shared" si="20"/>
        <v>0</v>
      </c>
      <c r="J137" s="26">
        <f>ROUND(D137/1000,0)-1</f>
        <v>281</v>
      </c>
      <c r="K137" s="27">
        <f t="shared" si="10"/>
        <v>0.7533512064343163</v>
      </c>
      <c r="L137" s="26">
        <f>J137-'[4]Jūlijs'!J137</f>
        <v>30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76" customFormat="1" ht="12.75">
      <c r="A138" s="208" t="s">
        <v>300</v>
      </c>
      <c r="B138" s="102">
        <v>3949999</v>
      </c>
      <c r="C138" s="102"/>
      <c r="D138" s="102">
        <f>22558363-20155894</f>
        <v>2402469</v>
      </c>
      <c r="E138" s="204">
        <f aca="true" t="shared" si="21" ref="E138:E201">IF(ISERROR(D138/B138)," ",(D138/B138))</f>
        <v>0.6082201539797858</v>
      </c>
      <c r="F138" s="96">
        <f>D138-'[4]Jūlijs'!D138</f>
        <v>387751</v>
      </c>
      <c r="G138" s="208" t="s">
        <v>300</v>
      </c>
      <c r="H138" s="26">
        <f>ROUND(B138/1000,0)</f>
        <v>3950</v>
      </c>
      <c r="I138" s="26">
        <f t="shared" si="20"/>
        <v>0</v>
      </c>
      <c r="J138" s="26">
        <f t="shared" si="20"/>
        <v>2402</v>
      </c>
      <c r="K138" s="27">
        <f aca="true" t="shared" si="22" ref="K138:K201">IF(ISERROR(ROUND(J138,0)/ROUND(H138,0))," ",(ROUND(J138,)/ROUND(H138,)))</f>
        <v>0.6081012658227848</v>
      </c>
      <c r="L138" s="26">
        <f>J138-'[4]Jūlijs'!J138</f>
        <v>387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76" customFormat="1" ht="12.75">
      <c r="A139" s="60" t="s">
        <v>260</v>
      </c>
      <c r="B139" s="102">
        <f>SUM(B140:B141)</f>
        <v>43019897</v>
      </c>
      <c r="C139" s="102">
        <f>SUM(C140:C141)</f>
        <v>30281567</v>
      </c>
      <c r="D139" s="102">
        <f>SUM(D140:D141)</f>
        <v>29985905</v>
      </c>
      <c r="E139" s="204">
        <f t="shared" si="21"/>
        <v>0.6970241002669068</v>
      </c>
      <c r="F139" s="102">
        <f>SUM(F140:F141)</f>
        <v>3162706</v>
      </c>
      <c r="G139" s="60" t="s">
        <v>260</v>
      </c>
      <c r="H139" s="180">
        <f>SUM(H140:H141)</f>
        <v>43020</v>
      </c>
      <c r="I139" s="180">
        <f>SUM(I140:I141)</f>
        <v>30282</v>
      </c>
      <c r="J139" s="180">
        <f>SUM(J140:J141)</f>
        <v>29986</v>
      </c>
      <c r="K139" s="20">
        <f t="shared" si="22"/>
        <v>0.697024639702464</v>
      </c>
      <c r="L139" s="180">
        <f>SUM(L140:L141)</f>
        <v>3163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76" customFormat="1" ht="12.75">
      <c r="A140" s="208" t="s">
        <v>302</v>
      </c>
      <c r="B140" s="102">
        <v>43004897</v>
      </c>
      <c r="C140" s="102">
        <f>2831969+4032909+3877164+6234911+3314456+3312456+3344456+3318246</f>
        <v>30266567</v>
      </c>
      <c r="D140" s="102">
        <v>29970905</v>
      </c>
      <c r="E140" s="213">
        <f t="shared" si="21"/>
        <v>0.6969184230344744</v>
      </c>
      <c r="F140" s="96">
        <f>D140-'[4]Jūlijs'!D140</f>
        <v>3162706</v>
      </c>
      <c r="G140" s="208" t="s">
        <v>302</v>
      </c>
      <c r="H140" s="26">
        <f aca="true" t="shared" si="23" ref="H140:J141">ROUND(B140/1000,0)</f>
        <v>43005</v>
      </c>
      <c r="I140" s="26">
        <f t="shared" si="23"/>
        <v>30267</v>
      </c>
      <c r="J140" s="26">
        <f t="shared" si="23"/>
        <v>29971</v>
      </c>
      <c r="K140" s="27">
        <f t="shared" si="22"/>
        <v>0.6969189629112894</v>
      </c>
      <c r="L140" s="26">
        <f>J140-'[4]Jūlijs'!J140</f>
        <v>3163</v>
      </c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</row>
    <row r="141" spans="1:33" s="176" customFormat="1" ht="12.75">
      <c r="A141" s="208" t="s">
        <v>304</v>
      </c>
      <c r="B141" s="102">
        <v>15000</v>
      </c>
      <c r="C141" s="102">
        <f>5000+10000</f>
        <v>15000</v>
      </c>
      <c r="D141" s="102">
        <v>15000</v>
      </c>
      <c r="E141" s="213">
        <f t="shared" si="21"/>
        <v>1</v>
      </c>
      <c r="F141" s="96">
        <f>D141-'[4]Jūlijs'!D141</f>
        <v>0</v>
      </c>
      <c r="G141" s="208" t="s">
        <v>304</v>
      </c>
      <c r="H141" s="26">
        <f t="shared" si="23"/>
        <v>15</v>
      </c>
      <c r="I141" s="26">
        <f t="shared" si="23"/>
        <v>15</v>
      </c>
      <c r="J141" s="26">
        <f t="shared" si="23"/>
        <v>15</v>
      </c>
      <c r="K141" s="27">
        <f t="shared" si="22"/>
        <v>1</v>
      </c>
      <c r="L141" s="26">
        <f>J141-'[4]Jūlijs'!J141</f>
        <v>0</v>
      </c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</row>
    <row r="142" spans="1:12" ht="12.75">
      <c r="A142" s="60" t="s">
        <v>256</v>
      </c>
      <c r="B142" s="96">
        <f>SUM(B135-B139)</f>
        <v>-10513166</v>
      </c>
      <c r="C142" s="96">
        <f>SUM(C135-C139)</f>
        <v>-8590993</v>
      </c>
      <c r="D142" s="96">
        <f>SUM(D135-D139)</f>
        <v>-7427542</v>
      </c>
      <c r="E142" s="204">
        <f t="shared" si="21"/>
        <v>0.7064990698330075</v>
      </c>
      <c r="F142" s="96">
        <f>SUM(F135-F139)</f>
        <v>-288649</v>
      </c>
      <c r="G142" s="60" t="s">
        <v>256</v>
      </c>
      <c r="H142" s="180">
        <f>SUM(H135-H139)</f>
        <v>-10513</v>
      </c>
      <c r="I142" s="180">
        <f>SUM(I135-I139)</f>
        <v>-8591</v>
      </c>
      <c r="J142" s="180">
        <f>SUM(J135-J139)</f>
        <v>-7429</v>
      </c>
      <c r="K142" s="20">
        <f t="shared" si="22"/>
        <v>0.7066489108722535</v>
      </c>
      <c r="L142" s="180">
        <f>SUM(L135-L139)</f>
        <v>-291</v>
      </c>
    </row>
    <row r="143" spans="1:12" ht="12.75">
      <c r="A143" s="60" t="s">
        <v>243</v>
      </c>
      <c r="B143" s="215">
        <v>1262595</v>
      </c>
      <c r="C143" s="215"/>
      <c r="D143" s="215"/>
      <c r="E143" s="204">
        <f t="shared" si="21"/>
        <v>0</v>
      </c>
      <c r="F143" s="96">
        <f>D143-'[4]Jūlijs'!D143</f>
        <v>0</v>
      </c>
      <c r="G143" s="60" t="s">
        <v>243</v>
      </c>
      <c r="H143" s="18">
        <f>ROUND(B143/1000,0)</f>
        <v>1263</v>
      </c>
      <c r="I143" s="18">
        <f>ROUND(C143/1000,0)</f>
        <v>0</v>
      </c>
      <c r="J143" s="18">
        <f>ROUND(D143/1000,0)</f>
        <v>0</v>
      </c>
      <c r="K143" s="20"/>
      <c r="L143" s="18">
        <f>J143-'[4]Jūlijs'!J143</f>
        <v>0</v>
      </c>
    </row>
    <row r="144" spans="1:12" ht="12.75">
      <c r="A144" s="207" t="s">
        <v>305</v>
      </c>
      <c r="B144" s="96"/>
      <c r="C144" s="96"/>
      <c r="D144" s="96"/>
      <c r="E144" s="204" t="str">
        <f t="shared" si="21"/>
        <v> </v>
      </c>
      <c r="F144" s="96"/>
      <c r="G144" s="207" t="s">
        <v>305</v>
      </c>
      <c r="H144" s="180"/>
      <c r="I144" s="180"/>
      <c r="J144" s="180"/>
      <c r="K144" s="20" t="str">
        <f t="shared" si="22"/>
        <v> </v>
      </c>
      <c r="L144" s="180"/>
    </row>
    <row r="145" spans="1:12" ht="12.75">
      <c r="A145" s="60" t="s">
        <v>259</v>
      </c>
      <c r="B145" s="96">
        <f>SUM(B146:B148)</f>
        <v>1071605</v>
      </c>
      <c r="C145" s="96">
        <f>92080+93535+94879+67436+89805+93767+98545+94405</f>
        <v>724452</v>
      </c>
      <c r="D145" s="96">
        <f>SUM(D146:D148)</f>
        <v>706106</v>
      </c>
      <c r="E145" s="204">
        <f t="shared" si="21"/>
        <v>0.65892376388688</v>
      </c>
      <c r="F145" s="96">
        <f>SUM(F146:F148)</f>
        <v>91043</v>
      </c>
      <c r="G145" s="60" t="s">
        <v>259</v>
      </c>
      <c r="H145" s="180">
        <f>SUM(H146:H148)</f>
        <v>1072</v>
      </c>
      <c r="I145" s="26">
        <f>ROUND(C145/1000,0)</f>
        <v>724</v>
      </c>
      <c r="J145" s="180">
        <f>SUM(J146:J148)</f>
        <v>706</v>
      </c>
      <c r="K145" s="20">
        <f t="shared" si="22"/>
        <v>0.6585820895522388</v>
      </c>
      <c r="L145" s="180">
        <f>SUM(L146:L148)</f>
        <v>91</v>
      </c>
    </row>
    <row r="146" spans="1:33" s="176" customFormat="1" ht="12.75">
      <c r="A146" s="208" t="s">
        <v>298</v>
      </c>
      <c r="B146" s="102">
        <v>1024075</v>
      </c>
      <c r="C146" s="102"/>
      <c r="D146" s="102">
        <v>691577</v>
      </c>
      <c r="E146" s="204">
        <f t="shared" si="21"/>
        <v>0.675318702243488</v>
      </c>
      <c r="F146" s="96">
        <f>D146-'[4]Jūlijs'!D146</f>
        <v>89207</v>
      </c>
      <c r="G146" s="208" t="s">
        <v>298</v>
      </c>
      <c r="H146" s="26">
        <f>ROUND(B146/1000,0)</f>
        <v>1024</v>
      </c>
      <c r="I146" s="26">
        <f>ROUND(C146/1000,0)</f>
        <v>0</v>
      </c>
      <c r="J146" s="26">
        <f>ROUND(D146/1000,0)</f>
        <v>692</v>
      </c>
      <c r="K146" s="27">
        <f t="shared" si="22"/>
        <v>0.67578125</v>
      </c>
      <c r="L146" s="26">
        <f>J146-'[4]Jūlijs'!J146</f>
        <v>90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76" customFormat="1" ht="13.5" customHeight="1" hidden="1">
      <c r="A147" s="208"/>
      <c r="B147" s="102"/>
      <c r="C147" s="102"/>
      <c r="D147" s="102"/>
      <c r="E147" s="204" t="str">
        <f t="shared" si="21"/>
        <v> </v>
      </c>
      <c r="F147" s="102"/>
      <c r="G147" s="208"/>
      <c r="H147" s="216"/>
      <c r="I147" s="216"/>
      <c r="J147" s="216"/>
      <c r="K147" s="27" t="str">
        <f t="shared" si="22"/>
        <v> </v>
      </c>
      <c r="L147" s="216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76" customFormat="1" ht="12.75">
      <c r="A148" s="208" t="s">
        <v>300</v>
      </c>
      <c r="B148" s="102">
        <v>47530</v>
      </c>
      <c r="C148" s="102"/>
      <c r="D148" s="102">
        <f>706106-691577</f>
        <v>14529</v>
      </c>
      <c r="E148" s="204">
        <f t="shared" si="21"/>
        <v>0.30568062276456975</v>
      </c>
      <c r="F148" s="96">
        <f>D148-'[4]Jūlijs'!D148</f>
        <v>1836</v>
      </c>
      <c r="G148" s="208" t="s">
        <v>300</v>
      </c>
      <c r="H148" s="26">
        <f>ROUND(B148/1000,0)</f>
        <v>48</v>
      </c>
      <c r="I148" s="26">
        <f>ROUND(C148/1000,0)</f>
        <v>0</v>
      </c>
      <c r="J148" s="26">
        <f>ROUND(D148/1000,0)-1</f>
        <v>14</v>
      </c>
      <c r="K148" s="27">
        <f t="shared" si="22"/>
        <v>0.2916666666666667</v>
      </c>
      <c r="L148" s="18">
        <f>J148-'[4]Jūlijs'!J148</f>
        <v>1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76" customFormat="1" ht="12.75">
      <c r="A149" s="60" t="s">
        <v>260</v>
      </c>
      <c r="B149" s="102">
        <f>SUM(B150:B151)</f>
        <v>1184169</v>
      </c>
      <c r="C149" s="102">
        <f>SUM(C150:C151)</f>
        <v>478449</v>
      </c>
      <c r="D149" s="102">
        <f>SUM(D150:D151)</f>
        <v>383002</v>
      </c>
      <c r="E149" s="204">
        <f t="shared" si="21"/>
        <v>0.32343525290731306</v>
      </c>
      <c r="F149" s="102">
        <f>SUM(F150:F151)</f>
        <v>80458</v>
      </c>
      <c r="G149" s="60" t="s">
        <v>260</v>
      </c>
      <c r="H149" s="180">
        <f>SUM(H150:H151)</f>
        <v>1184</v>
      </c>
      <c r="I149" s="180">
        <f>SUM(I150:I151)</f>
        <v>478</v>
      </c>
      <c r="J149" s="180">
        <f>SUM(J150:J151)</f>
        <v>383</v>
      </c>
      <c r="K149" s="20">
        <f t="shared" si="22"/>
        <v>0.3234797297297297</v>
      </c>
      <c r="L149" s="180">
        <f>SUM(L150:L151)</f>
        <v>80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60" t="s">
        <v>302</v>
      </c>
      <c r="B150" s="96">
        <v>1184169</v>
      </c>
      <c r="C150" s="96">
        <f>45717+45717+45717+58947+63488+70488+73888+74487</f>
        <v>478449</v>
      </c>
      <c r="D150" s="96">
        <v>383002</v>
      </c>
      <c r="E150" s="204">
        <f t="shared" si="21"/>
        <v>0.32343525290731306</v>
      </c>
      <c r="F150" s="96">
        <f>D150-'[4]Jūlijs'!D150</f>
        <v>80458</v>
      </c>
      <c r="G150" s="208" t="s">
        <v>302</v>
      </c>
      <c r="H150" s="26">
        <f>ROUND(B150/1000,0)</f>
        <v>1184</v>
      </c>
      <c r="I150" s="26">
        <f>ROUND(C150/1000,0)</f>
        <v>478</v>
      </c>
      <c r="J150" s="26">
        <f>ROUND(D150/1000,0)</f>
        <v>383</v>
      </c>
      <c r="K150" s="27">
        <f t="shared" si="22"/>
        <v>0.3234797297297297</v>
      </c>
      <c r="L150" s="26">
        <f>J150-'[4]Jūlijs'!J150</f>
        <v>80</v>
      </c>
    </row>
    <row r="151" spans="1:12" ht="12.75" hidden="1">
      <c r="A151" s="60"/>
      <c r="B151" s="96"/>
      <c r="C151" s="96"/>
      <c r="D151" s="96"/>
      <c r="E151" s="204" t="str">
        <f t="shared" si="21"/>
        <v> </v>
      </c>
      <c r="F151" s="96"/>
      <c r="G151" s="60"/>
      <c r="H151" s="180"/>
      <c r="I151" s="180"/>
      <c r="J151" s="180"/>
      <c r="K151" s="20" t="str">
        <f t="shared" si="22"/>
        <v> </v>
      </c>
      <c r="L151" s="180"/>
    </row>
    <row r="152" spans="1:12" ht="12.75">
      <c r="A152" s="60" t="s">
        <v>256</v>
      </c>
      <c r="B152" s="96">
        <f>SUM(B145-B149)</f>
        <v>-112564</v>
      </c>
      <c r="C152" s="96">
        <f>SUM(C145-C149)</f>
        <v>246003</v>
      </c>
      <c r="D152" s="96">
        <f>SUM(D145-D149)</f>
        <v>323104</v>
      </c>
      <c r="E152" s="204">
        <f t="shared" si="21"/>
        <v>-2.8704026154010163</v>
      </c>
      <c r="F152" s="96">
        <f>SUM(F145-F149)</f>
        <v>10585</v>
      </c>
      <c r="G152" s="60" t="s">
        <v>256</v>
      </c>
      <c r="H152" s="180">
        <f>SUM(H145-H149)</f>
        <v>-112</v>
      </c>
      <c r="I152" s="180">
        <f>SUM(I145-I149)</f>
        <v>246</v>
      </c>
      <c r="J152" s="180">
        <f>SUM(J145-J149)</f>
        <v>323</v>
      </c>
      <c r="K152" s="20">
        <f t="shared" si="22"/>
        <v>-2.8839285714285716</v>
      </c>
      <c r="L152" s="180">
        <f>SUM(L145-L149)</f>
        <v>11</v>
      </c>
    </row>
    <row r="153" spans="1:12" ht="12.75">
      <c r="A153" s="60" t="s">
        <v>243</v>
      </c>
      <c r="B153" s="215">
        <v>47445</v>
      </c>
      <c r="C153" s="215"/>
      <c r="D153" s="215"/>
      <c r="E153" s="204">
        <f t="shared" si="21"/>
        <v>0</v>
      </c>
      <c r="F153" s="96">
        <f>D153-'[4]Jūlijs'!D153</f>
        <v>0</v>
      </c>
      <c r="G153" s="60" t="s">
        <v>243</v>
      </c>
      <c r="H153" s="18">
        <f>ROUND(B153/1000,0)</f>
        <v>47</v>
      </c>
      <c r="I153" s="18">
        <f>ROUND(C153/1000,0)</f>
        <v>0</v>
      </c>
      <c r="J153" s="18">
        <f>ROUND(D153/1000,0)</f>
        <v>0</v>
      </c>
      <c r="K153" s="20">
        <f t="shared" si="22"/>
        <v>0</v>
      </c>
      <c r="L153" s="18">
        <f>J153-'[4]Jūlijs'!J153</f>
        <v>0</v>
      </c>
    </row>
    <row r="154" spans="1:12" ht="28.5" customHeight="1">
      <c r="A154" s="209" t="s">
        <v>306</v>
      </c>
      <c r="B154" s="96"/>
      <c r="C154" s="96"/>
      <c r="D154" s="96"/>
      <c r="E154" s="204" t="str">
        <f t="shared" si="21"/>
        <v> </v>
      </c>
      <c r="F154" s="96"/>
      <c r="G154" s="209" t="s">
        <v>306</v>
      </c>
      <c r="H154" s="180"/>
      <c r="I154" s="180"/>
      <c r="J154" s="180"/>
      <c r="K154" s="20"/>
      <c r="L154" s="180"/>
    </row>
    <row r="155" spans="1:12" ht="12.75">
      <c r="A155" s="60" t="s">
        <v>259</v>
      </c>
      <c r="B155" s="96">
        <f>SUM(B156:B158)</f>
        <v>83134340</v>
      </c>
      <c r="C155" s="96">
        <f>5919030+6014886+6103495+9437657+6789327+7403102+7767247+7646127</f>
        <v>57080871</v>
      </c>
      <c r="D155" s="96">
        <f>SUM(D156:D158)</f>
        <v>52932746</v>
      </c>
      <c r="E155" s="204">
        <f t="shared" si="21"/>
        <v>0.6367133725966911</v>
      </c>
      <c r="F155" s="96">
        <f>SUM(F156:F158)</f>
        <v>6974822</v>
      </c>
      <c r="G155" s="60" t="s">
        <v>259</v>
      </c>
      <c r="H155" s="180">
        <f>SUM(H156:H158)</f>
        <v>83135</v>
      </c>
      <c r="I155" s="18">
        <f>ROUND(C155/1000,0)</f>
        <v>57081</v>
      </c>
      <c r="J155" s="180">
        <f>SUM(J156:J158)</f>
        <v>52933</v>
      </c>
      <c r="K155" s="20">
        <f t="shared" si="22"/>
        <v>0.6367113730679016</v>
      </c>
      <c r="L155" s="180">
        <f>SUM(L156:L158)</f>
        <v>6975</v>
      </c>
    </row>
    <row r="156" spans="1:33" s="176" customFormat="1" ht="12" customHeight="1">
      <c r="A156" s="208" t="s">
        <v>298</v>
      </c>
      <c r="B156" s="102">
        <v>79432600</v>
      </c>
      <c r="C156" s="102"/>
      <c r="D156" s="102">
        <v>50654132</v>
      </c>
      <c r="E156" s="204">
        <f t="shared" si="21"/>
        <v>0.6376995339445014</v>
      </c>
      <c r="F156" s="96">
        <f>D156-'[4]Jūlijs'!D156</f>
        <v>6919351</v>
      </c>
      <c r="G156" s="208" t="s">
        <v>298</v>
      </c>
      <c r="H156" s="26">
        <f>ROUND(B156/1000,0)</f>
        <v>79433</v>
      </c>
      <c r="I156" s="26">
        <f>ROUND(C156/1000,0)</f>
        <v>0</v>
      </c>
      <c r="J156" s="26">
        <f>ROUND(D156/1000,0)</f>
        <v>50654</v>
      </c>
      <c r="K156" s="27">
        <f t="shared" si="22"/>
        <v>0.6376946609091939</v>
      </c>
      <c r="L156" s="26">
        <f>J156-'[4]Jūlijs'!J156</f>
        <v>6919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76" customFormat="1" ht="12.75" hidden="1">
      <c r="A157" s="208"/>
      <c r="B157" s="102"/>
      <c r="C157" s="102"/>
      <c r="D157" s="102"/>
      <c r="E157" s="204" t="str">
        <f t="shared" si="21"/>
        <v> </v>
      </c>
      <c r="F157" s="102"/>
      <c r="G157" s="208"/>
      <c r="H157" s="216"/>
      <c r="I157" s="216"/>
      <c r="J157" s="216"/>
      <c r="K157" s="27" t="str">
        <f t="shared" si="22"/>
        <v> </v>
      </c>
      <c r="L157" s="216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76" customFormat="1" ht="12.75">
      <c r="A158" s="208" t="s">
        <v>300</v>
      </c>
      <c r="B158" s="102">
        <v>3701740</v>
      </c>
      <c r="C158" s="102"/>
      <c r="D158" s="102">
        <f>52932746-50654132</f>
        <v>2278614</v>
      </c>
      <c r="E158" s="204">
        <f t="shared" si="21"/>
        <v>0.6155521457476755</v>
      </c>
      <c r="F158" s="96">
        <f>D158-'[4]Jūlijs'!D158</f>
        <v>55471</v>
      </c>
      <c r="G158" s="208" t="s">
        <v>300</v>
      </c>
      <c r="H158" s="26">
        <f>ROUND(B158/1000,0)</f>
        <v>3702</v>
      </c>
      <c r="I158" s="26">
        <f>ROUND(C158/1000,0)</f>
        <v>0</v>
      </c>
      <c r="J158" s="26">
        <f>ROUND(D158/1000,0)</f>
        <v>2279</v>
      </c>
      <c r="K158" s="27">
        <f t="shared" si="22"/>
        <v>0.6156131820637494</v>
      </c>
      <c r="L158" s="26">
        <f>J158-'[4]Jūlijs'!J158</f>
        <v>56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76" customFormat="1" ht="12.75">
      <c r="A159" s="60" t="s">
        <v>260</v>
      </c>
      <c r="B159" s="102">
        <f>B160</f>
        <v>92906905</v>
      </c>
      <c r="C159" s="102">
        <f>C160</f>
        <v>61761187</v>
      </c>
      <c r="D159" s="102">
        <f>D160</f>
        <v>59483333</v>
      </c>
      <c r="E159" s="204">
        <f t="shared" si="21"/>
        <v>0.6402466318300023</v>
      </c>
      <c r="F159" s="102">
        <f>F160</f>
        <v>7425065</v>
      </c>
      <c r="G159" s="60" t="s">
        <v>260</v>
      </c>
      <c r="H159" s="180">
        <f>H160</f>
        <v>92907</v>
      </c>
      <c r="I159" s="180">
        <f>I160</f>
        <v>61761</v>
      </c>
      <c r="J159" s="180">
        <f>J160</f>
        <v>59483</v>
      </c>
      <c r="K159" s="20">
        <f t="shared" si="22"/>
        <v>0.640242392930565</v>
      </c>
      <c r="L159" s="180">
        <f>L160</f>
        <v>7425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60" t="s">
        <v>302</v>
      </c>
      <c r="B160" s="96">
        <v>92906905</v>
      </c>
      <c r="C160" s="96">
        <f>7238745+7440262+7959262+7641994+7816481+8326481+7516481+7821481</f>
        <v>61761187</v>
      </c>
      <c r="D160" s="96">
        <v>59483333</v>
      </c>
      <c r="E160" s="204">
        <f t="shared" si="21"/>
        <v>0.6402466318300023</v>
      </c>
      <c r="F160" s="96">
        <f>D160-'[4]Jūlijs'!D160</f>
        <v>7425065</v>
      </c>
      <c r="G160" s="208" t="s">
        <v>302</v>
      </c>
      <c r="H160" s="26">
        <f>ROUND(B160/1000,0)</f>
        <v>92907</v>
      </c>
      <c r="I160" s="26">
        <f>ROUND(C160/1000,0)</f>
        <v>61761</v>
      </c>
      <c r="J160" s="26">
        <f>ROUND(D160/1000,0)</f>
        <v>59483</v>
      </c>
      <c r="K160" s="27">
        <f t="shared" si="22"/>
        <v>0.640242392930565</v>
      </c>
      <c r="L160" s="26">
        <f>J160-'[4]Jūlijs'!J160</f>
        <v>7425</v>
      </c>
    </row>
    <row r="161" spans="1:12" ht="12.75">
      <c r="A161" s="60" t="s">
        <v>256</v>
      </c>
      <c r="B161" s="96">
        <f>SUM(B155-B159)</f>
        <v>-9772565</v>
      </c>
      <c r="C161" s="96">
        <f>SUM(C155-C159)</f>
        <v>-4680316</v>
      </c>
      <c r="D161" s="96">
        <f>SUM(D155-D159)</f>
        <v>-6550587</v>
      </c>
      <c r="E161" s="204">
        <f t="shared" si="21"/>
        <v>0.6703037534158125</v>
      </c>
      <c r="F161" s="96">
        <f>SUM(F155-F159)</f>
        <v>-450243</v>
      </c>
      <c r="G161" s="60" t="s">
        <v>256</v>
      </c>
      <c r="H161" s="180">
        <f>SUM(H155-H159)</f>
        <v>-9772</v>
      </c>
      <c r="I161" s="180">
        <f>SUM(I155-I159)</f>
        <v>-4680</v>
      </c>
      <c r="J161" s="180">
        <f>SUM(J155-J159)</f>
        <v>-6550</v>
      </c>
      <c r="K161" s="20">
        <f t="shared" si="22"/>
        <v>0.6702824396234138</v>
      </c>
      <c r="L161" s="180">
        <f>SUM(L155-L159)</f>
        <v>-450</v>
      </c>
    </row>
    <row r="162" spans="1:12" ht="12.75">
      <c r="A162" s="60" t="s">
        <v>243</v>
      </c>
      <c r="B162" s="96">
        <v>9548060</v>
      </c>
      <c r="C162" s="96"/>
      <c r="D162" s="96">
        <v>5395738</v>
      </c>
      <c r="E162" s="204">
        <f t="shared" si="21"/>
        <v>0.5651135413895597</v>
      </c>
      <c r="F162" s="96">
        <f>D162-'[4]Jūlijs'!D162</f>
        <v>449880</v>
      </c>
      <c r="G162" s="60" t="s">
        <v>243</v>
      </c>
      <c r="H162" s="18">
        <f>ROUND(B162/1000,0)</f>
        <v>9548</v>
      </c>
      <c r="I162" s="18">
        <f>ROUND(C162/1000,0)</f>
        <v>0</v>
      </c>
      <c r="J162" s="18">
        <f>ROUND(D162/1000,0)</f>
        <v>5396</v>
      </c>
      <c r="K162" s="20">
        <f t="shared" si="22"/>
        <v>0.5651445328864684</v>
      </c>
      <c r="L162" s="18">
        <f>J162-'[4]Jūlijs'!J162</f>
        <v>450</v>
      </c>
    </row>
    <row r="163" spans="1:12" ht="12.75">
      <c r="A163" s="207" t="s">
        <v>307</v>
      </c>
      <c r="B163" s="96"/>
      <c r="C163" s="96"/>
      <c r="D163" s="96"/>
      <c r="E163" s="204" t="str">
        <f t="shared" si="21"/>
        <v> </v>
      </c>
      <c r="F163" s="96"/>
      <c r="G163" s="207" t="s">
        <v>307</v>
      </c>
      <c r="H163" s="180"/>
      <c r="I163" s="180"/>
      <c r="J163" s="180"/>
      <c r="K163" s="20"/>
      <c r="L163" s="180"/>
    </row>
    <row r="164" spans="1:12" ht="12.75">
      <c r="A164" s="60" t="s">
        <v>259</v>
      </c>
      <c r="B164" s="96">
        <f>SUM(B165:B166)</f>
        <v>9906668</v>
      </c>
      <c r="C164" s="96">
        <f>44134437+913502+913502+913501</f>
        <v>46874942</v>
      </c>
      <c r="D164" s="96">
        <f>SUM(D165:D166)</f>
        <v>7127563</v>
      </c>
      <c r="E164" s="204">
        <f t="shared" si="21"/>
        <v>0.7194712692501657</v>
      </c>
      <c r="F164" s="96">
        <f>SUM(F165:F166)</f>
        <v>902981</v>
      </c>
      <c r="G164" s="60" t="s">
        <v>259</v>
      </c>
      <c r="H164" s="180">
        <f>SUM(H165:H166)</f>
        <v>9907</v>
      </c>
      <c r="I164" s="18">
        <f aca="true" t="shared" si="24" ref="H164:J166">ROUND(C164/1000,0)</f>
        <v>46875</v>
      </c>
      <c r="J164" s="180">
        <f>SUM(J165:J166)</f>
        <v>7127</v>
      </c>
      <c r="K164" s="20">
        <f t="shared" si="22"/>
        <v>0.7193903300696477</v>
      </c>
      <c r="L164" s="18">
        <f>SUM(L165:L166)</f>
        <v>903</v>
      </c>
    </row>
    <row r="165" spans="1:33" s="176" customFormat="1" ht="12.75">
      <c r="A165" s="208" t="s">
        <v>299</v>
      </c>
      <c r="B165" s="102">
        <f>200000+1890000</f>
        <v>2090000</v>
      </c>
      <c r="C165" s="102"/>
      <c r="D165" s="102">
        <f>1209000+184266</f>
        <v>1393266</v>
      </c>
      <c r="E165" s="204">
        <f t="shared" si="21"/>
        <v>0.6666344497607656</v>
      </c>
      <c r="F165" s="96">
        <f>D165-'[4]Jūlijs'!D165</f>
        <v>185918</v>
      </c>
      <c r="G165" s="208" t="s">
        <v>299</v>
      </c>
      <c r="H165" s="26">
        <f t="shared" si="24"/>
        <v>2090</v>
      </c>
      <c r="I165" s="26">
        <f t="shared" si="24"/>
        <v>0</v>
      </c>
      <c r="J165" s="26">
        <f t="shared" si="24"/>
        <v>1393</v>
      </c>
      <c r="K165" s="27">
        <f t="shared" si="22"/>
        <v>0.6665071770334928</v>
      </c>
      <c r="L165" s="26">
        <f>J165-'[4]Jūlijs'!J165</f>
        <v>186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76" customFormat="1" ht="12.75">
      <c r="A166" s="208" t="s">
        <v>300</v>
      </c>
      <c r="B166" s="102">
        <v>7816668</v>
      </c>
      <c r="C166" s="102"/>
      <c r="D166" s="102">
        <f>7127563-1393266</f>
        <v>5734297</v>
      </c>
      <c r="E166" s="204">
        <f t="shared" si="21"/>
        <v>0.7335986381921299</v>
      </c>
      <c r="F166" s="96">
        <f>D166-'[4]Jūlijs'!D166</f>
        <v>717063</v>
      </c>
      <c r="G166" s="208" t="s">
        <v>300</v>
      </c>
      <c r="H166" s="26">
        <f t="shared" si="24"/>
        <v>7817</v>
      </c>
      <c r="I166" s="26">
        <f t="shared" si="24"/>
        <v>0</v>
      </c>
      <c r="J166" s="26">
        <f t="shared" si="24"/>
        <v>5734</v>
      </c>
      <c r="K166" s="27">
        <f t="shared" si="22"/>
        <v>0.733529487015479</v>
      </c>
      <c r="L166" s="26">
        <f>J166-'[4]Jūlijs'!J166</f>
        <v>717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76" customFormat="1" ht="12.75">
      <c r="A167" s="60" t="s">
        <v>260</v>
      </c>
      <c r="B167" s="96">
        <f>SUM(B168:B169)</f>
        <v>13433787</v>
      </c>
      <c r="C167" s="96">
        <f>SUM(C168:C169)</f>
        <v>8822381</v>
      </c>
      <c r="D167" s="96">
        <f>SUM(D168:D169)</f>
        <v>7891060</v>
      </c>
      <c r="E167" s="204">
        <f t="shared" si="21"/>
        <v>0.5874039837016919</v>
      </c>
      <c r="F167" s="96">
        <f>SUM(F168:F169)</f>
        <v>1093553</v>
      </c>
      <c r="G167" s="60" t="s">
        <v>260</v>
      </c>
      <c r="H167" s="180">
        <f>SUM(H168:H169)</f>
        <v>13434</v>
      </c>
      <c r="I167" s="180">
        <f>SUM(I168:I169)</f>
        <v>8823</v>
      </c>
      <c r="J167" s="180">
        <f>SUM(J168:J169)</f>
        <v>7891</v>
      </c>
      <c r="K167" s="20">
        <f t="shared" si="22"/>
        <v>0.5873902039601012</v>
      </c>
      <c r="L167" s="180">
        <f>SUM(L168:L169)</f>
        <v>1093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63" t="s">
        <v>302</v>
      </c>
      <c r="B168" s="96">
        <v>9792787</v>
      </c>
      <c r="C168" s="96">
        <f>4339175+876834+876834+876833</f>
        <v>6969676</v>
      </c>
      <c r="D168" s="96">
        <v>6311926</v>
      </c>
      <c r="E168" s="204">
        <f t="shared" si="21"/>
        <v>0.6445484824698015</v>
      </c>
      <c r="F168" s="96">
        <f>D168-'[4]Jūlijs'!D168</f>
        <v>978570</v>
      </c>
      <c r="G168" s="25" t="s">
        <v>302</v>
      </c>
      <c r="H168" s="26">
        <f aca="true" t="shared" si="25" ref="H168:J169">ROUND(B168/1000,0)</f>
        <v>9793</v>
      </c>
      <c r="I168" s="26">
        <f t="shared" si="25"/>
        <v>6970</v>
      </c>
      <c r="J168" s="26">
        <f t="shared" si="25"/>
        <v>6312</v>
      </c>
      <c r="K168" s="27">
        <f t="shared" si="22"/>
        <v>0.6445420198100684</v>
      </c>
      <c r="L168" s="26">
        <f>J168-'[4]Jūlijs'!J168</f>
        <v>978</v>
      </c>
    </row>
    <row r="169" spans="1:12" ht="12.75">
      <c r="A169" s="63" t="s">
        <v>304</v>
      </c>
      <c r="B169" s="96">
        <v>3641000</v>
      </c>
      <c r="C169" s="96">
        <f>58000+66182+95182+782839+656269+44714+41525+107994</f>
        <v>1852705</v>
      </c>
      <c r="D169" s="96">
        <v>1579134</v>
      </c>
      <c r="E169" s="204">
        <f t="shared" si="21"/>
        <v>0.43370887118923374</v>
      </c>
      <c r="F169" s="96">
        <f>D169-'[4]Jūlijs'!D169</f>
        <v>114983</v>
      </c>
      <c r="G169" s="25" t="s">
        <v>304</v>
      </c>
      <c r="H169" s="26">
        <f t="shared" si="25"/>
        <v>3641</v>
      </c>
      <c r="I169" s="26">
        <f t="shared" si="25"/>
        <v>1853</v>
      </c>
      <c r="J169" s="26">
        <f t="shared" si="25"/>
        <v>1579</v>
      </c>
      <c r="K169" s="27">
        <f t="shared" si="22"/>
        <v>0.43367206811315573</v>
      </c>
      <c r="L169" s="26">
        <f>J169-'[4]Jūlijs'!J169</f>
        <v>115</v>
      </c>
    </row>
    <row r="170" spans="1:12" ht="12.75">
      <c r="A170" s="60" t="s">
        <v>256</v>
      </c>
      <c r="B170" s="96">
        <f>SUM(B164-B167)</f>
        <v>-3527119</v>
      </c>
      <c r="C170" s="96">
        <f>SUM(C164-C167)</f>
        <v>38052561</v>
      </c>
      <c r="D170" s="96">
        <f>SUM(D164-D167)</f>
        <v>-763497</v>
      </c>
      <c r="E170" s="204">
        <f t="shared" si="21"/>
        <v>0.21646476912176765</v>
      </c>
      <c r="F170" s="96">
        <f>SUM(F164-F167)</f>
        <v>-190572</v>
      </c>
      <c r="G170" s="60" t="s">
        <v>256</v>
      </c>
      <c r="H170" s="180">
        <f>SUM(H164-H167)</f>
        <v>-3527</v>
      </c>
      <c r="I170" s="180">
        <f>SUM(I164-I167)</f>
        <v>38052</v>
      </c>
      <c r="J170" s="180">
        <f>SUM(J164-J167)</f>
        <v>-764</v>
      </c>
      <c r="K170" s="20">
        <f t="shared" si="22"/>
        <v>0.2166146867025801</v>
      </c>
      <c r="L170" s="180">
        <f>SUM(L164-L167)</f>
        <v>-190</v>
      </c>
    </row>
    <row r="171" spans="1:12" ht="12.75">
      <c r="A171" s="60" t="s">
        <v>243</v>
      </c>
      <c r="B171" s="96">
        <v>3441000</v>
      </c>
      <c r="C171" s="96"/>
      <c r="D171" s="96">
        <v>904950</v>
      </c>
      <c r="E171" s="204">
        <f t="shared" si="21"/>
        <v>0.2629904097646033</v>
      </c>
      <c r="F171" s="96">
        <f>D171-'[4]Jūlijs'!D171</f>
        <v>114883</v>
      </c>
      <c r="G171" s="60" t="s">
        <v>243</v>
      </c>
      <c r="H171" s="18">
        <f>ROUND(B171/1000,0)</f>
        <v>3441</v>
      </c>
      <c r="I171" s="18">
        <f>ROUND(C171/1000,0)</f>
        <v>0</v>
      </c>
      <c r="J171" s="18">
        <f>ROUND(D171/1000,0)</f>
        <v>905</v>
      </c>
      <c r="K171" s="20">
        <f t="shared" si="22"/>
        <v>0.2630049404242953</v>
      </c>
      <c r="L171" s="18">
        <f>J171-'[4]Jūlijs'!J171</f>
        <v>115</v>
      </c>
    </row>
    <row r="172" spans="1:12" ht="12.75">
      <c r="A172" s="207" t="s">
        <v>308</v>
      </c>
      <c r="B172" s="96"/>
      <c r="C172" s="96"/>
      <c r="D172" s="96"/>
      <c r="E172" s="204" t="str">
        <f t="shared" si="21"/>
        <v> </v>
      </c>
      <c r="F172" s="96"/>
      <c r="G172" s="207" t="s">
        <v>308</v>
      </c>
      <c r="H172" s="180"/>
      <c r="I172" s="180"/>
      <c r="J172" s="180"/>
      <c r="K172" s="20"/>
      <c r="L172" s="180"/>
    </row>
    <row r="173" spans="1:12" ht="12.75">
      <c r="A173" s="60" t="s">
        <v>259</v>
      </c>
      <c r="B173" s="96">
        <f>SUM(B174:B176)</f>
        <v>137593169</v>
      </c>
      <c r="C173" s="96">
        <v>90427692</v>
      </c>
      <c r="D173" s="96">
        <f>SUM(D174:D176)</f>
        <v>89154914</v>
      </c>
      <c r="E173" s="204">
        <f t="shared" si="21"/>
        <v>0.6479603213441505</v>
      </c>
      <c r="F173" s="96">
        <f>SUM(F174:F176)</f>
        <v>12157930</v>
      </c>
      <c r="G173" s="60" t="s">
        <v>259</v>
      </c>
      <c r="H173" s="180">
        <f>SUM(H174:H176)</f>
        <v>137593</v>
      </c>
      <c r="I173" s="18">
        <f>ROUND(C173/1000,0)</f>
        <v>90428</v>
      </c>
      <c r="J173" s="180">
        <f>SUM(J174:J176)</f>
        <v>89155</v>
      </c>
      <c r="K173" s="20">
        <f t="shared" si="22"/>
        <v>0.6479617422397942</v>
      </c>
      <c r="L173" s="180">
        <f>SUM(L174:L176)</f>
        <v>12158</v>
      </c>
    </row>
    <row r="174" spans="1:12" ht="12.75">
      <c r="A174" s="60" t="s">
        <v>309</v>
      </c>
      <c r="B174" s="96">
        <v>71125600</v>
      </c>
      <c r="C174" s="96"/>
      <c r="D174" s="96">
        <v>44824430</v>
      </c>
      <c r="E174" s="204">
        <f t="shared" si="21"/>
        <v>0.630215140540115</v>
      </c>
      <c r="F174" s="96">
        <f>D174-'[4]Jūlijs'!D174</f>
        <v>5691159</v>
      </c>
      <c r="G174" s="60" t="s">
        <v>309</v>
      </c>
      <c r="H174" s="18">
        <f>ROUND(B174/1000,0)</f>
        <v>71126</v>
      </c>
      <c r="I174" s="18">
        <f>ROUND(C174/1000,0)</f>
        <v>0</v>
      </c>
      <c r="J174" s="18">
        <f>ROUND(D174/1000,0)</f>
        <v>44824</v>
      </c>
      <c r="K174" s="20">
        <f t="shared" si="22"/>
        <v>0.6302055507128195</v>
      </c>
      <c r="L174" s="18">
        <f>J174-'[4]Jūlijs'!J174</f>
        <v>5691</v>
      </c>
    </row>
    <row r="175" spans="1:12" ht="12.75">
      <c r="A175" s="60" t="s">
        <v>310</v>
      </c>
      <c r="B175" s="96">
        <v>55986569</v>
      </c>
      <c r="C175" s="96"/>
      <c r="D175" s="96">
        <v>37568543</v>
      </c>
      <c r="E175" s="204">
        <f t="shared" si="21"/>
        <v>0.6710277781087103</v>
      </c>
      <c r="F175" s="96">
        <f>D175-'[4]Jūlijs'!D175</f>
        <v>5457832</v>
      </c>
      <c r="G175" s="60" t="s">
        <v>310</v>
      </c>
      <c r="H175" s="18">
        <f>ROUND(B175/1000,0)-1</f>
        <v>55986</v>
      </c>
      <c r="I175" s="18">
        <f>ROUND(C175/1000,0)</f>
        <v>0</v>
      </c>
      <c r="J175" s="18">
        <f>ROUND(D175/1000,0)</f>
        <v>37569</v>
      </c>
      <c r="K175" s="20">
        <f t="shared" si="22"/>
        <v>0.6710427606901725</v>
      </c>
      <c r="L175" s="18">
        <f>J175-'[4]Jūlijs'!J175</f>
        <v>5458</v>
      </c>
    </row>
    <row r="176" spans="1:12" ht="12.75">
      <c r="A176" s="60" t="s">
        <v>291</v>
      </c>
      <c r="B176" s="96">
        <v>10481000</v>
      </c>
      <c r="C176" s="96"/>
      <c r="D176" s="96">
        <v>6761941</v>
      </c>
      <c r="E176" s="204">
        <f t="shared" si="21"/>
        <v>0.6451618166205515</v>
      </c>
      <c r="F176" s="96">
        <f>D176-'[4]Jūlijs'!D176</f>
        <v>1008939</v>
      </c>
      <c r="G176" s="60" t="s">
        <v>291</v>
      </c>
      <c r="H176" s="18">
        <f>ROUND(B176/1000,0)</f>
        <v>10481</v>
      </c>
      <c r="I176" s="18">
        <f>ROUND(C176/1000,0)</f>
        <v>0</v>
      </c>
      <c r="J176" s="18">
        <f>ROUND(D176/1000,0)</f>
        <v>6762</v>
      </c>
      <c r="K176" s="20">
        <f t="shared" si="22"/>
        <v>0.6451674458544032</v>
      </c>
      <c r="L176" s="18">
        <f>J176-'[4]Jūlijs'!J176</f>
        <v>1009</v>
      </c>
    </row>
    <row r="177" spans="1:12" ht="12.75">
      <c r="A177" s="60" t="s">
        <v>260</v>
      </c>
      <c r="B177" s="96">
        <f>SUM(B178:B179)</f>
        <v>143111169</v>
      </c>
      <c r="C177" s="96">
        <f>SUM(C178:C179)</f>
        <v>91356992</v>
      </c>
      <c r="D177" s="96">
        <f>SUM(D178:D179)</f>
        <v>87611947</v>
      </c>
      <c r="E177" s="204">
        <f t="shared" si="21"/>
        <v>0.6121950341975055</v>
      </c>
      <c r="F177" s="96">
        <f>SUM(F178:F179)</f>
        <v>11895601</v>
      </c>
      <c r="G177" s="60" t="s">
        <v>260</v>
      </c>
      <c r="H177" s="180">
        <f>SUM(H178:H179)</f>
        <v>143111</v>
      </c>
      <c r="I177" s="180">
        <f>SUM(I178:I179)</f>
        <v>91357</v>
      </c>
      <c r="J177" s="180">
        <f>SUM(J178:J179)</f>
        <v>87612</v>
      </c>
      <c r="K177" s="20">
        <f t="shared" si="22"/>
        <v>0.6121961274814655</v>
      </c>
      <c r="L177" s="180">
        <f>SUM(L178:L179)</f>
        <v>11896</v>
      </c>
    </row>
    <row r="178" spans="1:12" ht="12.75">
      <c r="A178" s="63" t="s">
        <v>252</v>
      </c>
      <c r="B178" s="96">
        <v>135855869</v>
      </c>
      <c r="C178" s="96">
        <f>64860880+13201505+1654513+1190027+6744580+852174+266640</f>
        <v>88770319</v>
      </c>
      <c r="D178" s="96">
        <v>86675878</v>
      </c>
      <c r="E178" s="204">
        <f t="shared" si="21"/>
        <v>0.637998775010596</v>
      </c>
      <c r="F178" s="96">
        <f>D178-'[4]Jūlijs'!D178</f>
        <v>11668418</v>
      </c>
      <c r="G178" s="63" t="s">
        <v>252</v>
      </c>
      <c r="H178" s="18">
        <f aca="true" t="shared" si="26" ref="H178:J179">ROUND(B178/1000,0)</f>
        <v>135856</v>
      </c>
      <c r="I178" s="18">
        <f t="shared" si="26"/>
        <v>88770</v>
      </c>
      <c r="J178" s="18">
        <f t="shared" si="26"/>
        <v>86676</v>
      </c>
      <c r="K178" s="20">
        <f t="shared" si="22"/>
        <v>0.6379990578259334</v>
      </c>
      <c r="L178" s="18">
        <f>J178-'[4]Jūlijs'!J178</f>
        <v>11669</v>
      </c>
    </row>
    <row r="179" spans="1:12" ht="12.75">
      <c r="A179" s="60" t="s">
        <v>253</v>
      </c>
      <c r="B179" s="96">
        <v>7255300</v>
      </c>
      <c r="C179" s="96">
        <f>123300+2099525+363848</f>
        <v>2586673</v>
      </c>
      <c r="D179" s="96">
        <v>936069</v>
      </c>
      <c r="E179" s="204">
        <f t="shared" si="21"/>
        <v>0.12901864843631553</v>
      </c>
      <c r="F179" s="96">
        <f>D179-'[4]Jūlijs'!D179</f>
        <v>227183</v>
      </c>
      <c r="G179" s="60" t="s">
        <v>253</v>
      </c>
      <c r="H179" s="18">
        <f t="shared" si="26"/>
        <v>7255</v>
      </c>
      <c r="I179" s="18">
        <f t="shared" si="26"/>
        <v>2587</v>
      </c>
      <c r="J179" s="18">
        <f t="shared" si="26"/>
        <v>936</v>
      </c>
      <c r="K179" s="20">
        <f t="shared" si="22"/>
        <v>0.1290144727773949</v>
      </c>
      <c r="L179" s="18">
        <f>J179-'[4]Jūlijs'!J179</f>
        <v>227</v>
      </c>
    </row>
    <row r="180" spans="1:12" ht="12.75">
      <c r="A180" s="60" t="s">
        <v>256</v>
      </c>
      <c r="B180" s="96">
        <f>SUM(B173-B177)</f>
        <v>-5518000</v>
      </c>
      <c r="C180" s="96"/>
      <c r="D180" s="96">
        <f>SUM(D173-D177)</f>
        <v>1542967</v>
      </c>
      <c r="E180" s="204">
        <f t="shared" si="21"/>
        <v>-0.2796243204059442</v>
      </c>
      <c r="F180" s="96">
        <f>SUM(F173-F177)</f>
        <v>262329</v>
      </c>
      <c r="G180" s="60" t="s">
        <v>256</v>
      </c>
      <c r="H180" s="180">
        <f>SUM(H173-H177)</f>
        <v>-5518</v>
      </c>
      <c r="I180" s="180">
        <f>SUM(I173-I177)</f>
        <v>-929</v>
      </c>
      <c r="J180" s="180">
        <f>SUM(J173-J177)</f>
        <v>1543</v>
      </c>
      <c r="K180" s="20">
        <f t="shared" si="22"/>
        <v>-0.2796303008336354</v>
      </c>
      <c r="L180" s="180">
        <f>SUM(L173-L177)</f>
        <v>262</v>
      </c>
    </row>
    <row r="181" spans="1:12" ht="12.75">
      <c r="A181" s="60" t="s">
        <v>243</v>
      </c>
      <c r="B181" s="96">
        <v>5018000</v>
      </c>
      <c r="C181" s="96"/>
      <c r="D181" s="96">
        <v>86472</v>
      </c>
      <c r="E181" s="204">
        <f t="shared" si="21"/>
        <v>0.017232363491430848</v>
      </c>
      <c r="F181" s="96">
        <f>D181-'[4]Jūlijs'!D181</f>
        <v>16471</v>
      </c>
      <c r="G181" s="60" t="s">
        <v>243</v>
      </c>
      <c r="H181" s="18">
        <f>ROUND(B181/1000,0)</f>
        <v>5018</v>
      </c>
      <c r="I181" s="180">
        <f>-I180</f>
        <v>929</v>
      </c>
      <c r="J181" s="18">
        <f>ROUND(D181/1000,0)</f>
        <v>86</v>
      </c>
      <c r="K181" s="20"/>
      <c r="L181" s="18">
        <f>J181-'[4]Jūlijs'!J181</f>
        <v>16</v>
      </c>
    </row>
    <row r="182" spans="1:12" ht="30" customHeight="1">
      <c r="A182" s="32" t="s">
        <v>311</v>
      </c>
      <c r="B182" s="88"/>
      <c r="C182" s="88"/>
      <c r="D182" s="88"/>
      <c r="E182" s="204" t="str">
        <f t="shared" si="21"/>
        <v> </v>
      </c>
      <c r="F182" s="88"/>
      <c r="G182" s="32" t="s">
        <v>311</v>
      </c>
      <c r="H182" s="164"/>
      <c r="I182" s="164"/>
      <c r="J182" s="164"/>
      <c r="K182" s="20"/>
      <c r="L182" s="164"/>
    </row>
    <row r="183" spans="1:12" ht="15" customHeight="1">
      <c r="A183" s="207" t="s">
        <v>312</v>
      </c>
      <c r="B183" s="96"/>
      <c r="C183" s="96"/>
      <c r="D183" s="96"/>
      <c r="E183" s="204" t="str">
        <f t="shared" si="21"/>
        <v> </v>
      </c>
      <c r="F183" s="96"/>
      <c r="G183" s="207" t="s">
        <v>312</v>
      </c>
      <c r="H183" s="180"/>
      <c r="I183" s="180"/>
      <c r="J183" s="180"/>
      <c r="K183" s="20"/>
      <c r="L183" s="180"/>
    </row>
    <row r="184" spans="1:12" ht="12.75">
      <c r="A184" s="60" t="s">
        <v>259</v>
      </c>
      <c r="B184" s="96">
        <f>SUM(B185:B187)</f>
        <v>8837000</v>
      </c>
      <c r="C184" s="96">
        <v>7139506</v>
      </c>
      <c r="D184" s="96">
        <f>SUM(D185:D187)</f>
        <v>4263034</v>
      </c>
      <c r="E184" s="204">
        <f t="shared" si="21"/>
        <v>0.4824073780694806</v>
      </c>
      <c r="F184" s="96">
        <f>SUM(F185:F187)</f>
        <v>764556</v>
      </c>
      <c r="G184" s="60" t="s">
        <v>259</v>
      </c>
      <c r="H184" s="180">
        <f>SUM(H185:H187)</f>
        <v>8837</v>
      </c>
      <c r="I184" s="18">
        <f>ROUND(C184/1000,0)</f>
        <v>7140</v>
      </c>
      <c r="J184" s="180">
        <f>SUM(J185:J187)</f>
        <v>4262</v>
      </c>
      <c r="K184" s="20">
        <f t="shared" si="22"/>
        <v>0.4822903700350798</v>
      </c>
      <c r="L184" s="180">
        <f>SUM(L185:L187)</f>
        <v>763</v>
      </c>
    </row>
    <row r="185" spans="1:12" ht="12.75">
      <c r="A185" s="60" t="s">
        <v>313</v>
      </c>
      <c r="B185" s="96">
        <v>8245000</v>
      </c>
      <c r="C185" s="96"/>
      <c r="D185" s="96">
        <v>4095434</v>
      </c>
      <c r="E185" s="204">
        <f t="shared" si="21"/>
        <v>0.4967172832019406</v>
      </c>
      <c r="F185" s="96">
        <f>D185-'[4]Jūlijs'!D185</f>
        <v>744860</v>
      </c>
      <c r="G185" s="60" t="s">
        <v>313</v>
      </c>
      <c r="H185" s="18">
        <f>ROUND(B185/1000,0)</f>
        <v>8245</v>
      </c>
      <c r="I185" s="18">
        <f>ROUND(C185/1000,0)</f>
        <v>0</v>
      </c>
      <c r="J185" s="18">
        <f>ROUND(D185/1000,0)</f>
        <v>4095</v>
      </c>
      <c r="K185" s="20">
        <f t="shared" si="22"/>
        <v>0.4966646452395391</v>
      </c>
      <c r="L185" s="18">
        <f>J185-'[4]Jūlijs'!J185</f>
        <v>744</v>
      </c>
    </row>
    <row r="186" spans="1:12" ht="12.75">
      <c r="A186" s="60" t="s">
        <v>314</v>
      </c>
      <c r="B186" s="96">
        <v>300000</v>
      </c>
      <c r="C186" s="96"/>
      <c r="D186" s="96">
        <v>141102</v>
      </c>
      <c r="E186" s="204">
        <f t="shared" si="21"/>
        <v>0.47034</v>
      </c>
      <c r="F186" s="96">
        <f>D186-'[4]Jūlijs'!D186</f>
        <v>19031</v>
      </c>
      <c r="G186" s="60" t="s">
        <v>314</v>
      </c>
      <c r="H186" s="18">
        <f>ROUND(B186/1000,0)</f>
        <v>300</v>
      </c>
      <c r="I186" s="18">
        <f>ROUND(C186/1000,0)</f>
        <v>0</v>
      </c>
      <c r="J186" s="18">
        <f>ROUND(D186/1000,0)</f>
        <v>141</v>
      </c>
      <c r="K186" s="20">
        <f t="shared" si="22"/>
        <v>0.47</v>
      </c>
      <c r="L186" s="18">
        <f>J186-'[4]Jūlijs'!J186</f>
        <v>19</v>
      </c>
    </row>
    <row r="187" spans="1:12" ht="12.75">
      <c r="A187" s="60" t="s">
        <v>291</v>
      </c>
      <c r="B187" s="96">
        <v>292000</v>
      </c>
      <c r="C187" s="96"/>
      <c r="D187" s="96">
        <v>26498</v>
      </c>
      <c r="E187" s="204">
        <f t="shared" si="21"/>
        <v>0.09074657534246576</v>
      </c>
      <c r="F187" s="96">
        <f>D187-'[4]Jūlijs'!D187</f>
        <v>665</v>
      </c>
      <c r="G187" s="60" t="s">
        <v>291</v>
      </c>
      <c r="H187" s="18">
        <f>ROUND(B187/1000,0)</f>
        <v>292</v>
      </c>
      <c r="I187" s="18">
        <f>ROUND(C187/1000,0)</f>
        <v>0</v>
      </c>
      <c r="J187" s="18">
        <f>ROUND(D187/1000,0)</f>
        <v>26</v>
      </c>
      <c r="K187" s="20">
        <f t="shared" si="22"/>
        <v>0.08904109589041095</v>
      </c>
      <c r="L187" s="18">
        <f>J187-'[4]Jūlijs'!J187</f>
        <v>0</v>
      </c>
    </row>
    <row r="188" spans="1:12" ht="12.75">
      <c r="A188" s="60" t="s">
        <v>260</v>
      </c>
      <c r="B188" s="96">
        <f>SUM(B189:B190)</f>
        <v>7808770</v>
      </c>
      <c r="C188" s="96">
        <f>SUM(C189:C190)</f>
        <v>7139506</v>
      </c>
      <c r="D188" s="96">
        <f>SUM(D189:D190)</f>
        <v>4701701</v>
      </c>
      <c r="E188" s="204">
        <f t="shared" si="21"/>
        <v>0.602105197105306</v>
      </c>
      <c r="F188" s="96">
        <f>SUM(F189:F190)</f>
        <v>728131</v>
      </c>
      <c r="G188" s="60" t="s">
        <v>260</v>
      </c>
      <c r="H188" s="180">
        <f>SUM(H189:H190)</f>
        <v>7808</v>
      </c>
      <c r="I188" s="180">
        <f>SUM(I189:I190)</f>
        <v>7139</v>
      </c>
      <c r="J188" s="180">
        <f>SUM(J189:J190)</f>
        <v>4702</v>
      </c>
      <c r="K188" s="20">
        <f t="shared" si="22"/>
        <v>0.602202868852459</v>
      </c>
      <c r="L188" s="180">
        <f>SUM(L189:L190)</f>
        <v>728</v>
      </c>
    </row>
    <row r="189" spans="1:12" ht="12.75">
      <c r="A189" s="60" t="s">
        <v>252</v>
      </c>
      <c r="B189" s="96">
        <v>5934415</v>
      </c>
      <c r="C189" s="96">
        <v>5491456</v>
      </c>
      <c r="D189" s="96">
        <v>4012759</v>
      </c>
      <c r="E189" s="204">
        <f t="shared" si="21"/>
        <v>0.6761844259290932</v>
      </c>
      <c r="F189" s="96">
        <f>D189-'[4]Jūlijs'!D189</f>
        <v>642857</v>
      </c>
      <c r="G189" s="60" t="s">
        <v>252</v>
      </c>
      <c r="H189" s="18">
        <f aca="true" t="shared" si="27" ref="H189:J190">ROUND(B189/1000,0)</f>
        <v>5934</v>
      </c>
      <c r="I189" s="18">
        <f t="shared" si="27"/>
        <v>5491</v>
      </c>
      <c r="J189" s="18">
        <f t="shared" si="27"/>
        <v>4013</v>
      </c>
      <c r="K189" s="20">
        <f t="shared" si="22"/>
        <v>0.6762723289518031</v>
      </c>
      <c r="L189" s="18">
        <f>J189-'[4]Jūlijs'!J189</f>
        <v>643</v>
      </c>
    </row>
    <row r="190" spans="1:12" ht="12.75">
      <c r="A190" s="60" t="s">
        <v>253</v>
      </c>
      <c r="B190" s="96">
        <v>1874355</v>
      </c>
      <c r="C190" s="96">
        <v>1648050</v>
      </c>
      <c r="D190" s="96">
        <v>688942</v>
      </c>
      <c r="E190" s="204">
        <f t="shared" si="21"/>
        <v>0.3675621747214375</v>
      </c>
      <c r="F190" s="96">
        <f>D190-'[4]Jūlijs'!D190</f>
        <v>85274</v>
      </c>
      <c r="G190" s="60" t="s">
        <v>253</v>
      </c>
      <c r="H190" s="18">
        <f t="shared" si="27"/>
        <v>1874</v>
      </c>
      <c r="I190" s="18">
        <f t="shared" si="27"/>
        <v>1648</v>
      </c>
      <c r="J190" s="18">
        <f t="shared" si="27"/>
        <v>689</v>
      </c>
      <c r="K190" s="20">
        <f t="shared" si="22"/>
        <v>0.36766275346851657</v>
      </c>
      <c r="L190" s="18">
        <f>J190-'[4]Jūlijs'!J190</f>
        <v>85</v>
      </c>
    </row>
    <row r="191" spans="1:12" ht="16.5" customHeight="1">
      <c r="A191" s="207" t="s">
        <v>315</v>
      </c>
      <c r="B191" s="96"/>
      <c r="C191" s="96"/>
      <c r="D191" s="96"/>
      <c r="E191" s="204" t="str">
        <f t="shared" si="21"/>
        <v> </v>
      </c>
      <c r="F191" s="96"/>
      <c r="G191" s="207" t="s">
        <v>315</v>
      </c>
      <c r="H191" s="180"/>
      <c r="I191" s="180"/>
      <c r="J191" s="180"/>
      <c r="K191" s="20"/>
      <c r="L191" s="180"/>
    </row>
    <row r="192" spans="1:12" ht="12.75">
      <c r="A192" s="60" t="s">
        <v>259</v>
      </c>
      <c r="B192" s="96">
        <v>1450000</v>
      </c>
      <c r="C192" s="96">
        <v>1290500</v>
      </c>
      <c r="D192" s="96">
        <v>1462500</v>
      </c>
      <c r="E192" s="204">
        <f t="shared" si="21"/>
        <v>1.0086206896551724</v>
      </c>
      <c r="F192" s="96">
        <f>D192-'[4]Jūlijs'!D192</f>
        <v>0</v>
      </c>
      <c r="G192" s="60" t="s">
        <v>259</v>
      </c>
      <c r="H192" s="18">
        <f>ROUND(B192/1000,0)</f>
        <v>1450</v>
      </c>
      <c r="I192" s="18">
        <f>ROUND(C192/1000,0)</f>
        <v>1291</v>
      </c>
      <c r="J192" s="18">
        <f>ROUND(D192/1000,0)</f>
        <v>1463</v>
      </c>
      <c r="K192" s="20">
        <f t="shared" si="22"/>
        <v>1.0089655172413794</v>
      </c>
      <c r="L192" s="18">
        <f>J192-'[4]Jūlijs'!J192</f>
        <v>0</v>
      </c>
    </row>
    <row r="193" spans="1:12" ht="12.75">
      <c r="A193" s="60" t="s">
        <v>260</v>
      </c>
      <c r="B193" s="96">
        <f>SUM(B194:B195)</f>
        <v>1450000</v>
      </c>
      <c r="C193" s="96">
        <f>SUM(C194:C195)</f>
        <v>1290500</v>
      </c>
      <c r="D193" s="96">
        <f>SUM(D194:D195)</f>
        <v>1271512</v>
      </c>
      <c r="E193" s="204">
        <f t="shared" si="21"/>
        <v>0.8769048275862069</v>
      </c>
      <c r="F193" s="96">
        <f>SUM(F194:F195)</f>
        <v>188861</v>
      </c>
      <c r="G193" s="60" t="s">
        <v>260</v>
      </c>
      <c r="H193" s="180">
        <f>SUM(H194:H195)</f>
        <v>1450</v>
      </c>
      <c r="I193" s="180">
        <f>SUM(I194:I195)</f>
        <v>1291</v>
      </c>
      <c r="J193" s="180">
        <f>SUM(J194:J195)</f>
        <v>1272</v>
      </c>
      <c r="K193" s="20">
        <f t="shared" si="22"/>
        <v>0.8772413793103448</v>
      </c>
      <c r="L193" s="180">
        <f>SUM(L194:L195)</f>
        <v>189</v>
      </c>
    </row>
    <row r="194" spans="1:12" ht="12.75">
      <c r="A194" s="60" t="s">
        <v>252</v>
      </c>
      <c r="B194" s="96">
        <v>45000</v>
      </c>
      <c r="C194" s="96">
        <v>39000</v>
      </c>
      <c r="D194" s="96">
        <v>20021</v>
      </c>
      <c r="E194" s="204">
        <f t="shared" si="21"/>
        <v>0.4449111111111111</v>
      </c>
      <c r="F194" s="96">
        <f>D194-'[4]Jūlijs'!D194</f>
        <v>461</v>
      </c>
      <c r="G194" s="60" t="s">
        <v>252</v>
      </c>
      <c r="H194" s="18">
        <f aca="true" t="shared" si="28" ref="H194:J195">ROUND(B194/1000,0)</f>
        <v>45</v>
      </c>
      <c r="I194" s="18">
        <f t="shared" si="28"/>
        <v>39</v>
      </c>
      <c r="J194" s="18">
        <f t="shared" si="28"/>
        <v>20</v>
      </c>
      <c r="K194" s="20">
        <f t="shared" si="22"/>
        <v>0.4444444444444444</v>
      </c>
      <c r="L194" s="18">
        <f>J194-'[4]Jūlijs'!J194</f>
        <v>0</v>
      </c>
    </row>
    <row r="195" spans="1:12" ht="12.75">
      <c r="A195" s="60" t="s">
        <v>253</v>
      </c>
      <c r="B195" s="96">
        <v>1405000</v>
      </c>
      <c r="C195" s="96">
        <v>1251500</v>
      </c>
      <c r="D195" s="96">
        <v>1251491</v>
      </c>
      <c r="E195" s="204">
        <f t="shared" si="21"/>
        <v>0.890740925266904</v>
      </c>
      <c r="F195" s="96">
        <f>D195-'[4]Jūlijs'!D195</f>
        <v>188400</v>
      </c>
      <c r="G195" s="60" t="s">
        <v>253</v>
      </c>
      <c r="H195" s="18">
        <f t="shared" si="28"/>
        <v>1405</v>
      </c>
      <c r="I195" s="18">
        <f t="shared" si="28"/>
        <v>1252</v>
      </c>
      <c r="J195" s="18">
        <f>ROUND(D195/1000,0)+1</f>
        <v>1252</v>
      </c>
      <c r="K195" s="20">
        <f t="shared" si="22"/>
        <v>0.8911032028469751</v>
      </c>
      <c r="L195" s="18">
        <f>J195-'[4]Jūlijs'!J195</f>
        <v>189</v>
      </c>
    </row>
    <row r="196" spans="1:12" ht="16.5" customHeight="1">
      <c r="A196" s="9" t="s">
        <v>316</v>
      </c>
      <c r="B196" s="88"/>
      <c r="C196" s="88"/>
      <c r="D196" s="88"/>
      <c r="E196" s="204" t="str">
        <f t="shared" si="21"/>
        <v> </v>
      </c>
      <c r="F196" s="88"/>
      <c r="G196" s="9" t="s">
        <v>316</v>
      </c>
      <c r="H196" s="164"/>
      <c r="I196" s="164"/>
      <c r="J196" s="164"/>
      <c r="K196" s="20"/>
      <c r="L196" s="164"/>
    </row>
    <row r="197" spans="1:12" ht="15" customHeight="1">
      <c r="A197" s="207" t="s">
        <v>317</v>
      </c>
      <c r="B197" s="96"/>
      <c r="C197" s="96"/>
      <c r="D197" s="96"/>
      <c r="E197" s="204" t="str">
        <f t="shared" si="21"/>
        <v> </v>
      </c>
      <c r="F197" s="96"/>
      <c r="G197" s="207" t="s">
        <v>317</v>
      </c>
      <c r="H197" s="180"/>
      <c r="I197" s="180"/>
      <c r="J197" s="180"/>
      <c r="K197" s="20"/>
      <c r="L197" s="180"/>
    </row>
    <row r="198" spans="1:12" ht="12.75">
      <c r="A198" s="60" t="s">
        <v>259</v>
      </c>
      <c r="B198" s="96">
        <f>SUM(B199:B200)</f>
        <v>2400000</v>
      </c>
      <c r="C198" s="96">
        <v>1573000</v>
      </c>
      <c r="D198" s="96">
        <f>SUM(D199:D200)</f>
        <v>1747862</v>
      </c>
      <c r="E198" s="204">
        <f t="shared" si="21"/>
        <v>0.7282758333333333</v>
      </c>
      <c r="F198" s="96">
        <f>SUM(F199:F200)</f>
        <v>17855</v>
      </c>
      <c r="G198" s="60" t="s">
        <v>259</v>
      </c>
      <c r="H198" s="180">
        <f>SUM(H199:H200)</f>
        <v>2400</v>
      </c>
      <c r="I198" s="18">
        <f>ROUND(C198/1000,0)</f>
        <v>1573</v>
      </c>
      <c r="J198" s="180">
        <f>SUM(J199:J200)</f>
        <v>1748</v>
      </c>
      <c r="K198" s="20">
        <f t="shared" si="22"/>
        <v>0.7283333333333334</v>
      </c>
      <c r="L198" s="180">
        <f>SUM(L199:L200)</f>
        <v>18</v>
      </c>
    </row>
    <row r="199" spans="1:12" ht="22.5">
      <c r="A199" s="63" t="s">
        <v>318</v>
      </c>
      <c r="B199" s="96">
        <v>2032476</v>
      </c>
      <c r="C199" s="96"/>
      <c r="D199" s="96">
        <v>1747862</v>
      </c>
      <c r="E199" s="204">
        <f t="shared" si="21"/>
        <v>0.8599668581572427</v>
      </c>
      <c r="F199" s="96">
        <f>D199-'[4]Jūlijs'!D199</f>
        <v>17855</v>
      </c>
      <c r="G199" s="63" t="s">
        <v>318</v>
      </c>
      <c r="H199" s="18">
        <f>ROUND(B199/1000,0)</f>
        <v>2032</v>
      </c>
      <c r="I199" s="18">
        <f>ROUND(C199/1000,0)</f>
        <v>0</v>
      </c>
      <c r="J199" s="18">
        <f>ROUND(D199/1000,0)</f>
        <v>1748</v>
      </c>
      <c r="K199" s="20">
        <f t="shared" si="22"/>
        <v>0.860236220472441</v>
      </c>
      <c r="L199" s="18">
        <f>J199-'[4]Jūlijs'!J199</f>
        <v>18</v>
      </c>
    </row>
    <row r="200" spans="1:12" ht="12.75">
      <c r="A200" s="60" t="s">
        <v>310</v>
      </c>
      <c r="B200" s="96">
        <v>367524</v>
      </c>
      <c r="C200" s="96"/>
      <c r="D200" s="96"/>
      <c r="E200" s="204">
        <f t="shared" si="21"/>
        <v>0</v>
      </c>
      <c r="F200" s="96">
        <f>D200-'[4]Jūlijs'!D200</f>
        <v>0</v>
      </c>
      <c r="G200" s="60" t="s">
        <v>310</v>
      </c>
      <c r="H200" s="18">
        <f>ROUND(B200/1000,0)</f>
        <v>368</v>
      </c>
      <c r="I200" s="18">
        <f>ROUND(C200/1000,0)</f>
        <v>0</v>
      </c>
      <c r="J200" s="18">
        <f>ROUND(D200/1000,0)</f>
        <v>0</v>
      </c>
      <c r="K200" s="20">
        <f t="shared" si="22"/>
        <v>0</v>
      </c>
      <c r="L200" s="18">
        <f>J200-'[4]Jūlijs'!J200</f>
        <v>0</v>
      </c>
    </row>
    <row r="201" spans="1:12" ht="12.75">
      <c r="A201" s="60" t="s">
        <v>260</v>
      </c>
      <c r="B201" s="96">
        <f>B202</f>
        <v>2750000</v>
      </c>
      <c r="C201" s="96">
        <f>C202</f>
        <v>1923000</v>
      </c>
      <c r="D201" s="96">
        <f>D202</f>
        <v>1923000</v>
      </c>
      <c r="E201" s="204">
        <f t="shared" si="21"/>
        <v>0.6992727272727273</v>
      </c>
      <c r="F201" s="96">
        <f>F202</f>
        <v>185708</v>
      </c>
      <c r="G201" s="60" t="s">
        <v>260</v>
      </c>
      <c r="H201" s="180">
        <f>H202</f>
        <v>2750</v>
      </c>
      <c r="I201" s="180">
        <f>I202</f>
        <v>1923</v>
      </c>
      <c r="J201" s="180">
        <f>J202</f>
        <v>1923</v>
      </c>
      <c r="K201" s="20">
        <f t="shared" si="22"/>
        <v>0.6992727272727273</v>
      </c>
      <c r="L201" s="180">
        <f>L202</f>
        <v>186</v>
      </c>
    </row>
    <row r="202" spans="1:12" ht="12.75">
      <c r="A202" s="60" t="s">
        <v>252</v>
      </c>
      <c r="B202" s="96">
        <v>2750000</v>
      </c>
      <c r="C202" s="96">
        <v>1923000</v>
      </c>
      <c r="D202" s="96">
        <v>1923000</v>
      </c>
      <c r="E202" s="204">
        <f aca="true" t="shared" si="29" ref="E202:E217">IF(ISERROR(D202/B202)," ",(D202/B202))</f>
        <v>0.6992727272727273</v>
      </c>
      <c r="F202" s="96">
        <f>D202-'[4]Jūlijs'!D202</f>
        <v>185708</v>
      </c>
      <c r="G202" s="60" t="s">
        <v>252</v>
      </c>
      <c r="H202" s="18">
        <f>ROUND(B202/1000,0)</f>
        <v>2750</v>
      </c>
      <c r="I202" s="18">
        <f>ROUND(C202/1000,0)</f>
        <v>1923</v>
      </c>
      <c r="J202" s="18">
        <f>ROUND(D202/1000,0)</f>
        <v>1923</v>
      </c>
      <c r="K202" s="20">
        <f aca="true" t="shared" si="30" ref="K202:K216">IF(ISERROR(ROUND(J202,0)/ROUND(H202,0))," ",(ROUND(J202,)/ROUND(H202,)))</f>
        <v>0.6992727272727273</v>
      </c>
      <c r="L202" s="18">
        <f>J202-'[4]Jūlijs'!J202</f>
        <v>186</v>
      </c>
    </row>
    <row r="203" spans="1:12" ht="15.75" customHeight="1">
      <c r="A203" s="9" t="s">
        <v>319</v>
      </c>
      <c r="B203" s="88"/>
      <c r="C203" s="88"/>
      <c r="D203" s="88"/>
      <c r="E203" s="204" t="str">
        <f t="shared" si="29"/>
        <v> </v>
      </c>
      <c r="F203" s="88"/>
      <c r="G203" s="9" t="s">
        <v>319</v>
      </c>
      <c r="H203" s="164"/>
      <c r="I203" s="164"/>
      <c r="J203" s="164"/>
      <c r="K203" s="20"/>
      <c r="L203" s="164"/>
    </row>
    <row r="204" spans="1:12" ht="12.75">
      <c r="A204" s="60" t="s">
        <v>259</v>
      </c>
      <c r="B204" s="96">
        <f>SUM(B205:B206)</f>
        <v>105000</v>
      </c>
      <c r="C204" s="96">
        <v>88100</v>
      </c>
      <c r="D204" s="96">
        <f>SUM(D205:D206)</f>
        <v>73038</v>
      </c>
      <c r="E204" s="204">
        <f t="shared" si="29"/>
        <v>0.6956</v>
      </c>
      <c r="F204" s="96">
        <f>SUM(F205:F206)</f>
        <v>-7483</v>
      </c>
      <c r="G204" s="60" t="s">
        <v>259</v>
      </c>
      <c r="H204" s="180">
        <f>SUM(H205:H206)</f>
        <v>105</v>
      </c>
      <c r="I204" s="18">
        <f aca="true" t="shared" si="31" ref="I204:J206">ROUND(C204/1000,0)</f>
        <v>88</v>
      </c>
      <c r="J204" s="18">
        <f t="shared" si="31"/>
        <v>73</v>
      </c>
      <c r="K204" s="20">
        <f t="shared" si="30"/>
        <v>0.6952380952380952</v>
      </c>
      <c r="L204" s="180">
        <f>SUM(L205:L206)</f>
        <v>-8</v>
      </c>
    </row>
    <row r="205" spans="1:12" ht="12.75">
      <c r="A205" s="60" t="s">
        <v>320</v>
      </c>
      <c r="B205" s="96">
        <v>101000</v>
      </c>
      <c r="C205" s="96"/>
      <c r="D205" s="96">
        <v>53495</v>
      </c>
      <c r="E205" s="204">
        <f t="shared" si="29"/>
        <v>0.5296534653465347</v>
      </c>
      <c r="F205" s="96">
        <f>D205-'[4]Jūlijs'!D205</f>
        <v>0</v>
      </c>
      <c r="G205" s="60" t="s">
        <v>320</v>
      </c>
      <c r="H205" s="18">
        <f>ROUND(B205/1000,0)</f>
        <v>101</v>
      </c>
      <c r="I205" s="18">
        <f t="shared" si="31"/>
        <v>0</v>
      </c>
      <c r="J205" s="18">
        <f t="shared" si="31"/>
        <v>53</v>
      </c>
      <c r="K205" s="20">
        <f t="shared" si="30"/>
        <v>0.5247524752475248</v>
      </c>
      <c r="L205" s="18">
        <f>J205-'[4]Jūlijs'!J205</f>
        <v>0</v>
      </c>
    </row>
    <row r="206" spans="1:33" s="17" customFormat="1" ht="12.75">
      <c r="A206" s="60" t="s">
        <v>321</v>
      </c>
      <c r="B206" s="60">
        <v>4000</v>
      </c>
      <c r="C206" s="60"/>
      <c r="D206" s="60">
        <v>19543</v>
      </c>
      <c r="E206" s="204">
        <f t="shared" si="29"/>
        <v>4.88575</v>
      </c>
      <c r="F206" s="96">
        <f>D206-'[4]Jūlijs'!D206</f>
        <v>-7483</v>
      </c>
      <c r="G206" s="60" t="s">
        <v>321</v>
      </c>
      <c r="H206" s="18">
        <f>ROUND(B206/1000,0)</f>
        <v>4</v>
      </c>
      <c r="I206" s="18">
        <f t="shared" si="31"/>
        <v>0</v>
      </c>
      <c r="J206" s="18">
        <f>ROUND(D206/1000,0)-1</f>
        <v>19</v>
      </c>
      <c r="K206" s="20">
        <f t="shared" si="30"/>
        <v>4.75</v>
      </c>
      <c r="L206" s="18">
        <f>J206-'[4]Jūlijs'!J206</f>
        <v>-8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17" customFormat="1" ht="12.75">
      <c r="A207" s="60" t="s">
        <v>260</v>
      </c>
      <c r="B207" s="96">
        <f>SUM(B208:B209)</f>
        <v>105000</v>
      </c>
      <c r="C207" s="96">
        <f>SUM(C208:C209)</f>
        <v>103749</v>
      </c>
      <c r="D207" s="96">
        <f>SUM(D208:D209)</f>
        <v>90589</v>
      </c>
      <c r="E207" s="204">
        <f t="shared" si="29"/>
        <v>0.8627523809523809</v>
      </c>
      <c r="F207" s="96">
        <f>SUM(F208:F209)</f>
        <v>-37</v>
      </c>
      <c r="G207" s="60" t="s">
        <v>260</v>
      </c>
      <c r="H207" s="180">
        <f>SUM(H208:H209)</f>
        <v>105</v>
      </c>
      <c r="I207" s="180">
        <f>SUM(I208:I209)</f>
        <v>104</v>
      </c>
      <c r="J207" s="180">
        <f>SUM(J208:J209)</f>
        <v>91</v>
      </c>
      <c r="K207" s="20">
        <f t="shared" si="30"/>
        <v>0.8666666666666667</v>
      </c>
      <c r="L207" s="180">
        <f>SUM(L208:L209)</f>
        <v>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60" t="s">
        <v>252</v>
      </c>
      <c r="B208" s="96">
        <v>102000</v>
      </c>
      <c r="C208" s="96">
        <v>100749</v>
      </c>
      <c r="D208" s="96">
        <v>89839</v>
      </c>
      <c r="E208" s="204">
        <f t="shared" si="29"/>
        <v>0.8807745098039216</v>
      </c>
      <c r="F208" s="96">
        <f>D208-'[4]Jūlijs'!D208</f>
        <v>-37</v>
      </c>
      <c r="G208" s="60" t="s">
        <v>252</v>
      </c>
      <c r="H208" s="18">
        <f aca="true" t="shared" si="32" ref="H208:J209">ROUND(B208/1000,0)</f>
        <v>102</v>
      </c>
      <c r="I208" s="18">
        <f t="shared" si="32"/>
        <v>101</v>
      </c>
      <c r="J208" s="18">
        <f t="shared" si="32"/>
        <v>90</v>
      </c>
      <c r="K208" s="20">
        <f t="shared" si="30"/>
        <v>0.8823529411764706</v>
      </c>
      <c r="L208" s="18">
        <f>J208-'[4]Jūlijs'!J208</f>
        <v>0</v>
      </c>
    </row>
    <row r="209" spans="1:12" ht="12.75">
      <c r="A209" s="60" t="s">
        <v>253</v>
      </c>
      <c r="B209" s="96">
        <v>3000</v>
      </c>
      <c r="C209" s="96">
        <v>3000</v>
      </c>
      <c r="D209" s="96">
        <v>750</v>
      </c>
      <c r="E209" s="204">
        <f t="shared" si="29"/>
        <v>0.25</v>
      </c>
      <c r="F209" s="96"/>
      <c r="G209" s="60" t="s">
        <v>253</v>
      </c>
      <c r="H209" s="18">
        <f t="shared" si="32"/>
        <v>3</v>
      </c>
      <c r="I209" s="18">
        <f t="shared" si="32"/>
        <v>3</v>
      </c>
      <c r="J209" s="18">
        <f t="shared" si="32"/>
        <v>1</v>
      </c>
      <c r="K209" s="20">
        <f t="shared" si="30"/>
        <v>0.3333333333333333</v>
      </c>
      <c r="L209" s="18">
        <f>J209-'[4]Jūlijs'!J209</f>
        <v>0</v>
      </c>
    </row>
    <row r="210" spans="1:33" s="17" customFormat="1" ht="27" customHeight="1">
      <c r="A210" s="32" t="s">
        <v>322</v>
      </c>
      <c r="B210" s="60"/>
      <c r="C210" s="60"/>
      <c r="D210" s="60"/>
      <c r="E210" s="204" t="str">
        <f t="shared" si="29"/>
        <v> </v>
      </c>
      <c r="F210" s="60"/>
      <c r="G210" s="32" t="s">
        <v>322</v>
      </c>
      <c r="H210" s="180"/>
      <c r="I210" s="180"/>
      <c r="J210" s="180"/>
      <c r="K210" s="20"/>
      <c r="L210" s="18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17" customFormat="1" ht="12.75">
      <c r="A211" s="60" t="s">
        <v>259</v>
      </c>
      <c r="B211" s="60">
        <f>B212</f>
        <v>69988</v>
      </c>
      <c r="C211" s="60">
        <v>38880</v>
      </c>
      <c r="D211" s="60">
        <f>D212</f>
        <v>57024</v>
      </c>
      <c r="E211" s="204">
        <f t="shared" si="29"/>
        <v>0.814768245985026</v>
      </c>
      <c r="F211" s="60">
        <f>F212</f>
        <v>53179</v>
      </c>
      <c r="G211" s="60" t="s">
        <v>259</v>
      </c>
      <c r="H211" s="180">
        <f>H212</f>
        <v>70</v>
      </c>
      <c r="I211" s="18">
        <f>ROUND(C211/1000,0)</f>
        <v>39</v>
      </c>
      <c r="J211" s="180">
        <f>J212</f>
        <v>57</v>
      </c>
      <c r="K211" s="20">
        <f t="shared" si="30"/>
        <v>0.8142857142857143</v>
      </c>
      <c r="L211" s="180">
        <f>L212</f>
        <v>53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17" customFormat="1" ht="31.5" customHeight="1">
      <c r="A212" s="63" t="s">
        <v>323</v>
      </c>
      <c r="B212" s="60">
        <v>69988</v>
      </c>
      <c r="C212" s="60"/>
      <c r="D212" s="60">
        <v>57024</v>
      </c>
      <c r="E212" s="204">
        <f t="shared" si="29"/>
        <v>0.814768245985026</v>
      </c>
      <c r="F212" s="96">
        <f>D212-'[4]Jūlijs'!D212</f>
        <v>53179</v>
      </c>
      <c r="G212" s="63" t="s">
        <v>323</v>
      </c>
      <c r="H212" s="18">
        <f>ROUND(B212/1000,0)</f>
        <v>70</v>
      </c>
      <c r="I212" s="18">
        <f>ROUND(C212/1000,0)</f>
        <v>0</v>
      </c>
      <c r="J212" s="18">
        <f>ROUND(D212/1000,0)</f>
        <v>57</v>
      </c>
      <c r="K212" s="20">
        <f t="shared" si="30"/>
        <v>0.8142857142857143</v>
      </c>
      <c r="L212" s="18">
        <f>J212-'[4]Jūlijs'!J212</f>
        <v>53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60" t="s">
        <v>260</v>
      </c>
      <c r="B213" s="96">
        <f>SUM(B214:B215)</f>
        <v>122568</v>
      </c>
      <c r="C213" s="96">
        <f>SUM(C214:C215)</f>
        <v>73649</v>
      </c>
      <c r="D213" s="96">
        <f>SUM(D214:D215)</f>
        <v>13616</v>
      </c>
      <c r="E213" s="204">
        <f t="shared" si="29"/>
        <v>0.11108935448077802</v>
      </c>
      <c r="F213" s="96">
        <f>SUM(F214:F215)</f>
        <v>9771</v>
      </c>
      <c r="G213" s="60" t="s">
        <v>260</v>
      </c>
      <c r="H213" s="180">
        <f>SUM(H214:H215)</f>
        <v>122</v>
      </c>
      <c r="I213" s="180">
        <f>SUM(I214:I215)</f>
        <v>74</v>
      </c>
      <c r="J213" s="180">
        <f>SUM(J214:J215)</f>
        <v>13</v>
      </c>
      <c r="K213" s="20">
        <f t="shared" si="30"/>
        <v>0.10655737704918032</v>
      </c>
      <c r="L213" s="180">
        <f>SUM(L214:L215)</f>
        <v>9</v>
      </c>
    </row>
    <row r="214" spans="1:12" ht="12.75">
      <c r="A214" s="60" t="s">
        <v>252</v>
      </c>
      <c r="B214" s="96">
        <v>114433</v>
      </c>
      <c r="C214" s="96">
        <v>69129</v>
      </c>
      <c r="D214" s="96">
        <v>9716</v>
      </c>
      <c r="E214" s="204">
        <f t="shared" si="29"/>
        <v>0.08490557793643443</v>
      </c>
      <c r="F214" s="96">
        <f>D214-'[4]Jūlijs'!D214</f>
        <v>5945</v>
      </c>
      <c r="G214" s="60" t="s">
        <v>252</v>
      </c>
      <c r="H214" s="18">
        <f aca="true" t="shared" si="33" ref="H214:J215">ROUND(B214/1000,0)</f>
        <v>114</v>
      </c>
      <c r="I214" s="18">
        <f t="shared" si="33"/>
        <v>69</v>
      </c>
      <c r="J214" s="18">
        <f>ROUND(D214/1000,0)-1</f>
        <v>9</v>
      </c>
      <c r="K214" s="20">
        <f t="shared" si="30"/>
        <v>0.07894736842105263</v>
      </c>
      <c r="L214" s="18">
        <f>J214-'[4]Jūlijs'!J214</f>
        <v>5</v>
      </c>
    </row>
    <row r="215" spans="1:12" ht="12.75">
      <c r="A215" s="60" t="s">
        <v>253</v>
      </c>
      <c r="B215" s="96">
        <v>8135</v>
      </c>
      <c r="C215" s="96">
        <v>4520</v>
      </c>
      <c r="D215" s="96">
        <v>3900</v>
      </c>
      <c r="E215" s="204">
        <f t="shared" si="29"/>
        <v>0.4794099569760295</v>
      </c>
      <c r="F215" s="96">
        <f>D215-'[4]Jūlijs'!D215</f>
        <v>3826</v>
      </c>
      <c r="G215" s="60" t="s">
        <v>253</v>
      </c>
      <c r="H215" s="18">
        <f t="shared" si="33"/>
        <v>8</v>
      </c>
      <c r="I215" s="18">
        <f t="shared" si="33"/>
        <v>5</v>
      </c>
      <c r="J215" s="18">
        <f t="shared" si="33"/>
        <v>4</v>
      </c>
      <c r="K215" s="20">
        <f t="shared" si="30"/>
        <v>0.5</v>
      </c>
      <c r="L215" s="18">
        <f>J215-'[4]Jūlijs'!J215</f>
        <v>4</v>
      </c>
    </row>
    <row r="216" spans="1:12" ht="12.75">
      <c r="A216" s="60" t="s">
        <v>256</v>
      </c>
      <c r="B216" s="96">
        <f>SUM(B211-B213)</f>
        <v>-52580</v>
      </c>
      <c r="C216" s="96">
        <f>SUM(C211-C213)</f>
        <v>-34769</v>
      </c>
      <c r="D216" s="96">
        <f>SUM(D211-D213)</f>
        <v>43408</v>
      </c>
      <c r="E216" s="204">
        <f t="shared" si="29"/>
        <v>-0.8255610498288323</v>
      </c>
      <c r="F216" s="96">
        <f>SUM(F211-F213)</f>
        <v>43408</v>
      </c>
      <c r="G216" s="60" t="s">
        <v>256</v>
      </c>
      <c r="H216" s="180">
        <f>SUM(H211-H213)</f>
        <v>-52</v>
      </c>
      <c r="I216" s="180">
        <f>SUM(I211-I213)</f>
        <v>-35</v>
      </c>
      <c r="J216" s="180">
        <f>SUM(J211-J213)</f>
        <v>44</v>
      </c>
      <c r="K216" s="20">
        <f t="shared" si="30"/>
        <v>-0.8461538461538461</v>
      </c>
      <c r="L216" s="180">
        <f>SUM(L211-L213)</f>
        <v>44</v>
      </c>
    </row>
    <row r="217" spans="1:12" ht="12.75">
      <c r="A217" s="60" t="s">
        <v>243</v>
      </c>
      <c r="B217" s="96">
        <f>-B216</f>
        <v>52580</v>
      </c>
      <c r="C217" s="96"/>
      <c r="D217" s="96"/>
      <c r="E217" s="204">
        <f t="shared" si="29"/>
        <v>0</v>
      </c>
      <c r="F217" s="96">
        <f>-F216</f>
        <v>-43408</v>
      </c>
      <c r="G217" s="60" t="s">
        <v>243</v>
      </c>
      <c r="H217" s="180">
        <f>-H216</f>
        <v>52</v>
      </c>
      <c r="I217" s="180"/>
      <c r="J217" s="180"/>
      <c r="K217" s="20"/>
      <c r="L217" s="180"/>
    </row>
    <row r="218" spans="1:12" ht="14.25">
      <c r="A218" s="217"/>
      <c r="B218" s="119"/>
      <c r="C218" s="119"/>
      <c r="D218" s="119"/>
      <c r="E218" s="119"/>
      <c r="G218" s="217"/>
      <c r="H218" s="119"/>
      <c r="I218" s="119"/>
      <c r="J218" s="119"/>
      <c r="K218" s="119"/>
      <c r="L218" s="72"/>
    </row>
    <row r="219" spans="1:12" ht="14.25">
      <c r="A219" s="217"/>
      <c r="B219" s="119"/>
      <c r="C219" s="119"/>
      <c r="D219" s="119"/>
      <c r="E219" s="119"/>
      <c r="G219" s="217"/>
      <c r="H219" s="119"/>
      <c r="I219" s="119"/>
      <c r="J219" s="119"/>
      <c r="K219" s="119"/>
      <c r="L219" s="72"/>
    </row>
    <row r="220" spans="1:12" ht="12.75">
      <c r="A220" s="37"/>
      <c r="B220" s="119"/>
      <c r="C220" s="119"/>
      <c r="D220" s="119"/>
      <c r="E220" s="119"/>
      <c r="G220" s="37"/>
      <c r="H220" s="119"/>
      <c r="I220" s="119"/>
      <c r="J220" s="119"/>
      <c r="K220" s="119"/>
      <c r="L220" s="72"/>
    </row>
    <row r="221" spans="1:12" ht="12.75">
      <c r="A221" s="39" t="s">
        <v>324</v>
      </c>
      <c r="B221" s="131"/>
      <c r="C221" s="131"/>
      <c r="D221" s="131"/>
      <c r="E221" s="40"/>
      <c r="G221" s="39"/>
      <c r="H221" s="131"/>
      <c r="I221" s="131"/>
      <c r="J221" s="131"/>
      <c r="K221" s="40"/>
      <c r="L221" s="72"/>
    </row>
    <row r="222" spans="1:12" ht="12.75">
      <c r="A222" s="116"/>
      <c r="B222" s="116"/>
      <c r="C222" s="116"/>
      <c r="D222" s="116"/>
      <c r="E222" s="73"/>
      <c r="G222" s="116"/>
      <c r="H222" s="116"/>
      <c r="I222" s="116"/>
      <c r="J222" s="116"/>
      <c r="K222" s="73"/>
      <c r="L222" s="72"/>
    </row>
    <row r="223" spans="1:12" ht="12.75">
      <c r="A223" s="116"/>
      <c r="B223" s="116"/>
      <c r="C223" s="116"/>
      <c r="D223" s="116"/>
      <c r="E223" s="73"/>
      <c r="G223" s="116"/>
      <c r="H223" s="116"/>
      <c r="I223" s="116"/>
      <c r="J223" s="116"/>
      <c r="K223" s="73"/>
      <c r="L223" s="72"/>
    </row>
    <row r="224" spans="1:12" ht="12.75">
      <c r="A224" s="116"/>
      <c r="B224" s="116"/>
      <c r="C224" s="116"/>
      <c r="D224" s="116"/>
      <c r="E224" s="73"/>
      <c r="G224" s="116"/>
      <c r="H224" s="116"/>
      <c r="I224" s="116"/>
      <c r="J224" s="116"/>
      <c r="K224" s="73"/>
      <c r="L224" s="72"/>
    </row>
    <row r="225" spans="1:12" ht="12.75">
      <c r="A225" s="116" t="s">
        <v>89</v>
      </c>
      <c r="B225" s="116"/>
      <c r="C225" s="116"/>
      <c r="D225" s="116"/>
      <c r="E225" s="73"/>
      <c r="G225" s="116"/>
      <c r="H225" s="116"/>
      <c r="I225" s="116"/>
      <c r="J225" s="116"/>
      <c r="K225" s="73"/>
      <c r="L225" s="72"/>
    </row>
    <row r="226" spans="1:12" ht="12.75">
      <c r="A226" s="116" t="s">
        <v>122</v>
      </c>
      <c r="B226" s="116"/>
      <c r="C226" s="116"/>
      <c r="D226" s="116"/>
      <c r="E226" s="73"/>
      <c r="G226" s="116"/>
      <c r="H226" s="116"/>
      <c r="I226" s="116"/>
      <c r="J226" s="116"/>
      <c r="K226" s="73"/>
      <c r="L226" s="72"/>
    </row>
    <row r="227" spans="1:12" ht="12.75">
      <c r="A227" s="116"/>
      <c r="B227" s="116"/>
      <c r="C227" s="116"/>
      <c r="D227" s="116"/>
      <c r="E227" s="73"/>
      <c r="G227" s="116"/>
      <c r="H227" s="116"/>
      <c r="I227" s="116"/>
      <c r="J227" s="116"/>
      <c r="K227" s="73"/>
      <c r="L227" s="72"/>
    </row>
    <row r="228" spans="1:12" ht="12.75">
      <c r="A228" s="116"/>
      <c r="B228" s="116"/>
      <c r="C228" s="116"/>
      <c r="D228" s="116"/>
      <c r="E228" s="73"/>
      <c r="G228" s="116"/>
      <c r="H228" s="116"/>
      <c r="I228" s="116"/>
      <c r="J228" s="116"/>
      <c r="K228" s="73"/>
      <c r="L228" s="72"/>
    </row>
    <row r="229" spans="2:11" ht="12.75">
      <c r="B229" s="116"/>
      <c r="C229" s="116"/>
      <c r="D229" s="116"/>
      <c r="E229" s="73"/>
      <c r="K229" s="218"/>
    </row>
    <row r="230" spans="1:11" ht="12.75">
      <c r="A230" s="116"/>
      <c r="B230" s="116"/>
      <c r="C230" s="116"/>
      <c r="D230" s="116"/>
      <c r="E230" s="73"/>
      <c r="K230" s="218"/>
    </row>
    <row r="231" spans="1:7" ht="12.75">
      <c r="A231" s="116"/>
      <c r="B231" s="116"/>
      <c r="C231" s="116"/>
      <c r="D231" s="116"/>
      <c r="E231" s="73"/>
      <c r="G231" s="39"/>
    </row>
    <row r="232" spans="1:7" ht="12.75">
      <c r="A232" s="116"/>
      <c r="B232" s="73"/>
      <c r="C232" s="73"/>
      <c r="D232" s="73"/>
      <c r="E232" s="73"/>
      <c r="G232" s="116"/>
    </row>
    <row r="233" spans="1:5" ht="12.75">
      <c r="A233" s="116"/>
      <c r="B233" s="73"/>
      <c r="C233" s="73"/>
      <c r="D233" s="73"/>
      <c r="E233" s="73"/>
    </row>
    <row r="234" spans="1:5" ht="12.75">
      <c r="A234" s="73"/>
      <c r="B234" s="73"/>
      <c r="C234" s="73"/>
      <c r="D234" s="73"/>
      <c r="E234" s="73"/>
    </row>
    <row r="235" spans="1:5" ht="12.75">
      <c r="A235" s="73"/>
      <c r="B235" s="73"/>
      <c r="C235" s="73"/>
      <c r="D235" s="73"/>
      <c r="E235" s="73"/>
    </row>
    <row r="236" spans="1:5" ht="12.75">
      <c r="A236" s="73"/>
      <c r="B236" s="73"/>
      <c r="C236" s="73"/>
      <c r="D236" s="73"/>
      <c r="E236" s="73"/>
    </row>
    <row r="237" spans="1:5" ht="12.75">
      <c r="A237" s="73"/>
      <c r="B237" s="73"/>
      <c r="C237" s="73"/>
      <c r="D237" s="73"/>
      <c r="E237" s="73"/>
    </row>
    <row r="238" spans="1:5" ht="12.75">
      <c r="A238" s="73"/>
      <c r="B238" s="73"/>
      <c r="C238" s="73"/>
      <c r="D238" s="73"/>
      <c r="E238" s="73"/>
    </row>
    <row r="239" spans="1:5" ht="12.75">
      <c r="A239" s="73"/>
      <c r="B239" s="73"/>
      <c r="C239" s="73"/>
      <c r="D239" s="73"/>
      <c r="E239" s="73"/>
    </row>
    <row r="240" spans="1:5" ht="12.75">
      <c r="A240" s="73"/>
      <c r="B240" s="73"/>
      <c r="C240" s="73"/>
      <c r="D240" s="73"/>
      <c r="E240" s="73"/>
    </row>
    <row r="241" spans="1:7" ht="12.75">
      <c r="A241" s="73"/>
      <c r="B241" s="73"/>
      <c r="C241" s="73"/>
      <c r="D241" s="73"/>
      <c r="E241" s="73"/>
      <c r="G241" s="39" t="s">
        <v>324</v>
      </c>
    </row>
    <row r="242" spans="1:5" ht="12.75">
      <c r="A242" s="73"/>
      <c r="B242" s="73"/>
      <c r="C242" s="73"/>
      <c r="D242" s="73"/>
      <c r="E242" s="73"/>
    </row>
    <row r="243" spans="1:5" ht="12.75">
      <c r="A243" s="73"/>
      <c r="B243" s="73"/>
      <c r="C243" s="73"/>
      <c r="D243" s="73"/>
      <c r="E243" s="73"/>
    </row>
    <row r="244" spans="1:5" ht="12.75">
      <c r="A244" s="73"/>
      <c r="B244" s="73"/>
      <c r="C244" s="73"/>
      <c r="D244" s="73"/>
      <c r="E244" s="73"/>
    </row>
    <row r="245" spans="1:5" ht="12.75">
      <c r="A245" s="73"/>
      <c r="B245" s="73"/>
      <c r="C245" s="73"/>
      <c r="D245" s="73"/>
      <c r="E245" s="73"/>
    </row>
    <row r="246" ht="12.75">
      <c r="G246" s="116" t="s">
        <v>89</v>
      </c>
    </row>
    <row r="247" ht="12.75">
      <c r="G247" s="116" t="s">
        <v>90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G323"/>
  <sheetViews>
    <sheetView workbookViewId="0" topLeftCell="A1">
      <selection activeCell="A5" sqref="A5"/>
    </sheetView>
  </sheetViews>
  <sheetFormatPr defaultColWidth="9.140625" defaultRowHeight="12.75"/>
  <cols>
    <col min="1" max="1" width="36.140625" style="1" customWidth="1"/>
    <col min="2" max="2" width="11.7109375" style="1" customWidth="1"/>
    <col min="3" max="4" width="11.421875" style="1" customWidth="1"/>
    <col min="5" max="5" width="9.140625" style="1" customWidth="1"/>
    <col min="6" max="6" width="8.28125" style="1" customWidth="1"/>
    <col min="7" max="7" width="10.28125" style="1" customWidth="1"/>
    <col min="8" max="8" width="32.8515625" style="1" customWidth="1"/>
    <col min="9" max="9" width="11.28125" style="1" customWidth="1"/>
    <col min="10" max="10" width="11.140625" style="1" customWidth="1"/>
    <col min="11" max="11" width="11.57421875" style="1" customWidth="1"/>
    <col min="12" max="12" width="11.421875" style="1" customWidth="1"/>
    <col min="13" max="13" width="11.7109375" style="1" customWidth="1"/>
    <col min="14" max="14" width="11.8515625" style="1" customWidth="1"/>
    <col min="15" max="16384" width="9.140625" style="1" customWidth="1"/>
  </cols>
  <sheetData>
    <row r="1" spans="1:14" ht="21" customHeight="1">
      <c r="A1" s="3" t="s">
        <v>212</v>
      </c>
      <c r="B1" s="3"/>
      <c r="C1" s="40"/>
      <c r="D1" s="40"/>
      <c r="E1" s="3"/>
      <c r="F1" s="3"/>
      <c r="G1" s="1" t="s">
        <v>213</v>
      </c>
      <c r="H1" s="3" t="s">
        <v>212</v>
      </c>
      <c r="I1" s="3"/>
      <c r="J1" s="40"/>
      <c r="K1" s="40"/>
      <c r="L1" s="3"/>
      <c r="M1" s="3"/>
      <c r="N1" s="42" t="s">
        <v>213</v>
      </c>
    </row>
    <row r="2" spans="1:11" ht="0.75" customHeight="1" hidden="1">
      <c r="A2" s="6"/>
      <c r="B2" s="6"/>
      <c r="C2" s="6"/>
      <c r="D2" s="6"/>
      <c r="H2" s="6"/>
      <c r="I2" s="6"/>
      <c r="J2" s="6"/>
      <c r="K2" s="6"/>
    </row>
    <row r="3" spans="1:11" ht="11.25" customHeight="1">
      <c r="A3" s="6"/>
      <c r="B3" s="6"/>
      <c r="C3" s="6"/>
      <c r="D3" s="6"/>
      <c r="H3" s="6"/>
      <c r="I3" s="6"/>
      <c r="J3" s="6"/>
      <c r="K3" s="6"/>
    </row>
    <row r="4" spans="1:14" ht="18.75" customHeight="1">
      <c r="A4" s="74" t="s">
        <v>214</v>
      </c>
      <c r="B4" s="75"/>
      <c r="C4" s="75"/>
      <c r="D4" s="75"/>
      <c r="E4" s="75"/>
      <c r="F4" s="75"/>
      <c r="H4" s="292" t="s">
        <v>214</v>
      </c>
      <c r="I4" s="292"/>
      <c r="J4" s="292"/>
      <c r="K4" s="292"/>
      <c r="L4" s="292"/>
      <c r="M4" s="292"/>
      <c r="N4" s="292"/>
    </row>
    <row r="5" spans="1:14" ht="20.25" customHeight="1">
      <c r="A5" s="74"/>
      <c r="B5" s="75"/>
      <c r="C5" s="75"/>
      <c r="D5" s="75"/>
      <c r="E5" s="75"/>
      <c r="F5" s="75"/>
      <c r="H5" s="292" t="s">
        <v>215</v>
      </c>
      <c r="I5" s="292"/>
      <c r="J5" s="292"/>
      <c r="K5" s="292"/>
      <c r="L5" s="292"/>
      <c r="M5" s="292"/>
      <c r="N5" s="292"/>
    </row>
    <row r="6" spans="1:14" ht="20.25">
      <c r="A6" s="74" t="s">
        <v>96</v>
      </c>
      <c r="B6" s="75"/>
      <c r="C6" s="75"/>
      <c r="D6" s="75"/>
      <c r="E6" s="75"/>
      <c r="F6" s="75"/>
      <c r="H6" s="292" t="s">
        <v>216</v>
      </c>
      <c r="I6" s="292"/>
      <c r="J6" s="292"/>
      <c r="K6" s="292"/>
      <c r="L6" s="292"/>
      <c r="M6" s="292"/>
      <c r="N6" s="292"/>
    </row>
    <row r="7" spans="1:14" ht="17.25" customHeight="1">
      <c r="A7" s="6"/>
      <c r="B7" s="6"/>
      <c r="C7" s="6"/>
      <c r="D7" s="6"/>
      <c r="G7" s="6"/>
      <c r="H7" s="6"/>
      <c r="I7" s="6"/>
      <c r="J7" s="6"/>
      <c r="K7" s="6"/>
      <c r="N7" s="78" t="s">
        <v>97</v>
      </c>
    </row>
    <row r="8" spans="1:14" ht="58.5" customHeight="1">
      <c r="A8" s="7" t="s">
        <v>5</v>
      </c>
      <c r="B8" s="7" t="s">
        <v>6</v>
      </c>
      <c r="C8" s="7" t="s">
        <v>128</v>
      </c>
      <c r="D8" s="7" t="s">
        <v>7</v>
      </c>
      <c r="E8" s="7" t="s">
        <v>217</v>
      </c>
      <c r="F8" s="7" t="s">
        <v>218</v>
      </c>
      <c r="G8" s="7" t="s">
        <v>130</v>
      </c>
      <c r="H8" s="7" t="s">
        <v>5</v>
      </c>
      <c r="I8" s="7" t="s">
        <v>6</v>
      </c>
      <c r="J8" s="7" t="s">
        <v>128</v>
      </c>
      <c r="K8" s="7" t="s">
        <v>7</v>
      </c>
      <c r="L8" s="7" t="s">
        <v>217</v>
      </c>
      <c r="M8" s="7" t="s">
        <v>218</v>
      </c>
      <c r="N8" s="7" t="s">
        <v>130</v>
      </c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1</v>
      </c>
      <c r="I9" s="7">
        <v>2</v>
      </c>
      <c r="J9" s="7">
        <v>3</v>
      </c>
      <c r="K9" s="7">
        <v>4</v>
      </c>
      <c r="L9" s="7">
        <v>5</v>
      </c>
      <c r="M9" s="7">
        <v>6</v>
      </c>
      <c r="N9" s="7">
        <v>7</v>
      </c>
    </row>
    <row r="10" spans="1:14" ht="18.75" customHeight="1">
      <c r="A10" s="80" t="s">
        <v>219</v>
      </c>
      <c r="B10" s="81">
        <f>SUM(B11:B12)</f>
        <v>766212969</v>
      </c>
      <c r="C10" s="81">
        <f>SUM(C11:C12)</f>
        <v>497520382</v>
      </c>
      <c r="D10" s="81">
        <f>SUM(D11:D12)</f>
        <v>456100125</v>
      </c>
      <c r="E10" s="16">
        <f>IF(ISERROR(D10/B10)," ",(D10/B10))</f>
        <v>0.5952654724642229</v>
      </c>
      <c r="F10" s="16">
        <f>IF(ISERROR(D10/C10)," ",(D10/C10))</f>
        <v>0.9167466128051012</v>
      </c>
      <c r="G10" s="81">
        <f>SUM(G11:G12)</f>
        <v>60343125</v>
      </c>
      <c r="H10" s="80" t="s">
        <v>219</v>
      </c>
      <c r="I10" s="161">
        <f>SUM(I11:I12)</f>
        <v>766213</v>
      </c>
      <c r="J10" s="161">
        <f>SUM(J11:J12)</f>
        <v>497521</v>
      </c>
      <c r="K10" s="161">
        <f>SUM(K11:K12)</f>
        <v>456100</v>
      </c>
      <c r="L10" s="162">
        <f>IF(ISERROR(ROUND(K10,0)/ROUND(I10,0))," ",(ROUND(K10,)/ROUND(I10,)))</f>
        <v>0.5952652852405271</v>
      </c>
      <c r="M10" s="162">
        <f>IF(ISERROR(ROUND(K10,0)/ROUND(J10,0))," ",(ROUND(K10,)/ROUND(J10,)))</f>
        <v>0.9167452228147154</v>
      </c>
      <c r="N10" s="161">
        <f>SUM(N11:N12)</f>
        <v>60343</v>
      </c>
    </row>
    <row r="11" spans="1:14" ht="22.5" customHeight="1">
      <c r="A11" s="63" t="s">
        <v>220</v>
      </c>
      <c r="B11" s="79">
        <v>731465706</v>
      </c>
      <c r="C11" s="85">
        <f>169266030+310465799</f>
        <v>479731829</v>
      </c>
      <c r="D11" s="79">
        <f>447514374-393588</f>
        <v>447120786</v>
      </c>
      <c r="E11" s="20">
        <f aca="true" t="shared" si="0" ref="E11:E16">IF(ISERROR(D11/B11)," ",(D11/B11))</f>
        <v>0.6112669156358234</v>
      </c>
      <c r="F11" s="20">
        <f aca="true" t="shared" si="1" ref="F11:F16">IF(ISERROR(D11/C11)," ",(D11/C11))</f>
        <v>0.9320223486776401</v>
      </c>
      <c r="G11" s="21">
        <f>D11-'[3]Jūlijs'!D11</f>
        <v>58165786</v>
      </c>
      <c r="H11" s="63" t="s">
        <v>220</v>
      </c>
      <c r="I11" s="163">
        <f aca="true" t="shared" si="2" ref="I11:K12">ROUND(B11/1000,0)</f>
        <v>731466</v>
      </c>
      <c r="J11" s="163">
        <f t="shared" si="2"/>
        <v>479732</v>
      </c>
      <c r="K11" s="163">
        <f>ROUND(D11/1000,0)</f>
        <v>447121</v>
      </c>
      <c r="L11" s="20">
        <f aca="true" t="shared" si="3" ref="L11:L16">IF(ISERROR(ROUND(K11,0)/ROUND(I11,0))," ",(ROUND(K11,)/ROUND(I11,)))</f>
        <v>0.6112669625109027</v>
      </c>
      <c r="M11" s="20">
        <f aca="true" t="shared" si="4" ref="M11:M16">IF(ISERROR(ROUND(K11,0)/ROUND(J11,0))," ",(ROUND(K11,)/ROUND(J11,)))</f>
        <v>0.9320224625415857</v>
      </c>
      <c r="N11" s="163">
        <f>K11-'[3]Jūlijs'!K11</f>
        <v>58166</v>
      </c>
    </row>
    <row r="12" spans="1:14" ht="15.75" customHeight="1">
      <c r="A12" s="63" t="s">
        <v>221</v>
      </c>
      <c r="B12" s="79">
        <v>34747263</v>
      </c>
      <c r="C12" s="85">
        <v>17788553</v>
      </c>
      <c r="D12" s="79">
        <v>8979339</v>
      </c>
      <c r="E12" s="20">
        <f t="shared" si="0"/>
        <v>0.258418598322406</v>
      </c>
      <c r="F12" s="20">
        <f t="shared" si="1"/>
        <v>0.5047818673053396</v>
      </c>
      <c r="G12" s="21">
        <f>D12-'[3]Jūlijs'!D12</f>
        <v>2177339</v>
      </c>
      <c r="H12" s="63" t="s">
        <v>221</v>
      </c>
      <c r="I12" s="163">
        <f t="shared" si="2"/>
        <v>34747</v>
      </c>
      <c r="J12" s="163">
        <f>ROUND(C12/1000,0)</f>
        <v>17789</v>
      </c>
      <c r="K12" s="163">
        <f t="shared" si="2"/>
        <v>8979</v>
      </c>
      <c r="L12" s="20">
        <f t="shared" si="3"/>
        <v>0.2584107980545083</v>
      </c>
      <c r="M12" s="20">
        <f t="shared" si="4"/>
        <v>0.5047501264826578</v>
      </c>
      <c r="N12" s="163">
        <f>K12-'[3]Jūlijs'!K12</f>
        <v>2177</v>
      </c>
    </row>
    <row r="13" spans="1:14" ht="21.75" customHeight="1">
      <c r="A13" s="80" t="s">
        <v>222</v>
      </c>
      <c r="B13" s="88">
        <f>SUM(B14,B40)</f>
        <v>858962243</v>
      </c>
      <c r="C13" s="88">
        <f>SUM(C14,C40)</f>
        <v>556594873</v>
      </c>
      <c r="D13" s="88">
        <f>SUM(D14,D40)</f>
        <v>516084925</v>
      </c>
      <c r="E13" s="16">
        <f t="shared" si="0"/>
        <v>0.6008237605386806</v>
      </c>
      <c r="F13" s="16">
        <f t="shared" si="1"/>
        <v>0.9272182516133238</v>
      </c>
      <c r="G13" s="88">
        <f>SUM(G14,G40)</f>
        <v>69694203</v>
      </c>
      <c r="H13" s="80" t="s">
        <v>222</v>
      </c>
      <c r="I13" s="164">
        <f>SUM(I14,I40)</f>
        <v>858962</v>
      </c>
      <c r="J13" s="164">
        <f>SUM(J14,J40)</f>
        <v>556595</v>
      </c>
      <c r="K13" s="164">
        <f>SUM(K14,K40)</f>
        <v>516085</v>
      </c>
      <c r="L13" s="162">
        <f t="shared" si="3"/>
        <v>0.6008240178261669</v>
      </c>
      <c r="M13" s="162">
        <f t="shared" si="4"/>
        <v>0.9272181747949586</v>
      </c>
      <c r="N13" s="164">
        <f>SUM(N14,N40)</f>
        <v>69694</v>
      </c>
    </row>
    <row r="14" spans="1:14" ht="20.25" customHeight="1">
      <c r="A14" s="90" t="s">
        <v>137</v>
      </c>
      <c r="B14" s="52">
        <f>SUM(B15,B24,B27)</f>
        <v>809221988</v>
      </c>
      <c r="C14" s="52">
        <f>SUM(C15,C24,C27)</f>
        <v>519361075</v>
      </c>
      <c r="D14" s="52">
        <f>SUM(D15,D24,D27)</f>
        <v>486277242</v>
      </c>
      <c r="E14" s="16">
        <f t="shared" si="0"/>
        <v>0.6009194624108508</v>
      </c>
      <c r="F14" s="16">
        <f t="shared" si="1"/>
        <v>0.93629897465843</v>
      </c>
      <c r="G14" s="52">
        <f>SUM(G15,G24,G27)</f>
        <v>62851585</v>
      </c>
      <c r="H14" s="90" t="s">
        <v>137</v>
      </c>
      <c r="I14" s="10">
        <f>SUM(I15,I24,I27)</f>
        <v>809222</v>
      </c>
      <c r="J14" s="10">
        <f>SUM(J15,J24,J27)</f>
        <v>519361</v>
      </c>
      <c r="K14" s="10">
        <f>SUM(K15,K24,K27)</f>
        <v>486277</v>
      </c>
      <c r="L14" s="162">
        <f t="shared" si="3"/>
        <v>0.600919154447111</v>
      </c>
      <c r="M14" s="162">
        <f t="shared" si="4"/>
        <v>0.9362986439104977</v>
      </c>
      <c r="N14" s="10">
        <f>SUM(N15,N24,N27)</f>
        <v>62851</v>
      </c>
    </row>
    <row r="15" spans="1:14" ht="18.75" customHeight="1">
      <c r="A15" s="91" t="s">
        <v>138</v>
      </c>
      <c r="B15" s="165">
        <v>84202331</v>
      </c>
      <c r="C15" s="165">
        <f>59726076+499787+500727+381090+589889+434889+342889+364889+338679</f>
        <v>63178915</v>
      </c>
      <c r="D15" s="165">
        <f>SUM(D16,D17,D18,D23)</f>
        <v>41581699</v>
      </c>
      <c r="E15" s="16">
        <f t="shared" si="0"/>
        <v>0.49383073492347856</v>
      </c>
      <c r="F15" s="16">
        <f t="shared" si="1"/>
        <v>0.6581578521885031</v>
      </c>
      <c r="G15" s="165">
        <f>SUM(G16,G17,G18,G23)</f>
        <v>-1835740</v>
      </c>
      <c r="H15" s="91" t="s">
        <v>138</v>
      </c>
      <c r="I15" s="166">
        <f>ROUND(B15/1000,0)</f>
        <v>84202</v>
      </c>
      <c r="J15" s="166">
        <f>ROUND(C15/1000,0)</f>
        <v>63179</v>
      </c>
      <c r="K15" s="167">
        <f>SUM(K16,K17,K18,K23)</f>
        <v>41582</v>
      </c>
      <c r="L15" s="16">
        <f t="shared" si="3"/>
        <v>0.4938362509204057</v>
      </c>
      <c r="M15" s="16">
        <f t="shared" si="4"/>
        <v>0.6581617309549059</v>
      </c>
      <c r="N15" s="15">
        <f>SUM(N16,N17,N18,N23)</f>
        <v>-1835</v>
      </c>
    </row>
    <row r="16" spans="1:14" ht="12.75">
      <c r="A16" s="60" t="s">
        <v>139</v>
      </c>
      <c r="B16" s="168">
        <v>13936016</v>
      </c>
      <c r="C16" s="168">
        <f>11173711+7037+7037+7037+18086+15000+11000+9000+9000</f>
        <v>11256908</v>
      </c>
      <c r="D16" s="168">
        <v>8976045</v>
      </c>
      <c r="E16" s="20">
        <f t="shared" si="0"/>
        <v>0.6440897455915665</v>
      </c>
      <c r="F16" s="20">
        <f t="shared" si="1"/>
        <v>0.797381039269398</v>
      </c>
      <c r="G16" s="168">
        <f>D16-'[3]Jūlijs'!D16</f>
        <v>1060439</v>
      </c>
      <c r="H16" s="60" t="s">
        <v>139</v>
      </c>
      <c r="I16" s="169">
        <f>ROUND(B16/1000,0)</f>
        <v>13936</v>
      </c>
      <c r="J16" s="169">
        <f>ROUND(C16/1000,0)</f>
        <v>11257</v>
      </c>
      <c r="K16" s="163">
        <f>ROUND(D16/1000,0)</f>
        <v>8976</v>
      </c>
      <c r="L16" s="20">
        <f t="shared" si="3"/>
        <v>0.6440872560275546</v>
      </c>
      <c r="M16" s="20">
        <f t="shared" si="4"/>
        <v>0.7973705250066625</v>
      </c>
      <c r="N16" s="163">
        <f>K16-'[3]Jūlijs'!K16</f>
        <v>1060</v>
      </c>
    </row>
    <row r="17" spans="1:14" ht="22.5">
      <c r="A17" s="63" t="s">
        <v>223</v>
      </c>
      <c r="B17" s="98" t="s">
        <v>134</v>
      </c>
      <c r="C17" s="98" t="s">
        <v>134</v>
      </c>
      <c r="D17" s="168">
        <v>2400507</v>
      </c>
      <c r="E17" s="170" t="s">
        <v>134</v>
      </c>
      <c r="F17" s="98" t="s">
        <v>134</v>
      </c>
      <c r="G17" s="168">
        <f>D17-'[3]Jūlijs'!D17</f>
        <v>-25963</v>
      </c>
      <c r="H17" s="63" t="s">
        <v>223</v>
      </c>
      <c r="I17" s="171" t="s">
        <v>134</v>
      </c>
      <c r="J17" s="171" t="s">
        <v>134</v>
      </c>
      <c r="K17" s="163">
        <f aca="true" t="shared" si="5" ref="K17:K22">ROUND(D17/1000,0)</f>
        <v>2401</v>
      </c>
      <c r="L17" s="170" t="s">
        <v>134</v>
      </c>
      <c r="M17" s="98" t="s">
        <v>134</v>
      </c>
      <c r="N17" s="163">
        <f>K17-'[3]Jūlijs'!K17</f>
        <v>-25</v>
      </c>
    </row>
    <row r="18" spans="1:14" ht="12.75">
      <c r="A18" s="63" t="s">
        <v>141</v>
      </c>
      <c r="B18" s="98" t="s">
        <v>134</v>
      </c>
      <c r="C18" s="98" t="s">
        <v>134</v>
      </c>
      <c r="D18" s="168">
        <f>SUM(D19:D22)</f>
        <v>28904135</v>
      </c>
      <c r="E18" s="170" t="s">
        <v>134</v>
      </c>
      <c r="F18" s="98" t="s">
        <v>134</v>
      </c>
      <c r="G18" s="168">
        <f>D18-'[3]Jūlijs'!D18</f>
        <v>-3352583</v>
      </c>
      <c r="H18" s="63" t="s">
        <v>141</v>
      </c>
      <c r="I18" s="171" t="s">
        <v>134</v>
      </c>
      <c r="J18" s="171" t="s">
        <v>134</v>
      </c>
      <c r="K18" s="163">
        <f t="shared" si="5"/>
        <v>28904</v>
      </c>
      <c r="L18" s="170" t="s">
        <v>134</v>
      </c>
      <c r="M18" s="98" t="s">
        <v>134</v>
      </c>
      <c r="N18" s="163">
        <f>K18-'[3]Jūlijs'!K18</f>
        <v>-3352</v>
      </c>
    </row>
    <row r="19" spans="1:14" s="176" customFormat="1" ht="22.5" customHeight="1">
      <c r="A19" s="100" t="s">
        <v>142</v>
      </c>
      <c r="B19" s="101" t="s">
        <v>134</v>
      </c>
      <c r="C19" s="101" t="s">
        <v>134</v>
      </c>
      <c r="D19" s="172">
        <v>27854294</v>
      </c>
      <c r="E19" s="173" t="s">
        <v>134</v>
      </c>
      <c r="F19" s="101" t="s">
        <v>134</v>
      </c>
      <c r="G19" s="168">
        <f>D19-'[3]Jūlijs'!D19</f>
        <v>3685735</v>
      </c>
      <c r="H19" s="100" t="s">
        <v>142</v>
      </c>
      <c r="I19" s="174" t="s">
        <v>134</v>
      </c>
      <c r="J19" s="174" t="s">
        <v>134</v>
      </c>
      <c r="K19" s="175">
        <f>ROUND(D19/1000,0)</f>
        <v>27854</v>
      </c>
      <c r="L19" s="173" t="s">
        <v>134</v>
      </c>
      <c r="M19" s="101" t="s">
        <v>134</v>
      </c>
      <c r="N19" s="175">
        <f>K19-'[3]Jūlijs'!K19</f>
        <v>3686</v>
      </c>
    </row>
    <row r="20" spans="1:14" s="176" customFormat="1" ht="18.75" customHeight="1" hidden="1">
      <c r="A20" s="100" t="s">
        <v>224</v>
      </c>
      <c r="B20" s="177"/>
      <c r="C20" s="101" t="s">
        <v>134</v>
      </c>
      <c r="D20" s="172"/>
      <c r="E20" s="27" t="str">
        <f>IF(ISERROR(D20/B20)," ",(D20/B20))</f>
        <v> </v>
      </c>
      <c r="F20" s="178" t="s">
        <v>134</v>
      </c>
      <c r="G20" s="168">
        <f>D20-'[3]Jūlijs'!D20</f>
        <v>-8054729</v>
      </c>
      <c r="H20" s="100" t="s">
        <v>224</v>
      </c>
      <c r="I20" s="175">
        <f>ROUND(B20/1000,0)</f>
        <v>0</v>
      </c>
      <c r="J20" s="174" t="s">
        <v>134</v>
      </c>
      <c r="K20" s="175">
        <f t="shared" si="5"/>
        <v>0</v>
      </c>
      <c r="L20" s="27" t="str">
        <f>IF(ISERROR(ROUND(K20,0)/ROUND(I20,0))," ",(ROUND(K20,)/ROUND(I20,)))</f>
        <v> </v>
      </c>
      <c r="M20" s="178" t="s">
        <v>134</v>
      </c>
      <c r="N20" s="175">
        <f>K20-'[3]Jūlijs'!K20</f>
        <v>-8055</v>
      </c>
    </row>
    <row r="21" spans="1:14" s="176" customFormat="1" ht="25.5" customHeight="1">
      <c r="A21" s="100" t="s">
        <v>225</v>
      </c>
      <c r="B21" s="177">
        <v>7138000</v>
      </c>
      <c r="C21" s="101" t="s">
        <v>134</v>
      </c>
      <c r="D21" s="172">
        <v>781000</v>
      </c>
      <c r="E21" s="27">
        <f>IF(ISERROR(D21/B21)," ",(D21/B21))</f>
        <v>0.10941440179321939</v>
      </c>
      <c r="F21" s="101" t="s">
        <v>134</v>
      </c>
      <c r="G21" s="168">
        <f>D21-'[3]Jūlijs'!D21</f>
        <v>0</v>
      </c>
      <c r="H21" s="100" t="s">
        <v>225</v>
      </c>
      <c r="I21" s="175">
        <f>ROUND(B21/1000,0)</f>
        <v>7138</v>
      </c>
      <c r="J21" s="174" t="s">
        <v>134</v>
      </c>
      <c r="K21" s="175">
        <f t="shared" si="5"/>
        <v>781</v>
      </c>
      <c r="L21" s="27">
        <f>IF(ISERROR(ROUND(K21,0)/ROUND(I21,0))," ",(ROUND(K21,)/ROUND(I21,)))</f>
        <v>0.10941440179321939</v>
      </c>
      <c r="M21" s="101" t="s">
        <v>134</v>
      </c>
      <c r="N21" s="175">
        <f>K21-'[3]Jūlijs'!K21</f>
        <v>0</v>
      </c>
    </row>
    <row r="22" spans="1:14" s="176" customFormat="1" ht="12.75">
      <c r="A22" s="100" t="s">
        <v>226</v>
      </c>
      <c r="B22" s="101" t="s">
        <v>134</v>
      </c>
      <c r="C22" s="101" t="s">
        <v>134</v>
      </c>
      <c r="D22" s="172">
        <v>268841</v>
      </c>
      <c r="E22" s="173" t="s">
        <v>134</v>
      </c>
      <c r="F22" s="101" t="s">
        <v>134</v>
      </c>
      <c r="G22" s="168">
        <f>D22-'[3]Jūlijs'!D22</f>
        <v>1016411</v>
      </c>
      <c r="H22" s="100" t="s">
        <v>226</v>
      </c>
      <c r="I22" s="174" t="s">
        <v>134</v>
      </c>
      <c r="J22" s="174" t="s">
        <v>134</v>
      </c>
      <c r="K22" s="175">
        <f t="shared" si="5"/>
        <v>269</v>
      </c>
      <c r="L22" s="173" t="s">
        <v>134</v>
      </c>
      <c r="M22" s="101" t="s">
        <v>134</v>
      </c>
      <c r="N22" s="175">
        <f>K22-'[3]Jūlijs'!K22</f>
        <v>1017</v>
      </c>
    </row>
    <row r="23" spans="1:14" ht="12.75">
      <c r="A23" s="63" t="s">
        <v>144</v>
      </c>
      <c r="B23" s="98" t="s">
        <v>134</v>
      </c>
      <c r="C23" s="98" t="s">
        <v>134</v>
      </c>
      <c r="D23" s="168">
        <v>1301012</v>
      </c>
      <c r="E23" s="170" t="s">
        <v>134</v>
      </c>
      <c r="F23" s="98" t="s">
        <v>134</v>
      </c>
      <c r="G23" s="168">
        <f>D23-'[3]Jūlijs'!D23</f>
        <v>482367</v>
      </c>
      <c r="H23" s="63" t="s">
        <v>144</v>
      </c>
      <c r="I23" s="171" t="s">
        <v>134</v>
      </c>
      <c r="J23" s="171" t="s">
        <v>134</v>
      </c>
      <c r="K23" s="163">
        <f>ROUND(D23/1000,0)</f>
        <v>1301</v>
      </c>
      <c r="L23" s="170" t="s">
        <v>134</v>
      </c>
      <c r="M23" s="98" t="s">
        <v>134</v>
      </c>
      <c r="N23" s="163">
        <f>K23-'[3]Jūlijs'!K23</f>
        <v>482</v>
      </c>
    </row>
    <row r="24" spans="1:14" ht="26.25" customHeight="1">
      <c r="A24" s="105" t="s">
        <v>145</v>
      </c>
      <c r="B24" s="168">
        <v>3043213</v>
      </c>
      <c r="C24" s="168">
        <f>1866281+90000+95000+30000+14000</f>
        <v>2095281</v>
      </c>
      <c r="D24" s="168">
        <f>SUM(D25:D26)</f>
        <v>1325385</v>
      </c>
      <c r="E24" s="20">
        <f>IF(ISERROR(D24/B24)," ",(D24/B24))</f>
        <v>0.43552160167559745</v>
      </c>
      <c r="F24" s="20">
        <f>IF(ISERROR(D24/C24)," ",(D24/C24))</f>
        <v>0.6325571605908706</v>
      </c>
      <c r="G24" s="168">
        <f>SUM(G25:G26)</f>
        <v>468667</v>
      </c>
      <c r="H24" s="105" t="s">
        <v>145</v>
      </c>
      <c r="I24" s="166">
        <f>ROUND(B24/1000,0)</f>
        <v>3043</v>
      </c>
      <c r="J24" s="166">
        <f>ROUND(C24/1000,0)</f>
        <v>2095</v>
      </c>
      <c r="K24" s="167">
        <f>SUM(K25:K26)</f>
        <v>1325</v>
      </c>
      <c r="L24" s="16">
        <f>IF(ISERROR(ROUND(K24,0)/ROUND(I24,0))," ",(ROUND(K24,)/ROUND(I24,)))</f>
        <v>0.4354255668747946</v>
      </c>
      <c r="M24" s="16">
        <f>IF(ISERROR(ROUND(K24,0)/ROUND(J24,0))," ",(ROUND(K24,)/ROUND(J24,)))</f>
        <v>0.6324582338902148</v>
      </c>
      <c r="N24" s="167">
        <f>SUM(N25:N26)</f>
        <v>468</v>
      </c>
    </row>
    <row r="25" spans="1:14" ht="23.25" customHeight="1">
      <c r="A25" s="63" t="s">
        <v>227</v>
      </c>
      <c r="B25" s="98" t="s">
        <v>134</v>
      </c>
      <c r="C25" s="98" t="s">
        <v>134</v>
      </c>
      <c r="D25" s="168">
        <v>372003</v>
      </c>
      <c r="E25" s="170" t="s">
        <v>134</v>
      </c>
      <c r="F25" s="98" t="s">
        <v>134</v>
      </c>
      <c r="G25" s="168">
        <f>D25-'[3]Jūlijs'!D25</f>
        <v>3890</v>
      </c>
      <c r="H25" s="63" t="s">
        <v>227</v>
      </c>
      <c r="I25" s="171" t="s">
        <v>134</v>
      </c>
      <c r="J25" s="171" t="s">
        <v>134</v>
      </c>
      <c r="K25" s="163">
        <f>ROUND(D25/1000,0)</f>
        <v>372</v>
      </c>
      <c r="L25" s="170" t="s">
        <v>134</v>
      </c>
      <c r="M25" s="98" t="s">
        <v>134</v>
      </c>
      <c r="N25" s="163">
        <f>K25-'[3]Jūlijs'!K25</f>
        <v>4</v>
      </c>
    </row>
    <row r="26" spans="1:14" ht="24.75" customHeight="1">
      <c r="A26" s="63" t="s">
        <v>228</v>
      </c>
      <c r="B26" s="98" t="s">
        <v>134</v>
      </c>
      <c r="C26" s="98" t="s">
        <v>134</v>
      </c>
      <c r="D26" s="168">
        <v>953382</v>
      </c>
      <c r="E26" s="170" t="s">
        <v>134</v>
      </c>
      <c r="F26" s="98" t="s">
        <v>134</v>
      </c>
      <c r="G26" s="168">
        <f>D26-'[3]Jūlijs'!D26</f>
        <v>464777</v>
      </c>
      <c r="H26" s="63" t="s">
        <v>228</v>
      </c>
      <c r="I26" s="171" t="s">
        <v>134</v>
      </c>
      <c r="J26" s="171" t="s">
        <v>134</v>
      </c>
      <c r="K26" s="163">
        <f>ROUND(D26/1000,0)</f>
        <v>953</v>
      </c>
      <c r="L26" s="170" t="s">
        <v>134</v>
      </c>
      <c r="M26" s="98" t="s">
        <v>134</v>
      </c>
      <c r="N26" s="163">
        <f>K26-'[3]Jūlijs'!K26</f>
        <v>464</v>
      </c>
    </row>
    <row r="27" spans="1:14" ht="16.5" customHeight="1">
      <c r="A27" s="106" t="s">
        <v>148</v>
      </c>
      <c r="B27" s="168">
        <v>721976444</v>
      </c>
      <c r="C27" s="168">
        <f>108931626+37328650+41271350+45237942+39713819+43384196+45653487+43488255+49077554</f>
        <v>454086879</v>
      </c>
      <c r="D27" s="168">
        <f>SUM(D28,D29,D30,D31,D34,D39)</f>
        <v>443370158</v>
      </c>
      <c r="E27" s="20">
        <f>IF(ISERROR(D27/B27)," ",(D27/B27))</f>
        <v>0.6141061272630662</v>
      </c>
      <c r="F27" s="20">
        <f>IF(ISERROR(D27/C27)," ",(D27/C27))</f>
        <v>0.9763994039563517</v>
      </c>
      <c r="G27" s="179">
        <f>SUM(G28,G29,G30,G31,G34,G39)</f>
        <v>64218658</v>
      </c>
      <c r="H27" s="106" t="s">
        <v>148</v>
      </c>
      <c r="I27" s="166">
        <f>ROUND(B27/1000,0)+1</f>
        <v>721977</v>
      </c>
      <c r="J27" s="166">
        <f>ROUND(C27/1000,0)</f>
        <v>454087</v>
      </c>
      <c r="K27" s="167">
        <f>SUM(K28,K29,K30,K31,K34,K39)</f>
        <v>443370</v>
      </c>
      <c r="L27" s="16">
        <f>IF(ISERROR(ROUND(K27,0)/ROUND(I27,0))," ",(ROUND(K27,)/ROUND(I27,)))</f>
        <v>0.6141054354917124</v>
      </c>
      <c r="M27" s="16">
        <f>IF(ISERROR(ROUND(K27,0)/ROUND(J27,0))," ",(ROUND(K27,)/ROUND(J27,)))</f>
        <v>0.9763987958254696</v>
      </c>
      <c r="N27" s="167">
        <f>SUM(N28,N29,N30,N31,N34,N39)</f>
        <v>64218</v>
      </c>
    </row>
    <row r="28" spans="1:14" ht="15.75" customHeight="1">
      <c r="A28" s="60" t="s">
        <v>149</v>
      </c>
      <c r="B28" s="98" t="s">
        <v>134</v>
      </c>
      <c r="C28" s="98" t="s">
        <v>134</v>
      </c>
      <c r="D28" s="168">
        <f>7038+1699980</f>
        <v>1707018</v>
      </c>
      <c r="E28" s="170" t="s">
        <v>134</v>
      </c>
      <c r="F28" s="98" t="s">
        <v>134</v>
      </c>
      <c r="G28" s="168">
        <f>D28-'[3]Jūlijs'!D28</f>
        <v>-894815</v>
      </c>
      <c r="H28" s="60" t="s">
        <v>149</v>
      </c>
      <c r="I28" s="171" t="s">
        <v>134</v>
      </c>
      <c r="J28" s="171" t="s">
        <v>134</v>
      </c>
      <c r="K28" s="163">
        <f>ROUND(D28/1000,0)</f>
        <v>1707</v>
      </c>
      <c r="L28" s="170" t="s">
        <v>134</v>
      </c>
      <c r="M28" s="98" t="s">
        <v>134</v>
      </c>
      <c r="N28" s="163">
        <f>K28-'[3]Jūlijs'!K28</f>
        <v>-895</v>
      </c>
    </row>
    <row r="29" spans="1:14" ht="15" customHeight="1">
      <c r="A29" s="60" t="s">
        <v>150</v>
      </c>
      <c r="B29" s="98" t="s">
        <v>134</v>
      </c>
      <c r="C29" s="98" t="s">
        <v>134</v>
      </c>
      <c r="D29" s="168">
        <v>13954677</v>
      </c>
      <c r="E29" s="170" t="s">
        <v>134</v>
      </c>
      <c r="F29" s="98" t="s">
        <v>134</v>
      </c>
      <c r="G29" s="168">
        <f>D29-'[3]Jūlijs'!D29</f>
        <v>8076428</v>
      </c>
      <c r="H29" s="60" t="s">
        <v>150</v>
      </c>
      <c r="I29" s="171" t="s">
        <v>134</v>
      </c>
      <c r="J29" s="171" t="s">
        <v>134</v>
      </c>
      <c r="K29" s="163">
        <f>ROUND(D29/1000,0)</f>
        <v>13955</v>
      </c>
      <c r="L29" s="170" t="s">
        <v>134</v>
      </c>
      <c r="M29" s="98" t="s">
        <v>134</v>
      </c>
      <c r="N29" s="163">
        <f>K29-'[3]Jūlijs'!K29</f>
        <v>8077</v>
      </c>
    </row>
    <row r="30" spans="1:14" ht="1.5" customHeight="1" hidden="1">
      <c r="A30" s="63" t="s">
        <v>151</v>
      </c>
      <c r="B30" s="98" t="s">
        <v>134</v>
      </c>
      <c r="C30" s="98" t="s">
        <v>134</v>
      </c>
      <c r="D30" s="168"/>
      <c r="E30" s="170" t="s">
        <v>134</v>
      </c>
      <c r="F30" s="98" t="s">
        <v>134</v>
      </c>
      <c r="G30" s="168">
        <f>D30-'[3]Jūlijs'!D30</f>
        <v>0</v>
      </c>
      <c r="H30" s="63" t="s">
        <v>151</v>
      </c>
      <c r="I30" s="171" t="s">
        <v>134</v>
      </c>
      <c r="J30" s="171" t="s">
        <v>134</v>
      </c>
      <c r="K30" s="163">
        <f>ROUND(D30/1000,0)</f>
        <v>0</v>
      </c>
      <c r="L30" s="170" t="s">
        <v>134</v>
      </c>
      <c r="M30" s="98" t="s">
        <v>134</v>
      </c>
      <c r="N30" s="163">
        <f>K30-'[3]Jūlijs'!K30</f>
        <v>0</v>
      </c>
    </row>
    <row r="31" spans="1:14" ht="12.75">
      <c r="A31" s="63" t="s">
        <v>229</v>
      </c>
      <c r="B31" s="98" t="s">
        <v>134</v>
      </c>
      <c r="C31" s="98" t="s">
        <v>134</v>
      </c>
      <c r="D31" s="168">
        <f>SUM(D32:D33)</f>
        <v>98544893</v>
      </c>
      <c r="E31" s="170" t="s">
        <v>134</v>
      </c>
      <c r="F31" s="98" t="s">
        <v>134</v>
      </c>
      <c r="G31" s="168">
        <f>SUM(G32:G33)</f>
        <v>14447311</v>
      </c>
      <c r="H31" s="63" t="s">
        <v>229</v>
      </c>
      <c r="I31" s="171" t="s">
        <v>134</v>
      </c>
      <c r="J31" s="171" t="s">
        <v>134</v>
      </c>
      <c r="K31" s="180">
        <f>SUM(K32:K33)</f>
        <v>98545</v>
      </c>
      <c r="L31" s="170" t="s">
        <v>134</v>
      </c>
      <c r="M31" s="98" t="s">
        <v>134</v>
      </c>
      <c r="N31" s="180">
        <f>SUM(N32:N33)</f>
        <v>14447</v>
      </c>
    </row>
    <row r="32" spans="1:14" s="176" customFormat="1" ht="26.25" customHeight="1">
      <c r="A32" s="100" t="s">
        <v>230</v>
      </c>
      <c r="B32" s="177">
        <f>1201200+44616345</f>
        <v>45817545</v>
      </c>
      <c r="C32" s="101" t="s">
        <v>134</v>
      </c>
      <c r="D32" s="172">
        <f>800796+8876385</f>
        <v>9677181</v>
      </c>
      <c r="E32" s="20">
        <f>IF(ISERROR(D32/B32)," ",(D32/B32))</f>
        <v>0.21121125106113825</v>
      </c>
      <c r="F32" s="101" t="s">
        <v>134</v>
      </c>
      <c r="G32" s="168">
        <f>D32-'[3]Jūlijs'!D32</f>
        <v>9076584</v>
      </c>
      <c r="H32" s="100" t="s">
        <v>224</v>
      </c>
      <c r="I32" s="175">
        <f>ROUND(B32/1000,0)</f>
        <v>45818</v>
      </c>
      <c r="J32" s="174" t="s">
        <v>134</v>
      </c>
      <c r="K32" s="175">
        <f>ROUND(D32/1000,0)</f>
        <v>9677</v>
      </c>
      <c r="L32" s="27">
        <f>IF(ISERROR(ROUND(K32,0)/ROUND(I32,0))," ",(ROUND(K32,)/ROUND(I32,)))</f>
        <v>0.21120520319525077</v>
      </c>
      <c r="M32" s="101" t="s">
        <v>134</v>
      </c>
      <c r="N32" s="175">
        <f>K32-'[3]Jūlijs'!K32</f>
        <v>9076</v>
      </c>
    </row>
    <row r="33" spans="1:14" s="176" customFormat="1" ht="12.75">
      <c r="A33" s="100" t="s">
        <v>231</v>
      </c>
      <c r="B33" s="101" t="s">
        <v>134</v>
      </c>
      <c r="C33" s="101" t="s">
        <v>134</v>
      </c>
      <c r="D33" s="172">
        <f>89262300-394588</f>
        <v>88867712</v>
      </c>
      <c r="E33" s="173" t="s">
        <v>134</v>
      </c>
      <c r="F33" s="101" t="s">
        <v>134</v>
      </c>
      <c r="G33" s="168">
        <f>D33-'[3]Jūlijs'!D33</f>
        <v>5370727</v>
      </c>
      <c r="H33" s="100" t="s">
        <v>231</v>
      </c>
      <c r="I33" s="174" t="s">
        <v>134</v>
      </c>
      <c r="J33" s="174" t="s">
        <v>134</v>
      </c>
      <c r="K33" s="175">
        <f>ROUND(D33/1000,0)</f>
        <v>88868</v>
      </c>
      <c r="L33" s="173" t="s">
        <v>134</v>
      </c>
      <c r="M33" s="101" t="s">
        <v>134</v>
      </c>
      <c r="N33" s="175">
        <f>K33-'[3]Jūlijs'!K33</f>
        <v>5371</v>
      </c>
    </row>
    <row r="34" spans="1:14" ht="15" customHeight="1">
      <c r="A34" s="63" t="s">
        <v>153</v>
      </c>
      <c r="B34" s="98" t="s">
        <v>134</v>
      </c>
      <c r="C34" s="98" t="s">
        <v>134</v>
      </c>
      <c r="D34" s="168">
        <f>SUM(D35:D38)</f>
        <v>329122607</v>
      </c>
      <c r="E34" s="170" t="s">
        <v>134</v>
      </c>
      <c r="F34" s="98" t="s">
        <v>134</v>
      </c>
      <c r="G34" s="168">
        <f>SUM(G35:G38)</f>
        <v>42589734</v>
      </c>
      <c r="H34" s="63" t="s">
        <v>153</v>
      </c>
      <c r="I34" s="171" t="s">
        <v>134</v>
      </c>
      <c r="J34" s="171" t="s">
        <v>134</v>
      </c>
      <c r="K34" s="180">
        <f>SUM(K35:K38)</f>
        <v>329122</v>
      </c>
      <c r="L34" s="170" t="s">
        <v>134</v>
      </c>
      <c r="M34" s="98" t="s">
        <v>134</v>
      </c>
      <c r="N34" s="180">
        <f>SUM(N35:N38)</f>
        <v>42589</v>
      </c>
    </row>
    <row r="35" spans="1:14" s="176" customFormat="1" ht="15" customHeight="1">
      <c r="A35" s="100" t="s">
        <v>232</v>
      </c>
      <c r="B35" s="101" t="s">
        <v>134</v>
      </c>
      <c r="C35" s="101" t="s">
        <v>134</v>
      </c>
      <c r="D35" s="172">
        <v>297527079</v>
      </c>
      <c r="E35" s="173" t="s">
        <v>134</v>
      </c>
      <c r="F35" s="101" t="s">
        <v>134</v>
      </c>
      <c r="G35" s="168">
        <f>D35-'[3]Jūlijs'!D35</f>
        <v>38323310</v>
      </c>
      <c r="H35" s="100" t="s">
        <v>232</v>
      </c>
      <c r="I35" s="174" t="s">
        <v>134</v>
      </c>
      <c r="J35" s="174" t="s">
        <v>134</v>
      </c>
      <c r="K35" s="163">
        <f>ROUND(D35/1000,0)</f>
        <v>297527</v>
      </c>
      <c r="L35" s="173" t="s">
        <v>134</v>
      </c>
      <c r="M35" s="101" t="s">
        <v>134</v>
      </c>
      <c r="N35" s="175">
        <f>K35-'[3]Jūlijs'!K35</f>
        <v>38323</v>
      </c>
    </row>
    <row r="36" spans="1:14" s="176" customFormat="1" ht="15" customHeight="1">
      <c r="A36" s="100" t="s">
        <v>233</v>
      </c>
      <c r="B36" s="101" t="s">
        <v>134</v>
      </c>
      <c r="C36" s="101" t="s">
        <v>134</v>
      </c>
      <c r="D36" s="172">
        <v>30972885</v>
      </c>
      <c r="E36" s="173" t="s">
        <v>134</v>
      </c>
      <c r="F36" s="101" t="s">
        <v>134</v>
      </c>
      <c r="G36" s="168">
        <f>D36-'[3]Jūlijs'!D36</f>
        <v>4379507</v>
      </c>
      <c r="H36" s="100" t="s">
        <v>233</v>
      </c>
      <c r="I36" s="174" t="s">
        <v>134</v>
      </c>
      <c r="J36" s="174" t="s">
        <v>134</v>
      </c>
      <c r="K36" s="163">
        <f>ROUND(D36/1000,0)</f>
        <v>30973</v>
      </c>
      <c r="L36" s="173" t="s">
        <v>134</v>
      </c>
      <c r="M36" s="101" t="s">
        <v>134</v>
      </c>
      <c r="N36" s="175">
        <f>K36-'[3]Jūlijs'!K36</f>
        <v>4380</v>
      </c>
    </row>
    <row r="37" spans="1:14" s="176" customFormat="1" ht="15" customHeight="1">
      <c r="A37" s="100" t="s">
        <v>234</v>
      </c>
      <c r="B37" s="101" t="s">
        <v>134</v>
      </c>
      <c r="C37" s="101" t="s">
        <v>134</v>
      </c>
      <c r="D37" s="172">
        <v>780437</v>
      </c>
      <c r="E37" s="173" t="s">
        <v>134</v>
      </c>
      <c r="F37" s="101" t="s">
        <v>134</v>
      </c>
      <c r="G37" s="168">
        <f>D37-'[3]Jūlijs'!D37</f>
        <v>48211</v>
      </c>
      <c r="H37" s="100" t="s">
        <v>234</v>
      </c>
      <c r="I37" s="174" t="s">
        <v>134</v>
      </c>
      <c r="J37" s="174" t="s">
        <v>134</v>
      </c>
      <c r="K37" s="163">
        <f>ROUND(D37/1000,0)</f>
        <v>780</v>
      </c>
      <c r="L37" s="173" t="s">
        <v>134</v>
      </c>
      <c r="M37" s="101" t="s">
        <v>134</v>
      </c>
      <c r="N37" s="175">
        <f>K37-'[3]Jūlijs'!K37</f>
        <v>48</v>
      </c>
    </row>
    <row r="38" spans="1:14" s="176" customFormat="1" ht="15" customHeight="1">
      <c r="A38" s="100" t="s">
        <v>235</v>
      </c>
      <c r="B38" s="101" t="s">
        <v>134</v>
      </c>
      <c r="C38" s="101" t="s">
        <v>134</v>
      </c>
      <c r="D38" s="172">
        <v>-157794</v>
      </c>
      <c r="E38" s="173" t="s">
        <v>134</v>
      </c>
      <c r="F38" s="101" t="s">
        <v>134</v>
      </c>
      <c r="G38" s="168">
        <f>D38-'[3]Jūlijs'!D38</f>
        <v>-161294</v>
      </c>
      <c r="H38" s="100" t="s">
        <v>235</v>
      </c>
      <c r="I38" s="174" t="s">
        <v>134</v>
      </c>
      <c r="J38" s="174" t="s">
        <v>134</v>
      </c>
      <c r="K38" s="175">
        <f>ROUND(D38/1000,0)</f>
        <v>-158</v>
      </c>
      <c r="L38" s="173" t="s">
        <v>134</v>
      </c>
      <c r="M38" s="101" t="s">
        <v>134</v>
      </c>
      <c r="N38" s="175">
        <f>K38-'[3]Jūlijs'!K38</f>
        <v>-162</v>
      </c>
    </row>
    <row r="39" spans="1:14" ht="12.75">
      <c r="A39" s="63" t="s">
        <v>236</v>
      </c>
      <c r="B39" s="99">
        <v>84198</v>
      </c>
      <c r="C39" s="99">
        <f>70632</f>
        <v>70632</v>
      </c>
      <c r="D39" s="168">
        <v>40963</v>
      </c>
      <c r="E39" s="20">
        <f>IF(ISERROR(D39/B39)," ",(D39/B39))</f>
        <v>0.48650799306396825</v>
      </c>
      <c r="F39" s="20">
        <f>IF(ISERROR(D39/C39)," ",(D39/C39))</f>
        <v>0.5799495979159588</v>
      </c>
      <c r="G39" s="168">
        <f>D39-'[3]Jūlijs'!D39</f>
        <v>0</v>
      </c>
      <c r="H39" s="63" t="s">
        <v>236</v>
      </c>
      <c r="I39" s="163">
        <f>ROUND(B39/1000,0)</f>
        <v>84</v>
      </c>
      <c r="J39" s="163">
        <f>ROUND(C39/1000,0)</f>
        <v>71</v>
      </c>
      <c r="K39" s="163">
        <f>ROUND(D39/1000,0)</f>
        <v>41</v>
      </c>
      <c r="L39" s="20">
        <f>IF(ISERROR(ROUND(K39,0)/ROUND(I39,0))," ",(ROUND(K39,)/ROUND(I39,)))</f>
        <v>0.4880952380952381</v>
      </c>
      <c r="M39" s="20">
        <f>IF(ISERROR(ROUND(K39,0)/ROUND(J39,0))," ",(ROUND(K39,)/ROUND(J39,)))</f>
        <v>0.5774647887323944</v>
      </c>
      <c r="N39" s="163">
        <f>K39-'[3]Jūlijs'!K39</f>
        <v>0</v>
      </c>
    </row>
    <row r="40" spans="1:14" ht="32.25" customHeight="1">
      <c r="A40" s="107" t="s">
        <v>237</v>
      </c>
      <c r="B40" s="108">
        <f>SUM(B41:B42)</f>
        <v>49740255</v>
      </c>
      <c r="C40" s="108">
        <f>SUM(C41:C42)</f>
        <v>37233798</v>
      </c>
      <c r="D40" s="108">
        <f>SUM(D41:D42)</f>
        <v>29807683</v>
      </c>
      <c r="E40" s="16">
        <f>IF(ISERROR(D40/B40)," ",(D40/B40))</f>
        <v>0.5992667910528404</v>
      </c>
      <c r="F40" s="16">
        <f>IF(ISERROR(D40/C40)," ",(D40/C40))</f>
        <v>0.8005544586131127</v>
      </c>
      <c r="G40" s="108">
        <f>SUM(G41:G42)</f>
        <v>6842618</v>
      </c>
      <c r="H40" s="107" t="s">
        <v>237</v>
      </c>
      <c r="I40" s="54">
        <f>SUM(I41:I42)</f>
        <v>49740</v>
      </c>
      <c r="J40" s="54">
        <f>SUM(J41:J42)</f>
        <v>37234</v>
      </c>
      <c r="K40" s="54">
        <f>SUM(K41:K42)</f>
        <v>29808</v>
      </c>
      <c r="L40" s="13">
        <f>IF(ISERROR(ROUND(K40,0)/ROUND(I40,0))," ",(ROUND(K40,)/ROUND(I40,)))</f>
        <v>0.5992762364294331</v>
      </c>
      <c r="M40" s="13">
        <f>IF(ISERROR(ROUND(K40,0)/ROUND(J40,0))," ",(ROUND(K40,)/ROUND(J40,)))</f>
        <v>0.800558629209862</v>
      </c>
      <c r="N40" s="54">
        <f>SUM(N41:N42)</f>
        <v>6843</v>
      </c>
    </row>
    <row r="41" spans="1:14" ht="18" customHeight="1">
      <c r="A41" s="63" t="s">
        <v>155</v>
      </c>
      <c r="B41" s="99">
        <v>16386189</v>
      </c>
      <c r="C41" s="99">
        <f>16458395+5000+10000</f>
        <v>16473395</v>
      </c>
      <c r="D41" s="168">
        <f>7769932</f>
        <v>7769932</v>
      </c>
      <c r="E41" s="20">
        <f>IF(ISERROR(D41/B41)," ",(D41/B41))</f>
        <v>0.47417566097888897</v>
      </c>
      <c r="F41" s="20">
        <f>IF(ISERROR(D41/C41)," ",(D41/C41))</f>
        <v>0.471665494574737</v>
      </c>
      <c r="G41" s="168">
        <f>D41-'[3]Jūlijs'!D41</f>
        <v>-333587</v>
      </c>
      <c r="H41" s="63" t="s">
        <v>155</v>
      </c>
      <c r="I41" s="169">
        <f aca="true" t="shared" si="6" ref="I41:K42">ROUND(B41/1000,0)</f>
        <v>16386</v>
      </c>
      <c r="J41" s="169">
        <f>ROUND(C41/1000,0)</f>
        <v>16473</v>
      </c>
      <c r="K41" s="163">
        <f>ROUND(D41/1000,0)</f>
        <v>7770</v>
      </c>
      <c r="L41" s="20">
        <f>IF(ISERROR(ROUND(K41,0)/ROUND(I41,0))," ",(ROUND(K41,)/ROUND(I41,)))</f>
        <v>0.4741852801171732</v>
      </c>
      <c r="M41" s="20">
        <f>IF(ISERROR(ROUND(K41,0)/ROUND(J41,0))," ",(ROUND(K41,)/ROUND(J41,)))</f>
        <v>0.47168093243489345</v>
      </c>
      <c r="N41" s="163">
        <f>K41-'[3]Jūlijs'!K41</f>
        <v>-333</v>
      </c>
    </row>
    <row r="42" spans="1:14" ht="15.75" customHeight="1">
      <c r="A42" s="63" t="s">
        <v>156</v>
      </c>
      <c r="B42" s="177">
        <v>33354066</v>
      </c>
      <c r="C42" s="99">
        <f>18907698+58000+66182+95182+782839+656269+44714+41525+107994</f>
        <v>20760403</v>
      </c>
      <c r="D42" s="172">
        <v>22037751</v>
      </c>
      <c r="E42" s="20">
        <f>IF(ISERROR(D42/B42)," ",(D42/B42))</f>
        <v>0.6607215743951577</v>
      </c>
      <c r="F42" s="20">
        <f>IF(ISERROR(D42/C42)," ",(D42/C42))</f>
        <v>1.0615280926868327</v>
      </c>
      <c r="G42" s="168">
        <f>D42-'[3]Jūlijs'!D42</f>
        <v>7176205</v>
      </c>
      <c r="H42" s="63" t="s">
        <v>156</v>
      </c>
      <c r="I42" s="169">
        <f t="shared" si="6"/>
        <v>33354</v>
      </c>
      <c r="J42" s="169">
        <f>ROUND(C42/1000,0)+1</f>
        <v>20761</v>
      </c>
      <c r="K42" s="163">
        <f t="shared" si="6"/>
        <v>22038</v>
      </c>
      <c r="L42" s="20">
        <f>IF(ISERROR(ROUND(K42,0)/ROUND(I42,0))," ",(ROUND(K42,)/ROUND(I42,)))</f>
        <v>0.6607303471847454</v>
      </c>
      <c r="M42" s="20">
        <f>IF(ISERROR(ROUND(K42,0)/ROUND(J42,0))," ",(ROUND(K42,)/ROUND(J42,)))</f>
        <v>1.0615095611964742</v>
      </c>
      <c r="N42" s="163">
        <f>K42-'[3]Jūlijs'!K42</f>
        <v>7176</v>
      </c>
    </row>
    <row r="43" spans="1:14" ht="67.5" customHeight="1" hidden="1">
      <c r="A43" s="7" t="s">
        <v>5</v>
      </c>
      <c r="B43" s="7" t="s">
        <v>6</v>
      </c>
      <c r="C43" s="7" t="s">
        <v>128</v>
      </c>
      <c r="D43" s="7" t="s">
        <v>7</v>
      </c>
      <c r="E43" s="7" t="s">
        <v>217</v>
      </c>
      <c r="F43" s="7" t="s">
        <v>218</v>
      </c>
      <c r="G43" s="7" t="s">
        <v>238</v>
      </c>
      <c r="H43" s="7" t="s">
        <v>5</v>
      </c>
      <c r="I43" s="8" t="s">
        <v>6</v>
      </c>
      <c r="J43" s="7" t="s">
        <v>128</v>
      </c>
      <c r="K43" s="7" t="s">
        <v>7</v>
      </c>
      <c r="L43" s="7" t="s">
        <v>217</v>
      </c>
      <c r="M43" s="7" t="s">
        <v>218</v>
      </c>
      <c r="N43" s="7" t="s">
        <v>238</v>
      </c>
    </row>
    <row r="44" spans="1:14" ht="12.75" hidden="1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7">
        <v>8</v>
      </c>
      <c r="H44" s="7">
        <v>1</v>
      </c>
      <c r="I44" s="8">
        <v>2</v>
      </c>
      <c r="J44" s="7">
        <v>3</v>
      </c>
      <c r="K44" s="7">
        <v>4</v>
      </c>
      <c r="L44" s="7">
        <v>5</v>
      </c>
      <c r="M44" s="7">
        <v>6</v>
      </c>
      <c r="N44" s="7">
        <v>8</v>
      </c>
    </row>
    <row r="45" spans="1:14" ht="30.75" customHeight="1">
      <c r="A45" s="32" t="s">
        <v>239</v>
      </c>
      <c r="B45" s="98">
        <v>3750750</v>
      </c>
      <c r="C45" s="98" t="s">
        <v>134</v>
      </c>
      <c r="D45" s="52">
        <f>SUM(D46-D47)</f>
        <v>1491314</v>
      </c>
      <c r="E45" s="170" t="s">
        <v>134</v>
      </c>
      <c r="F45" s="98" t="s">
        <v>134</v>
      </c>
      <c r="G45" s="52">
        <f>SUM(G46-G47)</f>
        <v>-1325</v>
      </c>
      <c r="H45" s="32" t="s">
        <v>239</v>
      </c>
      <c r="I45" s="181">
        <f aca="true" t="shared" si="7" ref="I45:I51">ROUND(B45/1000,0)</f>
        <v>3751</v>
      </c>
      <c r="J45" s="171" t="s">
        <v>134</v>
      </c>
      <c r="K45" s="10">
        <f>SUM(K46-K47)</f>
        <v>1492</v>
      </c>
      <c r="L45" s="170" t="s">
        <v>134</v>
      </c>
      <c r="M45" s="98" t="s">
        <v>134</v>
      </c>
      <c r="N45" s="10">
        <f>SUM(N46-N47)</f>
        <v>-1</v>
      </c>
    </row>
    <row r="46" spans="1:14" ht="19.5" customHeight="1">
      <c r="A46" s="60" t="s">
        <v>240</v>
      </c>
      <c r="B46" s="99"/>
      <c r="C46" s="98">
        <v>1830069</v>
      </c>
      <c r="D46" s="168">
        <v>1492638</v>
      </c>
      <c r="E46" s="20" t="str">
        <f aca="true" t="shared" si="8" ref="E46:E51">IF(ISERROR(D46/B46)," ",(D46/B46))</f>
        <v> </v>
      </c>
      <c r="F46" s="20">
        <f>IF(ISERROR(D46/C46)," ",(D46/C46))</f>
        <v>0.8156184275019138</v>
      </c>
      <c r="G46" s="168">
        <f>D46-'[3]Jūlijs'!D46</f>
        <v>-1</v>
      </c>
      <c r="H46" s="60" t="s">
        <v>240</v>
      </c>
      <c r="I46" s="171" t="s">
        <v>134</v>
      </c>
      <c r="J46" s="163">
        <f>ROUND(C46/1000,0)</f>
        <v>1830</v>
      </c>
      <c r="K46" s="163">
        <f>ROUND(D46/1000,0)</f>
        <v>1493</v>
      </c>
      <c r="L46" s="20" t="str">
        <f aca="true" t="shared" si="9" ref="L46:L51">IF(ISERROR(ROUND(K46,0)/ROUND(I46,0))," ",(ROUND(K46,)/ROUND(I46,)))</f>
        <v> </v>
      </c>
      <c r="M46" s="20">
        <f>IF(ISERROR(ROUND(K46,0)/ROUND(J46,0))," ",(ROUND(K46,)/ROUND(J46,)))</f>
        <v>0.8158469945355191</v>
      </c>
      <c r="N46" s="163">
        <f>K46-'[3]Jūlijs'!K46</f>
        <v>0</v>
      </c>
    </row>
    <row r="47" spans="1:14" ht="27.75" customHeight="1">
      <c r="A47" s="112" t="s">
        <v>241</v>
      </c>
      <c r="B47" s="99"/>
      <c r="C47" s="98"/>
      <c r="D47" s="168">
        <v>1324</v>
      </c>
      <c r="E47" s="20" t="str">
        <f t="shared" si="8"/>
        <v> </v>
      </c>
      <c r="F47" s="20" t="str">
        <f>IF(ISERROR(D47/C47)," ",(D47/C47))</f>
        <v> </v>
      </c>
      <c r="G47" s="168">
        <f>D47-'[3]Jūlijs'!D47</f>
        <v>1324</v>
      </c>
      <c r="H47" s="112" t="s">
        <v>241</v>
      </c>
      <c r="I47" s="171" t="s">
        <v>134</v>
      </c>
      <c r="J47" s="163">
        <f>ROUND(C47/1000,0)</f>
        <v>0</v>
      </c>
      <c r="K47" s="163">
        <f>ROUND(D47/1000,0)</f>
        <v>1</v>
      </c>
      <c r="L47" s="20" t="str">
        <f t="shared" si="9"/>
        <v> </v>
      </c>
      <c r="M47" s="20" t="str">
        <f>IF(ISERROR(ROUND(K47,0)/ROUND(J47,0))," ",(ROUND(K47,)/ROUND(J47,)))</f>
        <v> </v>
      </c>
      <c r="N47" s="163">
        <f>K47-'[3]Jūlijs'!K47</f>
        <v>1</v>
      </c>
    </row>
    <row r="48" spans="1:163" s="17" customFormat="1" ht="21.75" customHeight="1">
      <c r="A48" s="32" t="s">
        <v>242</v>
      </c>
      <c r="B48" s="108">
        <v>-96500024</v>
      </c>
      <c r="C48" s="98" t="s">
        <v>134</v>
      </c>
      <c r="D48" s="108">
        <f>SUM(D10-D13-D45)</f>
        <v>-61476114</v>
      </c>
      <c r="E48" s="16">
        <f t="shared" si="8"/>
        <v>0.6370580177265034</v>
      </c>
      <c r="F48" s="98" t="s">
        <v>134</v>
      </c>
      <c r="G48" s="108">
        <f>SUM(G10-G13-G45)</f>
        <v>-9349753</v>
      </c>
      <c r="H48" s="32" t="s">
        <v>242</v>
      </c>
      <c r="I48" s="181">
        <f t="shared" si="7"/>
        <v>-96500</v>
      </c>
      <c r="J48" s="182" t="s">
        <v>134</v>
      </c>
      <c r="K48" s="54">
        <f>SUM(K10-K13-K45)</f>
        <v>-61477</v>
      </c>
      <c r="L48" s="13">
        <f t="shared" si="9"/>
        <v>0.6370673575129534</v>
      </c>
      <c r="M48" s="109" t="s">
        <v>134</v>
      </c>
      <c r="N48" s="54">
        <f>SUM(N10-N13-N45)</f>
        <v>-9350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17" customFormat="1" ht="18" customHeight="1">
      <c r="A49" s="32" t="s">
        <v>158</v>
      </c>
      <c r="B49" s="52">
        <f>SUM(B50:B51)</f>
        <v>96500024</v>
      </c>
      <c r="C49" s="98" t="s">
        <v>134</v>
      </c>
      <c r="D49" s="52">
        <f>SUM(D50:D51)</f>
        <v>61477114</v>
      </c>
      <c r="E49" s="20">
        <f t="shared" si="8"/>
        <v>0.6370683804182267</v>
      </c>
      <c r="F49" s="98" t="s">
        <v>134</v>
      </c>
      <c r="G49" s="52">
        <f>SUM(G50:G51)</f>
        <v>9350753</v>
      </c>
      <c r="H49" s="32" t="s">
        <v>158</v>
      </c>
      <c r="I49" s="181">
        <f t="shared" si="7"/>
        <v>96500</v>
      </c>
      <c r="J49" s="182" t="s">
        <v>134</v>
      </c>
      <c r="K49" s="181">
        <f>K50+K51</f>
        <v>61478</v>
      </c>
      <c r="L49" s="13">
        <f t="shared" si="9"/>
        <v>0.6370777202072538</v>
      </c>
      <c r="M49" s="109" t="s">
        <v>134</v>
      </c>
      <c r="N49" s="183">
        <f>SUM(N50:N51)</f>
        <v>9351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17" customFormat="1" ht="17.25" customHeight="1">
      <c r="A50" s="63" t="s">
        <v>243</v>
      </c>
      <c r="B50" s="99">
        <v>79270566</v>
      </c>
      <c r="C50" s="98" t="s">
        <v>134</v>
      </c>
      <c r="D50" s="168">
        <v>43083400</v>
      </c>
      <c r="E50" s="20">
        <f t="shared" si="8"/>
        <v>0.5434980746826004</v>
      </c>
      <c r="F50" s="98" t="s">
        <v>134</v>
      </c>
      <c r="G50" s="168">
        <f>D50-'[3]Jūlijs'!D50</f>
        <v>8395400</v>
      </c>
      <c r="H50" s="63" t="s">
        <v>243</v>
      </c>
      <c r="I50" s="163">
        <f t="shared" si="7"/>
        <v>79271</v>
      </c>
      <c r="J50" s="171" t="s">
        <v>134</v>
      </c>
      <c r="K50" s="163">
        <f>ROUND(D50/1000,0)</f>
        <v>43083</v>
      </c>
      <c r="L50" s="20">
        <f t="shared" si="9"/>
        <v>0.5434900531089554</v>
      </c>
      <c r="M50" s="98" t="s">
        <v>134</v>
      </c>
      <c r="N50" s="163">
        <f>K50-'[3]Jūlijs'!K50</f>
        <v>8395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17" customFormat="1" ht="39.75" customHeight="1">
      <c r="A51" s="63" t="s">
        <v>244</v>
      </c>
      <c r="B51" s="99">
        <v>17229458</v>
      </c>
      <c r="C51" s="98" t="s">
        <v>134</v>
      </c>
      <c r="D51" s="168">
        <v>18393714</v>
      </c>
      <c r="E51" s="20">
        <f t="shared" si="8"/>
        <v>1.0675735707994993</v>
      </c>
      <c r="F51" s="98" t="s">
        <v>134</v>
      </c>
      <c r="G51" s="168">
        <f>D51-'[3]Jūlijs'!D51</f>
        <v>955353</v>
      </c>
      <c r="H51" s="63" t="s">
        <v>244</v>
      </c>
      <c r="I51" s="163">
        <f t="shared" si="7"/>
        <v>17229</v>
      </c>
      <c r="J51" s="171" t="s">
        <v>134</v>
      </c>
      <c r="K51" s="163">
        <f>ROUND(D51/1000,0)+1</f>
        <v>18395</v>
      </c>
      <c r="L51" s="20">
        <f t="shared" si="9"/>
        <v>1.0676765917929074</v>
      </c>
      <c r="M51" s="98" t="s">
        <v>134</v>
      </c>
      <c r="N51" s="163">
        <f>K51-'[3]Jūlijs'!K51</f>
        <v>956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36" customFormat="1" ht="12.75">
      <c r="A52" s="184"/>
      <c r="B52" s="185"/>
      <c r="C52" s="185"/>
      <c r="D52" s="186"/>
      <c r="E52" s="187"/>
      <c r="F52" s="188"/>
      <c r="H52" s="184"/>
      <c r="I52" s="185"/>
      <c r="J52" s="185"/>
      <c r="K52" s="186"/>
      <c r="L52" s="187"/>
      <c r="M52" s="188"/>
    </row>
    <row r="53" spans="1:13" s="36" customFormat="1" ht="12.75">
      <c r="A53" s="184"/>
      <c r="B53" s="185"/>
      <c r="C53" s="185"/>
      <c r="D53" s="186"/>
      <c r="E53" s="187"/>
      <c r="F53" s="188"/>
      <c r="H53" s="184"/>
      <c r="I53" s="185"/>
      <c r="J53" s="185"/>
      <c r="K53" s="186"/>
      <c r="L53" s="187"/>
      <c r="M53" s="188"/>
    </row>
    <row r="54" spans="1:13" s="36" customFormat="1" ht="12.75">
      <c r="A54" s="184"/>
      <c r="B54" s="185"/>
      <c r="C54" s="185"/>
      <c r="D54" s="186"/>
      <c r="E54" s="187"/>
      <c r="F54" s="188"/>
      <c r="H54" s="184"/>
      <c r="I54" s="185"/>
      <c r="J54" s="185"/>
      <c r="K54" s="186"/>
      <c r="L54" s="187"/>
      <c r="M54" s="188"/>
    </row>
    <row r="55" spans="1:13" s="36" customFormat="1" ht="12.75">
      <c r="A55" s="184"/>
      <c r="B55" s="185"/>
      <c r="C55" s="185"/>
      <c r="D55" s="186"/>
      <c r="E55" s="187"/>
      <c r="F55" s="188"/>
      <c r="I55" s="185"/>
      <c r="J55" s="185"/>
      <c r="K55" s="186"/>
      <c r="L55" s="187"/>
      <c r="M55" s="188"/>
    </row>
    <row r="56" spans="1:13" s="36" customFormat="1" ht="12.75">
      <c r="A56" s="184"/>
      <c r="B56" s="185"/>
      <c r="C56" s="185"/>
      <c r="D56" s="186"/>
      <c r="E56" s="187"/>
      <c r="F56" s="188"/>
      <c r="I56" s="185"/>
      <c r="J56" s="185"/>
      <c r="K56" s="186"/>
      <c r="L56" s="187"/>
      <c r="M56" s="188"/>
    </row>
    <row r="57" spans="1:13" s="36" customFormat="1" ht="12.75">
      <c r="A57" s="184"/>
      <c r="B57" s="185"/>
      <c r="C57" s="185"/>
      <c r="D57" s="186"/>
      <c r="E57" s="187"/>
      <c r="F57" s="188"/>
      <c r="I57" s="185"/>
      <c r="J57" s="185"/>
      <c r="K57" s="186"/>
      <c r="L57" s="187"/>
      <c r="M57" s="188"/>
    </row>
    <row r="58" spans="1:13" ht="12.75">
      <c r="A58" s="189"/>
      <c r="B58" s="190"/>
      <c r="C58" s="190"/>
      <c r="D58" s="65"/>
      <c r="E58" s="187"/>
      <c r="F58" s="191"/>
      <c r="I58" s="190"/>
      <c r="J58" s="190"/>
      <c r="K58" s="65"/>
      <c r="L58" s="187"/>
      <c r="M58" s="191"/>
    </row>
    <row r="59" spans="1:13" ht="14.25">
      <c r="A59" s="67"/>
      <c r="B59" s="190"/>
      <c r="C59" s="190"/>
      <c r="D59" s="65"/>
      <c r="E59" s="192"/>
      <c r="F59" s="191"/>
      <c r="I59" s="190"/>
      <c r="J59" s="190"/>
      <c r="K59" s="65"/>
      <c r="L59" s="192"/>
      <c r="M59" s="191"/>
    </row>
    <row r="60" spans="1:13" ht="12.75">
      <c r="A60" s="39" t="s">
        <v>161</v>
      </c>
      <c r="B60" s="123"/>
      <c r="C60" s="123"/>
      <c r="D60" s="123"/>
      <c r="E60" s="193"/>
      <c r="F60" s="124"/>
      <c r="I60" s="123"/>
      <c r="J60" s="123"/>
      <c r="K60" s="123"/>
      <c r="L60" s="193"/>
      <c r="M60" s="124"/>
    </row>
    <row r="61" spans="1:13" ht="12.75">
      <c r="A61" s="29"/>
      <c r="B61" s="194"/>
      <c r="C61" s="195"/>
      <c r="D61" s="69"/>
      <c r="E61" s="64"/>
      <c r="F61" s="196"/>
      <c r="I61" s="194"/>
      <c r="J61" s="195"/>
      <c r="K61" s="69"/>
      <c r="L61" s="64"/>
      <c r="M61" s="196"/>
    </row>
    <row r="62" spans="1:13" ht="12.75">
      <c r="A62" s="29"/>
      <c r="B62" s="194"/>
      <c r="C62" s="195"/>
      <c r="D62" s="69"/>
      <c r="E62" s="64"/>
      <c r="F62" s="197"/>
      <c r="I62" s="194"/>
      <c r="J62" s="195"/>
      <c r="K62" s="69"/>
      <c r="L62" s="64"/>
      <c r="M62" s="197"/>
    </row>
    <row r="63" spans="1:13" ht="12.75">
      <c r="A63" s="29"/>
      <c r="B63" s="194"/>
      <c r="C63" s="195"/>
      <c r="D63" s="69"/>
      <c r="E63" s="64"/>
      <c r="F63" s="197"/>
      <c r="I63" s="194"/>
      <c r="J63" s="195"/>
      <c r="K63" s="69"/>
      <c r="L63" s="64"/>
      <c r="M63" s="197"/>
    </row>
    <row r="64" spans="1:13" ht="12.75">
      <c r="A64" s="29"/>
      <c r="B64" s="194"/>
      <c r="C64" s="195"/>
      <c r="D64" s="69"/>
      <c r="E64" s="64"/>
      <c r="F64" s="197"/>
      <c r="H64" s="29"/>
      <c r="I64" s="194"/>
      <c r="J64" s="195"/>
      <c r="K64" s="69"/>
      <c r="L64" s="64"/>
      <c r="M64" s="197"/>
    </row>
    <row r="65" spans="1:13" ht="12.75">
      <c r="A65" s="29"/>
      <c r="B65" s="194"/>
      <c r="C65" s="195"/>
      <c r="D65" s="69"/>
      <c r="E65" s="64"/>
      <c r="F65" s="197"/>
      <c r="H65" s="29"/>
      <c r="I65" s="194"/>
      <c r="J65" s="195"/>
      <c r="K65" s="69"/>
      <c r="L65" s="64"/>
      <c r="M65" s="197"/>
    </row>
    <row r="66" spans="1:13" ht="12.75">
      <c r="A66" s="29"/>
      <c r="B66" s="194"/>
      <c r="C66" s="195"/>
      <c r="D66" s="69"/>
      <c r="E66" s="64"/>
      <c r="F66" s="197"/>
      <c r="H66" s="29"/>
      <c r="I66" s="194"/>
      <c r="J66" s="195"/>
      <c r="K66" s="69"/>
      <c r="L66" s="64"/>
      <c r="M66" s="197"/>
    </row>
    <row r="67" spans="2:13" ht="12.75">
      <c r="B67" s="198"/>
      <c r="C67" s="198"/>
      <c r="E67" s="198"/>
      <c r="F67" s="198"/>
      <c r="I67" s="198"/>
      <c r="J67" s="198"/>
      <c r="L67" s="198"/>
      <c r="M67" s="198"/>
    </row>
    <row r="68" spans="2:13" ht="12.75">
      <c r="B68" s="198"/>
      <c r="C68" s="198"/>
      <c r="E68" s="198"/>
      <c r="F68" s="198"/>
      <c r="I68" s="198"/>
      <c r="J68" s="198"/>
      <c r="L68" s="198"/>
      <c r="M68" s="198"/>
    </row>
    <row r="69" spans="1:13" ht="12.75">
      <c r="A69" s="29" t="s">
        <v>89</v>
      </c>
      <c r="B69" s="198"/>
      <c r="C69" s="198"/>
      <c r="D69" s="6"/>
      <c r="E69" s="198"/>
      <c r="F69" s="198"/>
      <c r="H69" s="39" t="s">
        <v>161</v>
      </c>
      <c r="I69" s="198"/>
      <c r="J69" s="198"/>
      <c r="K69" s="6"/>
      <c r="L69" s="198"/>
      <c r="M69" s="198"/>
    </row>
    <row r="70" spans="1:13" ht="12.75">
      <c r="A70" s="29" t="s">
        <v>90</v>
      </c>
      <c r="B70" s="6"/>
      <c r="C70" s="6"/>
      <c r="D70" s="6"/>
      <c r="E70" s="198"/>
      <c r="F70" s="198"/>
      <c r="H70" s="184"/>
      <c r="I70" s="6"/>
      <c r="J70" s="6"/>
      <c r="K70" s="6"/>
      <c r="L70" s="198"/>
      <c r="M70" s="198"/>
    </row>
    <row r="71" spans="1:13" ht="12.75">
      <c r="A71" s="6"/>
      <c r="B71" s="6"/>
      <c r="C71" s="6"/>
      <c r="D71" s="6"/>
      <c r="E71" s="198"/>
      <c r="F71" s="198"/>
      <c r="H71" s="184"/>
      <c r="I71" s="6"/>
      <c r="J71" s="6"/>
      <c r="K71" s="6"/>
      <c r="L71" s="198"/>
      <c r="M71" s="198"/>
    </row>
    <row r="72" spans="1:13" ht="12.75">
      <c r="A72" s="6"/>
      <c r="B72" s="6"/>
      <c r="C72" s="6"/>
      <c r="D72" s="6"/>
      <c r="E72" s="198"/>
      <c r="F72" s="198"/>
      <c r="H72" s="189"/>
      <c r="I72" s="6"/>
      <c r="J72" s="6"/>
      <c r="K72" s="6"/>
      <c r="L72" s="198"/>
      <c r="M72" s="198"/>
    </row>
    <row r="73" spans="1:8" ht="14.25">
      <c r="A73" s="6"/>
      <c r="B73" s="6"/>
      <c r="C73" s="6"/>
      <c r="D73" s="6"/>
      <c r="E73" s="198"/>
      <c r="F73" s="198"/>
      <c r="H73" s="67"/>
    </row>
    <row r="74" spans="1:6" ht="12.75">
      <c r="A74" s="6"/>
      <c r="B74" s="6"/>
      <c r="C74" s="6"/>
      <c r="D74" s="6"/>
      <c r="E74" s="198"/>
      <c r="F74" s="198"/>
    </row>
    <row r="75" spans="1:8" ht="12.75">
      <c r="A75" s="6"/>
      <c r="B75" s="6"/>
      <c r="C75" s="6"/>
      <c r="D75" s="6"/>
      <c r="E75" s="198"/>
      <c r="F75" s="198"/>
      <c r="H75" s="29"/>
    </row>
    <row r="76" spans="1:8" ht="12.75">
      <c r="A76" s="6"/>
      <c r="B76" s="6"/>
      <c r="C76" s="6"/>
      <c r="D76" s="6"/>
      <c r="E76" s="198"/>
      <c r="F76" s="198"/>
      <c r="H76" s="29" t="s">
        <v>89</v>
      </c>
    </row>
    <row r="77" spans="1:8" ht="12.75">
      <c r="A77" s="6"/>
      <c r="B77" s="6"/>
      <c r="C77" s="6"/>
      <c r="D77" s="6"/>
      <c r="E77" s="198"/>
      <c r="F77" s="198"/>
      <c r="H77" s="29" t="s">
        <v>90</v>
      </c>
    </row>
    <row r="78" spans="1:6" ht="12.75">
      <c r="A78" s="6"/>
      <c r="B78" s="6"/>
      <c r="C78" s="6"/>
      <c r="D78" s="6"/>
      <c r="E78" s="198"/>
      <c r="F78" s="198"/>
    </row>
    <row r="79" spans="1:6" ht="12.75">
      <c r="A79" s="6"/>
      <c r="B79" s="6"/>
      <c r="C79" s="6"/>
      <c r="D79" s="6"/>
      <c r="E79" s="198"/>
      <c r="F79" s="198"/>
    </row>
    <row r="80" spans="1:6" ht="12.75">
      <c r="A80" s="6"/>
      <c r="B80" s="6"/>
      <c r="C80" s="6"/>
      <c r="D80" s="6"/>
      <c r="E80" s="198"/>
      <c r="F80" s="198"/>
    </row>
    <row r="81" spans="1:6" ht="12.75">
      <c r="A81" s="6"/>
      <c r="B81" s="6"/>
      <c r="C81" s="6"/>
      <c r="D81" s="6"/>
      <c r="E81" s="198"/>
      <c r="F81" s="198"/>
    </row>
    <row r="82" spans="1:6" ht="12.75">
      <c r="A82" s="6"/>
      <c r="B82" s="6"/>
      <c r="C82" s="6"/>
      <c r="D82" s="6"/>
      <c r="E82" s="198"/>
      <c r="F82" s="198"/>
    </row>
    <row r="83" spans="1:6" ht="12.75">
      <c r="A83" s="6"/>
      <c r="B83" s="6"/>
      <c r="C83" s="6"/>
      <c r="D83" s="6"/>
      <c r="E83" s="198"/>
      <c r="F83" s="198"/>
    </row>
    <row r="84" spans="1:6" ht="12.75">
      <c r="A84" s="6"/>
      <c r="B84" s="6"/>
      <c r="C84" s="6"/>
      <c r="D84" s="6"/>
      <c r="E84" s="198"/>
      <c r="F84" s="198"/>
    </row>
    <row r="85" spans="5:6" ht="12.75">
      <c r="E85" s="130"/>
      <c r="F85" s="130"/>
    </row>
    <row r="86" spans="5:6" ht="12.75">
      <c r="E86" s="130"/>
      <c r="F86" s="130"/>
    </row>
    <row r="87" spans="5:6" ht="12.75">
      <c r="E87" s="130"/>
      <c r="F87" s="130"/>
    </row>
    <row r="88" spans="5:6" ht="12.75">
      <c r="E88" s="130"/>
      <c r="F88" s="130"/>
    </row>
    <row r="89" spans="5:6" ht="12.75">
      <c r="E89" s="130"/>
      <c r="F89" s="130"/>
    </row>
    <row r="90" spans="5:6" ht="12.75">
      <c r="E90" s="130"/>
      <c r="F90" s="130"/>
    </row>
    <row r="91" spans="5:6" ht="12.75">
      <c r="E91" s="130"/>
      <c r="F91" s="130"/>
    </row>
    <row r="92" spans="5:6" ht="12.75">
      <c r="E92" s="130"/>
      <c r="F92" s="130"/>
    </row>
    <row r="93" spans="5:6" ht="12.75">
      <c r="E93" s="130"/>
      <c r="F93" s="130"/>
    </row>
    <row r="94" spans="5:6" ht="12.75">
      <c r="E94" s="130"/>
      <c r="F94" s="130"/>
    </row>
    <row r="95" spans="5:6" ht="12.75">
      <c r="E95" s="130"/>
      <c r="F95" s="130"/>
    </row>
    <row r="96" spans="5:6" ht="12.75">
      <c r="E96" s="130"/>
      <c r="F96" s="130"/>
    </row>
    <row r="97" spans="5:6" ht="12.75">
      <c r="E97" s="130"/>
      <c r="F97" s="130"/>
    </row>
    <row r="98" spans="5:6" ht="12.75">
      <c r="E98" s="130"/>
      <c r="F98" s="130"/>
    </row>
    <row r="99" spans="5:6" ht="12.75">
      <c r="E99" s="130"/>
      <c r="F99" s="130"/>
    </row>
    <row r="100" spans="5:6" ht="12.75">
      <c r="E100" s="130"/>
      <c r="F100" s="130"/>
    </row>
    <row r="101" spans="5:6" ht="12.75">
      <c r="E101" s="130"/>
      <c r="F101" s="130"/>
    </row>
    <row r="102" spans="5:6" ht="12.75">
      <c r="E102" s="130"/>
      <c r="F102" s="130"/>
    </row>
    <row r="103" spans="5:6" ht="12.75">
      <c r="E103" s="130"/>
      <c r="F103" s="130"/>
    </row>
    <row r="104" spans="5:6" ht="12.75">
      <c r="E104" s="130"/>
      <c r="F104" s="130"/>
    </row>
    <row r="105" spans="5:6" ht="12.75">
      <c r="E105" s="130"/>
      <c r="F105" s="130"/>
    </row>
    <row r="106" spans="5:6" ht="12.75">
      <c r="E106" s="130"/>
      <c r="F106" s="130"/>
    </row>
    <row r="107" spans="5:6" ht="12.75">
      <c r="E107" s="130"/>
      <c r="F107" s="130"/>
    </row>
    <row r="108" spans="5:6" ht="12.75">
      <c r="E108" s="130"/>
      <c r="F108" s="130"/>
    </row>
    <row r="109" spans="5:6" ht="12.75">
      <c r="E109" s="130"/>
      <c r="F109" s="130"/>
    </row>
    <row r="110" spans="5:6" ht="12.75">
      <c r="E110" s="130"/>
      <c r="F110" s="130"/>
    </row>
    <row r="111" spans="5:6" ht="12.75">
      <c r="E111" s="130"/>
      <c r="F111" s="130"/>
    </row>
    <row r="112" spans="5:6" ht="12.75">
      <c r="E112" s="130"/>
      <c r="F112" s="130"/>
    </row>
    <row r="113" spans="5:6" ht="12.75">
      <c r="E113" s="130"/>
      <c r="F113" s="130"/>
    </row>
    <row r="114" spans="5:6" ht="12.75">
      <c r="E114" s="130"/>
      <c r="F114" s="130"/>
    </row>
    <row r="115" spans="5:6" ht="12.75">
      <c r="E115" s="130"/>
      <c r="F115" s="130"/>
    </row>
    <row r="116" spans="5:6" ht="12.75">
      <c r="E116" s="130"/>
      <c r="F116" s="130"/>
    </row>
    <row r="117" spans="5:6" ht="12.75">
      <c r="E117" s="130"/>
      <c r="F117" s="130"/>
    </row>
    <row r="118" spans="5:6" ht="12.75">
      <c r="E118" s="130"/>
      <c r="F118" s="130"/>
    </row>
    <row r="119" spans="5:6" ht="12.75">
      <c r="E119" s="130"/>
      <c r="F119" s="130"/>
    </row>
    <row r="120" spans="5:6" ht="12.75">
      <c r="E120" s="130"/>
      <c r="F120" s="130"/>
    </row>
    <row r="121" spans="5:6" ht="12.75">
      <c r="E121" s="130"/>
      <c r="F121" s="130"/>
    </row>
    <row r="122" spans="5:6" ht="12.75">
      <c r="E122" s="130"/>
      <c r="F122" s="130"/>
    </row>
    <row r="123" spans="5:6" ht="12.75">
      <c r="E123" s="130"/>
      <c r="F123" s="130"/>
    </row>
    <row r="124" spans="5:6" ht="12.75">
      <c r="E124" s="130"/>
      <c r="F124" s="130"/>
    </row>
    <row r="125" spans="5:6" ht="12.75">
      <c r="E125" s="130"/>
      <c r="F125" s="130"/>
    </row>
    <row r="126" spans="5:6" ht="12.75">
      <c r="E126" s="130"/>
      <c r="F126" s="130"/>
    </row>
    <row r="127" spans="5:6" ht="12.75">
      <c r="E127" s="130"/>
      <c r="F127" s="130"/>
    </row>
    <row r="128" spans="5:6" ht="12.75">
      <c r="E128" s="130"/>
      <c r="F128" s="130"/>
    </row>
    <row r="129" spans="5:6" ht="12.75">
      <c r="E129" s="130"/>
      <c r="F129" s="130"/>
    </row>
    <row r="130" spans="5:6" ht="12.75">
      <c r="E130" s="130"/>
      <c r="F130" s="130"/>
    </row>
    <row r="131" spans="5:6" ht="12.75">
      <c r="E131" s="130"/>
      <c r="F131" s="130"/>
    </row>
    <row r="132" spans="5:6" ht="12.75">
      <c r="E132" s="130"/>
      <c r="F132" s="130"/>
    </row>
    <row r="133" spans="5:6" ht="12.75">
      <c r="E133" s="130"/>
      <c r="F133" s="130"/>
    </row>
    <row r="134" spans="5:6" ht="12.75">
      <c r="E134" s="130"/>
      <c r="F134" s="130"/>
    </row>
    <row r="135" spans="5:6" ht="12.75">
      <c r="E135" s="130"/>
      <c r="F135" s="130"/>
    </row>
    <row r="136" spans="5:6" ht="12.75">
      <c r="E136" s="130"/>
      <c r="F136" s="130"/>
    </row>
    <row r="137" spans="5:6" ht="12.75">
      <c r="E137" s="130"/>
      <c r="F137" s="130"/>
    </row>
    <row r="138" spans="5:6" ht="12.75">
      <c r="E138" s="130"/>
      <c r="F138" s="130"/>
    </row>
    <row r="139" spans="5:6" ht="12.75">
      <c r="E139" s="130"/>
      <c r="F139" s="130"/>
    </row>
    <row r="140" spans="5:6" ht="12.75">
      <c r="E140" s="130"/>
      <c r="F140" s="130"/>
    </row>
    <row r="141" spans="5:6" ht="12.75">
      <c r="E141" s="130"/>
      <c r="F141" s="130"/>
    </row>
    <row r="142" spans="5:6" ht="12.75">
      <c r="E142" s="130"/>
      <c r="F142" s="130"/>
    </row>
    <row r="143" spans="5:6" ht="12.75">
      <c r="E143" s="130"/>
      <c r="F143" s="130"/>
    </row>
    <row r="144" spans="5:6" ht="12.75">
      <c r="E144" s="130"/>
      <c r="F144" s="130"/>
    </row>
    <row r="145" spans="5:6" ht="12.75">
      <c r="E145" s="130"/>
      <c r="F145" s="130"/>
    </row>
    <row r="146" spans="5:6" ht="12.75">
      <c r="E146" s="130"/>
      <c r="F146" s="130"/>
    </row>
    <row r="147" spans="5:6" ht="12.75">
      <c r="E147" s="130"/>
      <c r="F147" s="130"/>
    </row>
    <row r="148" spans="5:6" ht="12.75">
      <c r="E148" s="130"/>
      <c r="F148" s="130"/>
    </row>
    <row r="149" spans="5:6" ht="12.75">
      <c r="E149" s="130"/>
      <c r="F149" s="130"/>
    </row>
    <row r="150" spans="5:6" ht="12.75">
      <c r="E150" s="130"/>
      <c r="F150" s="130"/>
    </row>
    <row r="151" spans="5:6" ht="12.75">
      <c r="E151" s="130"/>
      <c r="F151" s="130"/>
    </row>
    <row r="152" spans="5:6" ht="12.75">
      <c r="E152" s="130"/>
      <c r="F152" s="130"/>
    </row>
    <row r="153" spans="5:6" ht="12.75">
      <c r="E153" s="130"/>
      <c r="F153" s="130"/>
    </row>
    <row r="154" spans="5:6" ht="12.75">
      <c r="E154" s="130"/>
      <c r="F154" s="130"/>
    </row>
    <row r="155" spans="5:6" ht="12.75">
      <c r="E155" s="130"/>
      <c r="F155" s="130"/>
    </row>
    <row r="156" spans="5:6" ht="12.75">
      <c r="E156" s="130"/>
      <c r="F156" s="130"/>
    </row>
    <row r="157" spans="5:6" ht="12.75">
      <c r="E157" s="130"/>
      <c r="F157" s="130"/>
    </row>
    <row r="158" spans="5:6" ht="12.75">
      <c r="E158" s="130"/>
      <c r="F158" s="130"/>
    </row>
    <row r="159" spans="5:6" ht="12.75">
      <c r="E159" s="130"/>
      <c r="F159" s="130"/>
    </row>
    <row r="160" spans="5:6" ht="12.75">
      <c r="E160" s="130"/>
      <c r="F160" s="130"/>
    </row>
    <row r="161" spans="5:6" ht="12.75">
      <c r="E161" s="130"/>
      <c r="F161" s="130"/>
    </row>
    <row r="162" spans="5:6" ht="12.75">
      <c r="E162" s="130"/>
      <c r="F162" s="130"/>
    </row>
    <row r="163" spans="5:6" ht="12.75">
      <c r="E163" s="130"/>
      <c r="F163" s="130"/>
    </row>
    <row r="164" spans="5:6" ht="12.75">
      <c r="E164" s="130"/>
      <c r="F164" s="130"/>
    </row>
    <row r="165" spans="5:6" ht="12.75">
      <c r="E165" s="130"/>
      <c r="F165" s="130"/>
    </row>
    <row r="166" spans="5:6" ht="12.75">
      <c r="E166" s="130"/>
      <c r="F166" s="130"/>
    </row>
    <row r="167" spans="5:6" ht="12.75">
      <c r="E167" s="130"/>
      <c r="F167" s="130"/>
    </row>
    <row r="168" spans="5:6" ht="12.75">
      <c r="E168" s="130"/>
      <c r="F168" s="130"/>
    </row>
    <row r="169" spans="5:6" ht="12.75">
      <c r="E169" s="130"/>
      <c r="F169" s="130"/>
    </row>
    <row r="170" spans="5:6" ht="12.75">
      <c r="E170" s="130"/>
      <c r="F170" s="130"/>
    </row>
    <row r="171" spans="5:6" ht="12.75">
      <c r="E171" s="130"/>
      <c r="F171" s="130"/>
    </row>
    <row r="172" spans="5:6" ht="12.75">
      <c r="E172" s="130"/>
      <c r="F172" s="130"/>
    </row>
    <row r="173" spans="5:6" ht="12.75">
      <c r="E173" s="130"/>
      <c r="F173" s="130"/>
    </row>
    <row r="174" spans="5:6" ht="12.75">
      <c r="E174" s="130"/>
      <c r="F174" s="130"/>
    </row>
    <row r="175" spans="5:6" ht="12.75">
      <c r="E175" s="130"/>
      <c r="F175" s="130"/>
    </row>
    <row r="176" spans="5:6" ht="12.75">
      <c r="E176" s="130"/>
      <c r="F176" s="130"/>
    </row>
    <row r="177" spans="5:6" ht="12.75">
      <c r="E177" s="130"/>
      <c r="F177" s="130"/>
    </row>
    <row r="178" spans="5:6" ht="12.75">
      <c r="E178" s="130"/>
      <c r="F178" s="130"/>
    </row>
    <row r="179" spans="5:6" ht="12.75">
      <c r="E179" s="130"/>
      <c r="F179" s="130"/>
    </row>
    <row r="180" spans="5:6" ht="12.75">
      <c r="E180" s="130"/>
      <c r="F180" s="130"/>
    </row>
    <row r="181" spans="5:6" ht="12.75">
      <c r="E181" s="130"/>
      <c r="F181" s="130"/>
    </row>
    <row r="182" spans="5:6" ht="12.75">
      <c r="E182" s="130"/>
      <c r="F182" s="130"/>
    </row>
    <row r="183" spans="5:6" ht="12.75">
      <c r="E183" s="130"/>
      <c r="F183" s="130"/>
    </row>
    <row r="184" spans="5:6" ht="12.75">
      <c r="E184" s="130"/>
      <c r="F184" s="130"/>
    </row>
    <row r="185" spans="5:6" ht="12.75">
      <c r="E185" s="130"/>
      <c r="F185" s="130"/>
    </row>
    <row r="186" spans="5:6" ht="12.75">
      <c r="E186" s="130"/>
      <c r="F186" s="130"/>
    </row>
    <row r="187" spans="5:6" ht="12.75">
      <c r="E187" s="130"/>
      <c r="F187" s="130"/>
    </row>
    <row r="188" spans="5:6" ht="12.75">
      <c r="E188" s="130"/>
      <c r="F188" s="130"/>
    </row>
    <row r="189" spans="5:6" ht="12.75">
      <c r="E189" s="130"/>
      <c r="F189" s="130"/>
    </row>
    <row r="190" spans="5:6" ht="12.75">
      <c r="E190" s="130"/>
      <c r="F190" s="130"/>
    </row>
    <row r="191" spans="5:6" ht="12.75">
      <c r="E191" s="130"/>
      <c r="F191" s="130"/>
    </row>
    <row r="192" spans="5:6" ht="12.75">
      <c r="E192" s="130"/>
      <c r="F192" s="130"/>
    </row>
    <row r="193" spans="5:6" ht="12.75">
      <c r="E193" s="130"/>
      <c r="F193" s="130"/>
    </row>
    <row r="194" spans="5:6" ht="12.75">
      <c r="E194" s="130"/>
      <c r="F194" s="130"/>
    </row>
    <row r="195" spans="5:6" ht="12.75">
      <c r="E195" s="130"/>
      <c r="F195" s="130"/>
    </row>
    <row r="196" spans="5:6" ht="12.75">
      <c r="E196" s="130"/>
      <c r="F196" s="130"/>
    </row>
    <row r="197" spans="5:6" ht="12.75">
      <c r="E197" s="130"/>
      <c r="F197" s="130"/>
    </row>
    <row r="198" spans="5:6" ht="12.75">
      <c r="E198" s="130"/>
      <c r="F198" s="130"/>
    </row>
    <row r="199" spans="5:6" ht="12.75">
      <c r="E199" s="130"/>
      <c r="F199" s="130"/>
    </row>
    <row r="200" spans="5:6" ht="12.75">
      <c r="E200" s="130"/>
      <c r="F200" s="130"/>
    </row>
    <row r="201" spans="5:6" ht="12.75">
      <c r="E201" s="130"/>
      <c r="F201" s="130"/>
    </row>
    <row r="202" spans="5:6" ht="12.75">
      <c r="E202" s="130"/>
      <c r="F202" s="130"/>
    </row>
    <row r="203" spans="5:6" ht="12.75">
      <c r="E203" s="130"/>
      <c r="F203" s="130"/>
    </row>
    <row r="204" spans="5:6" ht="12.75">
      <c r="E204" s="130"/>
      <c r="F204" s="130"/>
    </row>
    <row r="205" spans="5:6" ht="12.75">
      <c r="E205" s="130"/>
      <c r="F205" s="130"/>
    </row>
    <row r="206" spans="5:6" ht="12.75">
      <c r="E206" s="130"/>
      <c r="F206" s="130"/>
    </row>
    <row r="207" spans="5:6" ht="12.75">
      <c r="E207" s="130"/>
      <c r="F207" s="130"/>
    </row>
    <row r="208" spans="5:6" ht="12.75">
      <c r="E208" s="130"/>
      <c r="F208" s="130"/>
    </row>
    <row r="209" spans="5:6" ht="12.75">
      <c r="E209" s="130"/>
      <c r="F209" s="130"/>
    </row>
    <row r="210" spans="5:6" ht="12.75">
      <c r="E210" s="130"/>
      <c r="F210" s="130"/>
    </row>
    <row r="211" spans="5:6" ht="12.75">
      <c r="E211" s="130"/>
      <c r="F211" s="130"/>
    </row>
    <row r="212" spans="5:6" ht="12.75">
      <c r="E212" s="130"/>
      <c r="F212" s="130"/>
    </row>
    <row r="213" spans="5:6" ht="12.75">
      <c r="E213" s="130"/>
      <c r="F213" s="130"/>
    </row>
    <row r="214" spans="5:6" ht="12.75">
      <c r="E214" s="130"/>
      <c r="F214" s="130"/>
    </row>
    <row r="215" spans="5:6" ht="12.75">
      <c r="E215" s="130"/>
      <c r="F215" s="130"/>
    </row>
    <row r="216" spans="5:6" ht="12.75">
      <c r="E216" s="130"/>
      <c r="F216" s="130"/>
    </row>
    <row r="217" spans="5:6" ht="12.75">
      <c r="E217" s="130"/>
      <c r="F217" s="130"/>
    </row>
    <row r="218" spans="5:6" ht="12.75">
      <c r="E218" s="130"/>
      <c r="F218" s="130"/>
    </row>
    <row r="219" spans="5:6" ht="12.75">
      <c r="E219" s="130"/>
      <c r="F219" s="130"/>
    </row>
    <row r="220" spans="5:6" ht="12.75">
      <c r="E220" s="130"/>
      <c r="F220" s="130"/>
    </row>
    <row r="221" spans="5:6" ht="12.75">
      <c r="E221" s="130"/>
      <c r="F221" s="130"/>
    </row>
    <row r="222" spans="5:6" ht="12.75">
      <c r="E222" s="130"/>
      <c r="F222" s="130"/>
    </row>
    <row r="223" spans="5:6" ht="12.75">
      <c r="E223" s="130"/>
      <c r="F223" s="130"/>
    </row>
    <row r="224" spans="5:6" ht="12.75">
      <c r="E224" s="130"/>
      <c r="F224" s="130"/>
    </row>
    <row r="225" spans="5:6" ht="12.75">
      <c r="E225" s="130"/>
      <c r="F225" s="130"/>
    </row>
    <row r="226" spans="5:6" ht="12.75">
      <c r="E226" s="130"/>
      <c r="F226" s="130"/>
    </row>
    <row r="227" spans="5:6" ht="12.75">
      <c r="E227" s="130"/>
      <c r="F227" s="130"/>
    </row>
    <row r="228" spans="5:6" ht="12.75">
      <c r="E228" s="130"/>
      <c r="F228" s="130"/>
    </row>
    <row r="229" spans="5:6" ht="12.75">
      <c r="E229" s="130"/>
      <c r="F229" s="130"/>
    </row>
    <row r="230" spans="5:6" ht="12.75">
      <c r="E230" s="130"/>
      <c r="F230" s="130"/>
    </row>
    <row r="231" spans="5:6" ht="12.75">
      <c r="E231" s="130"/>
      <c r="F231" s="130"/>
    </row>
    <row r="232" spans="5:6" ht="12.75">
      <c r="E232" s="130"/>
      <c r="F232" s="130"/>
    </row>
    <row r="233" spans="5:6" ht="12.75">
      <c r="E233" s="130"/>
      <c r="F233" s="130"/>
    </row>
    <row r="234" spans="5:6" ht="12.75">
      <c r="E234" s="130"/>
      <c r="F234" s="130"/>
    </row>
    <row r="235" spans="5:6" ht="12.75">
      <c r="E235" s="130"/>
      <c r="F235" s="130"/>
    </row>
    <row r="236" spans="5:6" ht="12.75">
      <c r="E236" s="130"/>
      <c r="F236" s="130"/>
    </row>
    <row r="237" spans="5:6" ht="12.75">
      <c r="E237" s="130"/>
      <c r="F237" s="130"/>
    </row>
    <row r="238" spans="5:6" ht="12.75">
      <c r="E238" s="130"/>
      <c r="F238" s="130"/>
    </row>
    <row r="239" spans="5:6" ht="12.75">
      <c r="E239" s="130"/>
      <c r="F239" s="130"/>
    </row>
    <row r="240" spans="5:6" ht="12.75">
      <c r="E240" s="130"/>
      <c r="F240" s="130"/>
    </row>
    <row r="241" spans="5:6" ht="12.75">
      <c r="E241" s="130"/>
      <c r="F241" s="130"/>
    </row>
    <row r="242" spans="5:6" ht="12.75">
      <c r="E242" s="130"/>
      <c r="F242" s="130"/>
    </row>
    <row r="243" spans="5:6" ht="12.75">
      <c r="E243" s="130"/>
      <c r="F243" s="130"/>
    </row>
    <row r="244" spans="5:6" ht="12.75">
      <c r="E244" s="130"/>
      <c r="F244" s="130"/>
    </row>
    <row r="245" spans="5:6" ht="12.75">
      <c r="E245" s="130"/>
      <c r="F245" s="130"/>
    </row>
    <row r="246" spans="5:6" ht="12.75">
      <c r="E246" s="130"/>
      <c r="F246" s="130"/>
    </row>
    <row r="247" spans="5:6" ht="12.75">
      <c r="E247" s="130"/>
      <c r="F247" s="130"/>
    </row>
    <row r="248" spans="5:6" ht="12.75">
      <c r="E248" s="130"/>
      <c r="F248" s="130"/>
    </row>
    <row r="249" spans="5:6" ht="12.75">
      <c r="E249" s="130"/>
      <c r="F249" s="130"/>
    </row>
    <row r="250" spans="5:6" ht="12.75">
      <c r="E250" s="130"/>
      <c r="F250" s="130"/>
    </row>
    <row r="251" spans="5:6" ht="12.75">
      <c r="E251" s="130"/>
      <c r="F251" s="130"/>
    </row>
    <row r="252" spans="5:6" ht="12.75">
      <c r="E252" s="130"/>
      <c r="F252" s="130"/>
    </row>
    <row r="253" spans="5:6" ht="12.75">
      <c r="E253" s="130"/>
      <c r="F253" s="130"/>
    </row>
    <row r="254" spans="5:6" ht="12.75">
      <c r="E254" s="130"/>
      <c r="F254" s="130"/>
    </row>
    <row r="255" spans="5:6" ht="12.75">
      <c r="E255" s="130"/>
      <c r="F255" s="130"/>
    </row>
    <row r="256" spans="5:6" ht="12.75">
      <c r="E256" s="130"/>
      <c r="F256" s="130"/>
    </row>
    <row r="257" spans="5:6" ht="12.75">
      <c r="E257" s="130"/>
      <c r="F257" s="130"/>
    </row>
    <row r="258" spans="5:6" ht="12.75">
      <c r="E258" s="130"/>
      <c r="F258" s="130"/>
    </row>
    <row r="259" spans="5:6" ht="12.75">
      <c r="E259" s="130"/>
      <c r="F259" s="130"/>
    </row>
    <row r="260" spans="5:6" ht="12.75">
      <c r="E260" s="130"/>
      <c r="F260" s="130"/>
    </row>
    <row r="261" spans="5:6" ht="12.75">
      <c r="E261" s="130"/>
      <c r="F261" s="130"/>
    </row>
    <row r="262" spans="5:6" ht="12.75">
      <c r="E262" s="130"/>
      <c r="F262" s="130"/>
    </row>
    <row r="263" spans="5:6" ht="12.75">
      <c r="E263" s="130"/>
      <c r="F263" s="130"/>
    </row>
    <row r="264" spans="5:6" ht="12.75">
      <c r="E264" s="130"/>
      <c r="F264" s="130"/>
    </row>
    <row r="265" spans="5:6" ht="12.75">
      <c r="E265" s="130"/>
      <c r="F265" s="130"/>
    </row>
    <row r="266" spans="5:6" ht="12.75">
      <c r="E266" s="130"/>
      <c r="F266" s="130"/>
    </row>
    <row r="267" spans="5:6" ht="12.75">
      <c r="E267" s="130"/>
      <c r="F267" s="130"/>
    </row>
    <row r="268" spans="5:6" ht="12.75">
      <c r="E268" s="130"/>
      <c r="F268" s="130"/>
    </row>
    <row r="269" spans="5:6" ht="12.75">
      <c r="E269" s="130"/>
      <c r="F269" s="130"/>
    </row>
    <row r="270" spans="5:6" ht="12.75">
      <c r="E270" s="130"/>
      <c r="F270" s="130"/>
    </row>
    <row r="271" spans="5:6" ht="12.75">
      <c r="E271" s="130"/>
      <c r="F271" s="130"/>
    </row>
    <row r="272" spans="5:6" ht="12.75">
      <c r="E272" s="130"/>
      <c r="F272" s="130"/>
    </row>
    <row r="273" spans="5:6" ht="12.75">
      <c r="E273" s="130"/>
      <c r="F273" s="130"/>
    </row>
    <row r="274" spans="5:6" ht="12.75">
      <c r="E274" s="130"/>
      <c r="F274" s="130"/>
    </row>
    <row r="275" spans="5:6" ht="12.75">
      <c r="E275" s="130"/>
      <c r="F275" s="130"/>
    </row>
    <row r="276" spans="5:6" ht="12.75">
      <c r="E276" s="130"/>
      <c r="F276" s="130"/>
    </row>
    <row r="277" spans="5:6" ht="12.75">
      <c r="E277" s="130"/>
      <c r="F277" s="130"/>
    </row>
    <row r="278" spans="5:6" ht="12.75">
      <c r="E278" s="130"/>
      <c r="F278" s="130"/>
    </row>
    <row r="279" spans="5:6" ht="12.75">
      <c r="E279" s="130"/>
      <c r="F279" s="130"/>
    </row>
    <row r="280" spans="5:6" ht="12.75">
      <c r="E280" s="130"/>
      <c r="F280" s="130"/>
    </row>
    <row r="281" spans="5:6" ht="12.75">
      <c r="E281" s="130"/>
      <c r="F281" s="130"/>
    </row>
    <row r="282" spans="5:6" ht="12.75">
      <c r="E282" s="130"/>
      <c r="F282" s="130"/>
    </row>
    <row r="283" spans="5:6" ht="12.75">
      <c r="E283" s="130"/>
      <c r="F283" s="130"/>
    </row>
    <row r="284" spans="5:6" ht="12.75">
      <c r="E284" s="130"/>
      <c r="F284" s="130"/>
    </row>
    <row r="285" spans="5:6" ht="12.75">
      <c r="E285" s="130"/>
      <c r="F285" s="130"/>
    </row>
    <row r="286" spans="5:6" ht="12.75">
      <c r="E286" s="130"/>
      <c r="F286" s="130"/>
    </row>
    <row r="287" spans="5:6" ht="12.75">
      <c r="E287" s="130"/>
      <c r="F287" s="130"/>
    </row>
    <row r="288" spans="5:6" ht="12.75">
      <c r="E288" s="130"/>
      <c r="F288" s="130"/>
    </row>
    <row r="289" spans="5:6" ht="12.75">
      <c r="E289" s="130"/>
      <c r="F289" s="130"/>
    </row>
    <row r="290" spans="5:6" ht="12.75">
      <c r="E290" s="130"/>
      <c r="F290" s="130"/>
    </row>
    <row r="291" spans="5:6" ht="12.75">
      <c r="E291" s="130"/>
      <c r="F291" s="130"/>
    </row>
    <row r="292" spans="5:6" ht="12.75">
      <c r="E292" s="130"/>
      <c r="F292" s="130"/>
    </row>
    <row r="293" spans="5:6" ht="12.75">
      <c r="E293" s="130"/>
      <c r="F293" s="130"/>
    </row>
    <row r="294" spans="5:6" ht="12.75">
      <c r="E294" s="130"/>
      <c r="F294" s="130"/>
    </row>
    <row r="295" spans="5:6" ht="12.75">
      <c r="E295" s="130"/>
      <c r="F295" s="130"/>
    </row>
    <row r="296" spans="5:6" ht="12.75">
      <c r="E296" s="130"/>
      <c r="F296" s="130"/>
    </row>
    <row r="297" spans="5:6" ht="12.75">
      <c r="E297" s="130"/>
      <c r="F297" s="130"/>
    </row>
    <row r="298" spans="5:6" ht="12.75">
      <c r="E298" s="130"/>
      <c r="F298" s="130"/>
    </row>
    <row r="299" spans="5:6" ht="12.75">
      <c r="E299" s="130"/>
      <c r="F299" s="130"/>
    </row>
    <row r="300" spans="5:6" ht="12.75">
      <c r="E300" s="130"/>
      <c r="F300" s="130"/>
    </row>
    <row r="301" spans="5:6" ht="12.75">
      <c r="E301" s="130"/>
      <c r="F301" s="130"/>
    </row>
    <row r="302" spans="5:6" ht="12.75">
      <c r="E302" s="130"/>
      <c r="F302" s="130"/>
    </row>
    <row r="303" spans="5:6" ht="12.75">
      <c r="E303" s="130"/>
      <c r="F303" s="130"/>
    </row>
    <row r="304" spans="5:6" ht="12.75">
      <c r="E304" s="130"/>
      <c r="F304" s="130"/>
    </row>
    <row r="305" spans="5:6" ht="12.75">
      <c r="E305" s="130"/>
      <c r="F305" s="130"/>
    </row>
    <row r="306" spans="5:6" ht="12.75">
      <c r="E306" s="130"/>
      <c r="F306" s="130"/>
    </row>
    <row r="307" spans="5:6" ht="12.75">
      <c r="E307" s="130"/>
      <c r="F307" s="130"/>
    </row>
    <row r="308" spans="5:6" ht="12.75">
      <c r="E308" s="130"/>
      <c r="F308" s="130"/>
    </row>
    <row r="309" spans="5:6" ht="12.75">
      <c r="E309" s="130"/>
      <c r="F309" s="130"/>
    </row>
    <row r="310" spans="5:6" ht="12.75">
      <c r="E310" s="130"/>
      <c r="F310" s="130"/>
    </row>
    <row r="311" spans="5:6" ht="12.75">
      <c r="E311" s="130"/>
      <c r="F311" s="130"/>
    </row>
    <row r="312" spans="5:6" ht="12.75">
      <c r="E312" s="130"/>
      <c r="F312" s="130"/>
    </row>
    <row r="313" spans="5:6" ht="12.75">
      <c r="E313" s="130"/>
      <c r="F313" s="130"/>
    </row>
    <row r="314" spans="5:6" ht="12.75">
      <c r="E314" s="130"/>
      <c r="F314" s="130"/>
    </row>
    <row r="315" spans="5:6" ht="12.75">
      <c r="E315" s="130"/>
      <c r="F315" s="130"/>
    </row>
    <row r="316" spans="5:6" ht="12.75">
      <c r="E316" s="130"/>
      <c r="F316" s="130"/>
    </row>
    <row r="317" spans="5:6" ht="12.75">
      <c r="E317" s="130"/>
      <c r="F317" s="130"/>
    </row>
    <row r="318" spans="5:6" ht="12.75">
      <c r="E318" s="130"/>
      <c r="F318" s="130"/>
    </row>
    <row r="319" spans="5:6" ht="12.75">
      <c r="E319" s="130"/>
      <c r="F319" s="130"/>
    </row>
    <row r="320" spans="5:6" ht="12.75">
      <c r="E320" s="130"/>
      <c r="F320" s="130"/>
    </row>
    <row r="321" spans="5:6" ht="12.75">
      <c r="E321" s="130"/>
      <c r="F321" s="130"/>
    </row>
    <row r="322" spans="5:6" ht="12.75">
      <c r="E322" s="130"/>
      <c r="F322" s="130"/>
    </row>
    <row r="323" spans="5:6" ht="12.75">
      <c r="E323" s="130"/>
      <c r="F323" s="130"/>
    </row>
  </sheetData>
  <mergeCells count="3">
    <mergeCell ref="H4:N4"/>
    <mergeCell ref="H5:N5"/>
    <mergeCell ref="H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61"/>
  <sheetViews>
    <sheetView workbookViewId="0" topLeftCell="F1">
      <selection activeCell="F7" sqref="F7"/>
    </sheetView>
  </sheetViews>
  <sheetFormatPr defaultColWidth="9.140625" defaultRowHeight="12.75"/>
  <cols>
    <col min="1" max="1" width="41.00390625" style="72" hidden="1" customWidth="1"/>
    <col min="2" max="2" width="12.28125" style="72" hidden="1" customWidth="1"/>
    <col min="3" max="3" width="13.00390625" style="72" hidden="1" customWidth="1"/>
    <col min="4" max="4" width="12.7109375" style="72" hidden="1" customWidth="1"/>
    <col min="5" max="5" width="12.140625" style="72" hidden="1" customWidth="1"/>
    <col min="6" max="6" width="41.421875" style="72" customWidth="1"/>
    <col min="7" max="7" width="13.421875" style="72" customWidth="1"/>
    <col min="8" max="8" width="15.00390625" style="72" customWidth="1"/>
    <col min="9" max="9" width="12.7109375" style="72" customWidth="1"/>
    <col min="10" max="10" width="13.00390625" style="72" customWidth="1"/>
    <col min="11" max="16384" width="9.140625" style="72" customWidth="1"/>
  </cols>
  <sheetData>
    <row r="1" spans="1:10" ht="17.25" customHeight="1">
      <c r="A1" s="3" t="s">
        <v>123</v>
      </c>
      <c r="B1" s="40"/>
      <c r="C1" s="40"/>
      <c r="D1" s="3"/>
      <c r="E1" s="72" t="s">
        <v>124</v>
      </c>
      <c r="F1" s="3" t="s">
        <v>123</v>
      </c>
      <c r="G1" s="40"/>
      <c r="H1" s="40"/>
      <c r="I1" s="3"/>
      <c r="J1" s="42" t="s">
        <v>124</v>
      </c>
    </row>
    <row r="2" spans="1:10" ht="1.5" customHeight="1" hidden="1">
      <c r="A2" s="73"/>
      <c r="B2" s="73"/>
      <c r="C2" s="73"/>
      <c r="E2" s="73"/>
      <c r="F2" s="73"/>
      <c r="G2" s="73"/>
      <c r="H2" s="73"/>
      <c r="J2" s="73"/>
    </row>
    <row r="3" spans="1:10" ht="15.75" customHeight="1">
      <c r="A3" s="73"/>
      <c r="B3" s="73"/>
      <c r="C3" s="73"/>
      <c r="E3" s="73"/>
      <c r="F3" s="73"/>
      <c r="G3" s="73"/>
      <c r="H3" s="73"/>
      <c r="J3" s="73"/>
    </row>
    <row r="4" spans="1:10" ht="20.25">
      <c r="A4" s="74" t="s">
        <v>125</v>
      </c>
      <c r="B4" s="75"/>
      <c r="C4" s="75"/>
      <c r="D4" s="75"/>
      <c r="E4" s="75"/>
      <c r="F4" s="74" t="s">
        <v>126</v>
      </c>
      <c r="G4" s="75"/>
      <c r="H4" s="75"/>
      <c r="I4" s="75"/>
      <c r="J4" s="75"/>
    </row>
    <row r="5" spans="1:10" ht="20.25">
      <c r="A5" s="76" t="s">
        <v>127</v>
      </c>
      <c r="B5" s="77"/>
      <c r="C5" s="77"/>
      <c r="D5" s="77"/>
      <c r="E5" s="77"/>
      <c r="F5" s="76" t="s">
        <v>127</v>
      </c>
      <c r="G5" s="77"/>
      <c r="H5" s="77"/>
      <c r="I5" s="77"/>
      <c r="J5" s="77"/>
    </row>
    <row r="6" spans="1:10" ht="12.75">
      <c r="A6" s="73"/>
      <c r="B6" s="73"/>
      <c r="C6" s="73"/>
      <c r="E6" s="73" t="s">
        <v>97</v>
      </c>
      <c r="F6" s="73"/>
      <c r="G6" s="73"/>
      <c r="H6" s="73"/>
      <c r="J6" s="78" t="s">
        <v>97</v>
      </c>
    </row>
    <row r="7" spans="1:10" ht="52.5" customHeight="1">
      <c r="A7" s="79" t="s">
        <v>5</v>
      </c>
      <c r="B7" s="79" t="s">
        <v>128</v>
      </c>
      <c r="C7" s="79" t="s">
        <v>7</v>
      </c>
      <c r="D7" s="79" t="s">
        <v>129</v>
      </c>
      <c r="E7" s="7" t="s">
        <v>130</v>
      </c>
      <c r="F7" s="79" t="s">
        <v>5</v>
      </c>
      <c r="G7" s="79" t="s">
        <v>131</v>
      </c>
      <c r="H7" s="79" t="s">
        <v>7</v>
      </c>
      <c r="I7" s="79" t="s">
        <v>129</v>
      </c>
      <c r="J7" s="7" t="s">
        <v>130</v>
      </c>
    </row>
    <row r="8" spans="1:10" ht="12.75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1</v>
      </c>
      <c r="G8" s="79">
        <v>2</v>
      </c>
      <c r="H8" s="79">
        <v>3</v>
      </c>
      <c r="I8" s="79">
        <v>4</v>
      </c>
      <c r="J8" s="79">
        <v>5</v>
      </c>
    </row>
    <row r="9" spans="1:10" ht="12.75">
      <c r="A9" s="80" t="s">
        <v>132</v>
      </c>
      <c r="B9" s="81">
        <f>SUM(B10:B11)</f>
        <v>0</v>
      </c>
      <c r="C9" s="81">
        <f>SUM(C10:C11)</f>
        <v>8374165</v>
      </c>
      <c r="D9" s="11" t="str">
        <f>IF(ISERROR(C9/B9)," ",(C9/B9))</f>
        <v> </v>
      </c>
      <c r="E9" s="81">
        <f>SUM(E10:E11)</f>
        <v>4612669</v>
      </c>
      <c r="F9" s="80" t="s">
        <v>132</v>
      </c>
      <c r="G9" s="82">
        <f>SUM(G10:G11)</f>
        <v>0</v>
      </c>
      <c r="H9" s="83">
        <f>SUM(H10:H11)</f>
        <v>8374</v>
      </c>
      <c r="I9" s="84" t="str">
        <f>IF(ISERROR(ROUND(H9,0)/ROUND(g,0))," ",(ROUND(H9,)/ROUND(G9,)))</f>
        <v> </v>
      </c>
      <c r="J9" s="82">
        <f>SUM(J10:J11)</f>
        <v>4613</v>
      </c>
    </row>
    <row r="10" spans="1:10" ht="17.25" customHeight="1">
      <c r="A10" s="63" t="s">
        <v>133</v>
      </c>
      <c r="B10" s="85"/>
      <c r="C10" s="85">
        <f>2932493</f>
        <v>2932493</v>
      </c>
      <c r="D10" s="86" t="str">
        <f aca="true" t="shared" si="0" ref="D10:D15">IF(ISERROR(C10/B10)," ",(C10/B10))</f>
        <v> </v>
      </c>
      <c r="E10" s="85">
        <f>C10-'[7]Jūlijs'!C10</f>
        <v>474015</v>
      </c>
      <c r="F10" s="63" t="s">
        <v>133</v>
      </c>
      <c r="G10" s="79" t="s">
        <v>134</v>
      </c>
      <c r="H10" s="85">
        <f>ROUND(C10/1000,0)</f>
        <v>2932</v>
      </c>
      <c r="I10" s="87" t="str">
        <f aca="true" t="shared" si="1" ref="I10:I15">IF(ISERROR(ROUND(H10,0)/ROUND(g,0))," ",(ROUND(H10,)/ROUND(G10,)))</f>
        <v> </v>
      </c>
      <c r="J10" s="85">
        <f>H10-'[7]Jūlijs'!H10</f>
        <v>474</v>
      </c>
    </row>
    <row r="11" spans="1:10" ht="17.25" customHeight="1">
      <c r="A11" s="63" t="s">
        <v>135</v>
      </c>
      <c r="B11" s="85"/>
      <c r="C11" s="85">
        <f>3657168+251+291656+1492597</f>
        <v>5441672</v>
      </c>
      <c r="D11" s="86" t="str">
        <f t="shared" si="0"/>
        <v> </v>
      </c>
      <c r="E11" s="85">
        <f>C11-'[7]Jūlijs'!C11</f>
        <v>4138654</v>
      </c>
      <c r="F11" s="63" t="s">
        <v>135</v>
      </c>
      <c r="G11" s="79" t="s">
        <v>134</v>
      </c>
      <c r="H11" s="85">
        <f>ROUND(C11/1000,0)</f>
        <v>5442</v>
      </c>
      <c r="I11" s="87" t="str">
        <f t="shared" si="1"/>
        <v> </v>
      </c>
      <c r="J11" s="85">
        <f>H11-'[7]Jūlijs'!H11</f>
        <v>4139</v>
      </c>
    </row>
    <row r="12" spans="1:10" ht="12.75">
      <c r="A12" s="80" t="s">
        <v>136</v>
      </c>
      <c r="B12" s="88">
        <f>SUM(B13,B30)</f>
        <v>0</v>
      </c>
      <c r="C12" s="88">
        <f>SUM(C13,C30)</f>
        <v>5938495</v>
      </c>
      <c r="D12" s="11" t="str">
        <f t="shared" si="0"/>
        <v> </v>
      </c>
      <c r="E12" s="88">
        <f>SUM(E13,E30)</f>
        <v>958497</v>
      </c>
      <c r="F12" s="80" t="s">
        <v>136</v>
      </c>
      <c r="G12" s="89">
        <f>SUM(G13,G30)</f>
        <v>0</v>
      </c>
      <c r="H12" s="89">
        <f>SUM(H13,H30)</f>
        <v>5938</v>
      </c>
      <c r="I12" s="84" t="str">
        <f t="shared" si="1"/>
        <v> </v>
      </c>
      <c r="J12" s="89">
        <f>SUM(J13,J30)</f>
        <v>959</v>
      </c>
    </row>
    <row r="13" spans="1:10" ht="16.5" customHeight="1">
      <c r="A13" s="90" t="s">
        <v>137</v>
      </c>
      <c r="B13" s="88">
        <f>SUM(B14,B21,B24)</f>
        <v>0</v>
      </c>
      <c r="C13" s="88">
        <f>SUM(C14,C21,C24)</f>
        <v>5060307</v>
      </c>
      <c r="D13" s="11" t="str">
        <f t="shared" si="0"/>
        <v> </v>
      </c>
      <c r="E13" s="88">
        <f>SUM(E14,E21,E24)</f>
        <v>551290</v>
      </c>
      <c r="F13" s="90" t="s">
        <v>137</v>
      </c>
      <c r="G13" s="89">
        <f>SUM(G14,G21,G24)</f>
        <v>0</v>
      </c>
      <c r="H13" s="89">
        <f>SUM(H14,H21,H24)</f>
        <v>5060</v>
      </c>
      <c r="I13" s="84" t="str">
        <f t="shared" si="1"/>
        <v> </v>
      </c>
      <c r="J13" s="89">
        <f>SUM(J14,J21,J24)</f>
        <v>552</v>
      </c>
    </row>
    <row r="14" spans="1:10" ht="12.75">
      <c r="A14" s="91" t="s">
        <v>138</v>
      </c>
      <c r="B14" s="92"/>
      <c r="C14" s="93">
        <f>SUM(C15,C16,C17,C20)</f>
        <v>4847902</v>
      </c>
      <c r="D14" s="11" t="str">
        <f t="shared" si="0"/>
        <v> </v>
      </c>
      <c r="E14" s="93">
        <f>SUM(E15,E16,E17,E20)</f>
        <v>544830</v>
      </c>
      <c r="F14" s="91" t="s">
        <v>138</v>
      </c>
      <c r="G14" s="94">
        <f>ROUND(B14/1000,0)</f>
        <v>0</v>
      </c>
      <c r="H14" s="95">
        <f>SUM(H15,H16,H17,H20)</f>
        <v>4848</v>
      </c>
      <c r="I14" s="87" t="str">
        <f t="shared" si="1"/>
        <v> </v>
      </c>
      <c r="J14" s="95">
        <f>SUM(J15,J16,J17,J20)</f>
        <v>545</v>
      </c>
    </row>
    <row r="15" spans="1:10" ht="12.75">
      <c r="A15" s="60" t="s">
        <v>139</v>
      </c>
      <c r="B15" s="96"/>
      <c r="C15" s="96">
        <f>303744+18078</f>
        <v>321822</v>
      </c>
      <c r="D15" s="19" t="str">
        <f t="shared" si="0"/>
        <v> </v>
      </c>
      <c r="E15" s="97">
        <f>C15-'[7]Jūlijs'!C15</f>
        <v>74268</v>
      </c>
      <c r="F15" s="60" t="s">
        <v>139</v>
      </c>
      <c r="G15" s="85">
        <f>ROUND(B15/1000,0)</f>
        <v>0</v>
      </c>
      <c r="H15" s="85">
        <f>ROUND(C15/1000,0)</f>
        <v>322</v>
      </c>
      <c r="I15" s="87" t="str">
        <f t="shared" si="1"/>
        <v> </v>
      </c>
      <c r="J15" s="85">
        <f>H15-'[7]Jūlijs'!H15</f>
        <v>74</v>
      </c>
    </row>
    <row r="16" spans="1:10" ht="12.75">
      <c r="A16" s="63" t="s">
        <v>140</v>
      </c>
      <c r="B16" s="98" t="s">
        <v>134</v>
      </c>
      <c r="C16" s="96">
        <f>102001</f>
        <v>102001</v>
      </c>
      <c r="D16" s="98" t="s">
        <v>134</v>
      </c>
      <c r="E16" s="97">
        <f>C16-'[7]Jūlijs'!C16</f>
        <v>32756</v>
      </c>
      <c r="F16" s="63" t="s">
        <v>140</v>
      </c>
      <c r="G16" s="98" t="s">
        <v>134</v>
      </c>
      <c r="H16" s="85">
        <f>ROUND(C16/1000,0)</f>
        <v>102</v>
      </c>
      <c r="I16" s="98" t="s">
        <v>134</v>
      </c>
      <c r="J16" s="85">
        <f>H16-'[7]Jūlijs'!H16</f>
        <v>33</v>
      </c>
    </row>
    <row r="17" spans="1:10" ht="12.75">
      <c r="A17" s="63" t="s">
        <v>141</v>
      </c>
      <c r="B17" s="98" t="s">
        <v>134</v>
      </c>
      <c r="C17" s="96">
        <f>SUM(C18:C19)</f>
        <v>4422996</v>
      </c>
      <c r="D17" s="98" t="s">
        <v>134</v>
      </c>
      <c r="E17" s="99">
        <f>SUM(E18:E19)</f>
        <v>437806</v>
      </c>
      <c r="F17" s="63" t="s">
        <v>141</v>
      </c>
      <c r="G17" s="98" t="s">
        <v>134</v>
      </c>
      <c r="H17" s="99">
        <f>SUM(H18:H19)</f>
        <v>4423</v>
      </c>
      <c r="I17" s="98" t="s">
        <v>134</v>
      </c>
      <c r="J17" s="99">
        <f>SUM(J18:J19)</f>
        <v>438</v>
      </c>
    </row>
    <row r="18" spans="1:10" s="104" customFormat="1" ht="12.75">
      <c r="A18" s="100" t="s">
        <v>142</v>
      </c>
      <c r="B18" s="101" t="s">
        <v>134</v>
      </c>
      <c r="C18" s="102">
        <f>1808792+819853+324021+551918+235</f>
        <v>3504819</v>
      </c>
      <c r="D18" s="101" t="s">
        <v>134</v>
      </c>
      <c r="E18" s="97">
        <f>C18-'[7]Jūlijs'!C18</f>
        <v>-77380</v>
      </c>
      <c r="F18" s="100" t="s">
        <v>142</v>
      </c>
      <c r="G18" s="101" t="s">
        <v>134</v>
      </c>
      <c r="H18" s="103">
        <f>ROUND(C18/1000,0)</f>
        <v>3505</v>
      </c>
      <c r="I18" s="101" t="s">
        <v>134</v>
      </c>
      <c r="J18" s="103">
        <f>H18-'[7]Jūlijs'!H18</f>
        <v>-77</v>
      </c>
    </row>
    <row r="19" spans="1:10" s="104" customFormat="1" ht="12.75">
      <c r="A19" s="100" t="s">
        <v>143</v>
      </c>
      <c r="B19" s="101" t="s">
        <v>134</v>
      </c>
      <c r="C19" s="102">
        <f>190620+82079+7544+15588+440758+62603+106042+12267+676</f>
        <v>918177</v>
      </c>
      <c r="D19" s="101" t="s">
        <v>134</v>
      </c>
      <c r="E19" s="97">
        <f>C19-'[7]Jūlijs'!C19</f>
        <v>515186</v>
      </c>
      <c r="F19" s="100" t="s">
        <v>143</v>
      </c>
      <c r="G19" s="101" t="s">
        <v>134</v>
      </c>
      <c r="H19" s="103">
        <f>ROUND(C19/1000,0)</f>
        <v>918</v>
      </c>
      <c r="I19" s="101" t="s">
        <v>134</v>
      </c>
      <c r="J19" s="103">
        <f>H19-'[7]Jūlijs'!H19</f>
        <v>515</v>
      </c>
    </row>
    <row r="20" spans="1:10" ht="12.75">
      <c r="A20" s="63" t="s">
        <v>144</v>
      </c>
      <c r="B20" s="98" t="s">
        <v>134</v>
      </c>
      <c r="C20" s="96">
        <v>1083</v>
      </c>
      <c r="D20" s="98" t="s">
        <v>134</v>
      </c>
      <c r="E20" s="97">
        <f>C20-'[7]Jūlijs'!C20</f>
        <v>0</v>
      </c>
      <c r="F20" s="63" t="s">
        <v>144</v>
      </c>
      <c r="G20" s="98" t="s">
        <v>134</v>
      </c>
      <c r="H20" s="85">
        <f>ROUND(C20/1000,0)</f>
        <v>1</v>
      </c>
      <c r="I20" s="98" t="s">
        <v>134</v>
      </c>
      <c r="J20" s="85">
        <f>H20-'[7]Jūlijs'!H20</f>
        <v>0</v>
      </c>
    </row>
    <row r="21" spans="1:10" ht="12.75">
      <c r="A21" s="105" t="s">
        <v>145</v>
      </c>
      <c r="B21" s="98"/>
      <c r="C21" s="93">
        <f>SUM(C22:C23)</f>
        <v>99452</v>
      </c>
      <c r="D21" s="11" t="str">
        <f>IF(ISERROR(C21/B21)," ",(C21/B21))</f>
        <v> </v>
      </c>
      <c r="E21" s="93">
        <f>SUM(E22:E23)</f>
        <v>0</v>
      </c>
      <c r="F21" s="105" t="s">
        <v>145</v>
      </c>
      <c r="G21" s="98"/>
      <c r="H21" s="95">
        <f>SUM(H22:H23)</f>
        <v>99</v>
      </c>
      <c r="I21" s="87" t="str">
        <f>IF(ISERROR(ROUND(H21,0)/ROUND(g,0))," ",(ROUND(H21,)/ROUND(G21,)))</f>
        <v> </v>
      </c>
      <c r="J21" s="95">
        <f>SUM(J22:J23)</f>
        <v>0</v>
      </c>
    </row>
    <row r="22" spans="1:10" ht="12.75">
      <c r="A22" s="63" t="s">
        <v>146</v>
      </c>
      <c r="B22" s="98" t="s">
        <v>134</v>
      </c>
      <c r="C22" s="96">
        <v>99452</v>
      </c>
      <c r="D22" s="98" t="s">
        <v>134</v>
      </c>
      <c r="E22" s="97">
        <f>C22-'[7]Jūlijs'!C22</f>
        <v>0</v>
      </c>
      <c r="F22" s="63" t="s">
        <v>146</v>
      </c>
      <c r="G22" s="98" t="s">
        <v>134</v>
      </c>
      <c r="H22" s="85">
        <f>ROUND(C22/1000,0)</f>
        <v>99</v>
      </c>
      <c r="I22" s="98" t="s">
        <v>134</v>
      </c>
      <c r="J22" s="85">
        <f>H22-'[7]Jūlijs'!H22</f>
        <v>0</v>
      </c>
    </row>
    <row r="23" spans="1:10" ht="12.75">
      <c r="A23" s="63" t="s">
        <v>147</v>
      </c>
      <c r="B23" s="98" t="s">
        <v>134</v>
      </c>
      <c r="C23" s="96"/>
      <c r="D23" s="98" t="s">
        <v>134</v>
      </c>
      <c r="E23" s="97">
        <f>C23-'[7]Jūlijs'!C23</f>
        <v>0</v>
      </c>
      <c r="F23" s="63" t="s">
        <v>147</v>
      </c>
      <c r="G23" s="98" t="s">
        <v>134</v>
      </c>
      <c r="H23" s="85">
        <f>ROUND(C23/1000,0)</f>
        <v>0</v>
      </c>
      <c r="I23" s="98" t="s">
        <v>134</v>
      </c>
      <c r="J23" s="85">
        <f>H23-'[7]Jūlijs'!H23</f>
        <v>0</v>
      </c>
    </row>
    <row r="24" spans="1:10" ht="17.25" customHeight="1">
      <c r="A24" s="106" t="s">
        <v>148</v>
      </c>
      <c r="B24" s="96"/>
      <c r="C24" s="93">
        <f>SUM(C25:C29)</f>
        <v>112953</v>
      </c>
      <c r="D24" s="11" t="str">
        <f>IF(ISERROR(C24/B24)," ",(C24/B24))</f>
        <v> </v>
      </c>
      <c r="E24" s="93">
        <f>SUM(E25:E29)</f>
        <v>6460</v>
      </c>
      <c r="F24" s="106" t="s">
        <v>148</v>
      </c>
      <c r="G24" s="98"/>
      <c r="H24" s="95">
        <f>SUM(H25:H29)</f>
        <v>113</v>
      </c>
      <c r="I24" s="87" t="str">
        <f>IF(ISERROR(ROUND(H24,0)/ROUND(g,0))," ",(ROUND(H24,)/ROUND(G24,)))</f>
        <v> </v>
      </c>
      <c r="J24" s="95">
        <f>SUM(J25:J29)</f>
        <v>7</v>
      </c>
    </row>
    <row r="25" spans="1:10" ht="15.75" customHeight="1">
      <c r="A25" s="60" t="s">
        <v>149</v>
      </c>
      <c r="B25" s="98" t="s">
        <v>134</v>
      </c>
      <c r="C25" s="96">
        <f>22228+3398</f>
        <v>25626</v>
      </c>
      <c r="D25" s="98" t="s">
        <v>134</v>
      </c>
      <c r="E25" s="97">
        <f>C25-'[7]Jūlijs'!C25</f>
        <v>4366</v>
      </c>
      <c r="F25" s="60" t="s">
        <v>149</v>
      </c>
      <c r="G25" s="98" t="s">
        <v>134</v>
      </c>
      <c r="H25" s="85">
        <f>ROUND(C25/1000,0)</f>
        <v>26</v>
      </c>
      <c r="I25" s="98" t="s">
        <v>134</v>
      </c>
      <c r="J25" s="85">
        <f>H25-'[7]Jūlijs'!H25</f>
        <v>5</v>
      </c>
    </row>
    <row r="26" spans="1:10" ht="15.75" customHeight="1">
      <c r="A26" s="60" t="s">
        <v>150</v>
      </c>
      <c r="B26" s="98" t="s">
        <v>134</v>
      </c>
      <c r="C26" s="96">
        <v>11967</v>
      </c>
      <c r="D26" s="98" t="s">
        <v>134</v>
      </c>
      <c r="E26" s="97">
        <f>C26-'[7]Jūlijs'!C26</f>
        <v>0</v>
      </c>
      <c r="F26" s="60" t="s">
        <v>150</v>
      </c>
      <c r="G26" s="98" t="s">
        <v>134</v>
      </c>
      <c r="H26" s="85">
        <f>ROUND(C26/1000,0)</f>
        <v>12</v>
      </c>
      <c r="I26" s="98" t="s">
        <v>134</v>
      </c>
      <c r="J26" s="85">
        <f>H26-'[7]Jūlijs'!H26</f>
        <v>0</v>
      </c>
    </row>
    <row r="27" spans="1:10" ht="16.5" customHeight="1">
      <c r="A27" s="63" t="s">
        <v>151</v>
      </c>
      <c r="B27" s="98" t="s">
        <v>134</v>
      </c>
      <c r="C27" s="96"/>
      <c r="D27" s="98" t="s">
        <v>134</v>
      </c>
      <c r="E27" s="97">
        <f>C27-'[7]Jūlijs'!C27</f>
        <v>0</v>
      </c>
      <c r="F27" s="63" t="s">
        <v>151</v>
      </c>
      <c r="G27" s="98" t="s">
        <v>134</v>
      </c>
      <c r="H27" s="85">
        <f>ROUND(C27/1000,0)</f>
        <v>0</v>
      </c>
      <c r="I27" s="98" t="s">
        <v>134</v>
      </c>
      <c r="J27" s="85">
        <f>H27-'[7]Jūlijs'!H27</f>
        <v>0</v>
      </c>
    </row>
    <row r="28" spans="1:10" ht="12.75">
      <c r="A28" s="63" t="s">
        <v>152</v>
      </c>
      <c r="B28" s="98" t="s">
        <v>134</v>
      </c>
      <c r="C28" s="96">
        <v>28576</v>
      </c>
      <c r="D28" s="98" t="s">
        <v>134</v>
      </c>
      <c r="E28" s="97">
        <f>C28-'[7]Jūlijs'!C28</f>
        <v>179</v>
      </c>
      <c r="F28" s="63" t="s">
        <v>152</v>
      </c>
      <c r="G28" s="98" t="s">
        <v>134</v>
      </c>
      <c r="H28" s="85">
        <f>ROUND(C28/1000,0)-1</f>
        <v>28</v>
      </c>
      <c r="I28" s="98" t="s">
        <v>134</v>
      </c>
      <c r="J28" s="85">
        <f>H28-'[7]Jūlijs'!H28</f>
        <v>0</v>
      </c>
    </row>
    <row r="29" spans="1:10" ht="15" customHeight="1">
      <c r="A29" s="63" t="s">
        <v>153</v>
      </c>
      <c r="B29" s="98" t="s">
        <v>134</v>
      </c>
      <c r="C29" s="96">
        <v>46784</v>
      </c>
      <c r="D29" s="98" t="s">
        <v>134</v>
      </c>
      <c r="E29" s="97">
        <f>C29-'[7]Jūlijs'!C29</f>
        <v>1915</v>
      </c>
      <c r="F29" s="63" t="s">
        <v>153</v>
      </c>
      <c r="G29" s="98" t="s">
        <v>134</v>
      </c>
      <c r="H29" s="85">
        <f>ROUND(C29/1000,0)</f>
        <v>47</v>
      </c>
      <c r="I29" s="98" t="s">
        <v>134</v>
      </c>
      <c r="J29" s="85">
        <f>H29-'[7]Jūlijs'!H29</f>
        <v>2</v>
      </c>
    </row>
    <row r="30" spans="1:10" ht="19.5" customHeight="1">
      <c r="A30" s="107" t="s">
        <v>154</v>
      </c>
      <c r="B30" s="108">
        <f>SUM(B31:B32)</f>
        <v>0</v>
      </c>
      <c r="C30" s="108">
        <f>SUM(C31:C32)</f>
        <v>878188</v>
      </c>
      <c r="D30" s="11" t="str">
        <f>IF(ISERROR(C30/B30)," ",(C30/B30))</f>
        <v> </v>
      </c>
      <c r="E30" s="108">
        <f>SUM(E31:E32)</f>
        <v>407207</v>
      </c>
      <c r="F30" s="107" t="s">
        <v>154</v>
      </c>
      <c r="G30" s="93">
        <f>SUM(G31:G32)</f>
        <v>0</v>
      </c>
      <c r="H30" s="93">
        <f>SUM(H31:H32)</f>
        <v>878</v>
      </c>
      <c r="I30" s="84" t="str">
        <f>IF(ISERROR(ROUND(H30,0)/ROUND(g,0))," ",(ROUND(H30,)/ROUND(G30,)))</f>
        <v> </v>
      </c>
      <c r="J30" s="93">
        <f>SUM(J31:J32)</f>
        <v>407</v>
      </c>
    </row>
    <row r="31" spans="1:10" ht="18.75" customHeight="1">
      <c r="A31" s="63" t="s">
        <v>155</v>
      </c>
      <c r="B31" s="96"/>
      <c r="C31" s="96">
        <f>390497+7396+171370+52723+150230+10035</f>
        <v>782251</v>
      </c>
      <c r="D31" s="19" t="str">
        <f>IF(ISERROR(C31/B31)," ",(C31/B31))</f>
        <v> </v>
      </c>
      <c r="E31" s="97">
        <f>C31-'[7]Jūlijs'!C31</f>
        <v>311270</v>
      </c>
      <c r="F31" s="63" t="s">
        <v>155</v>
      </c>
      <c r="G31" s="85">
        <f>ROUND(B31/1000,0)</f>
        <v>0</v>
      </c>
      <c r="H31" s="85">
        <f>ROUND(C31/1000,0)</f>
        <v>782</v>
      </c>
      <c r="I31" s="87" t="str">
        <f>IF(ISERROR(ROUND(H31,0)/ROUND(g,0))," ",(ROUND(H31,)/ROUND(G31,)))</f>
        <v> </v>
      </c>
      <c r="J31" s="85">
        <f>H31-'[7]Jūlijs'!H31</f>
        <v>311</v>
      </c>
    </row>
    <row r="32" spans="1:10" ht="18" customHeight="1">
      <c r="A32" s="63" t="s">
        <v>156</v>
      </c>
      <c r="B32" s="96"/>
      <c r="C32" s="102">
        <v>95937</v>
      </c>
      <c r="D32" s="19" t="str">
        <f>IF(ISERROR(C32/B32)," ",(C32/B32))</f>
        <v> </v>
      </c>
      <c r="E32" s="97">
        <f>C32-'[7]Jūlijs'!C32</f>
        <v>95937</v>
      </c>
      <c r="F32" s="63" t="s">
        <v>156</v>
      </c>
      <c r="G32" s="85">
        <f>ROUND(B32/1000,0)</f>
        <v>0</v>
      </c>
      <c r="H32" s="85">
        <f>ROUND(C32/1000,0)</f>
        <v>96</v>
      </c>
      <c r="I32" s="87" t="str">
        <f>IF(ISERROR(ROUND(H32,0)/ROUND(g,0))," ",(ROUND(H32,)/ROUND(G32,)))</f>
        <v> </v>
      </c>
      <c r="J32" s="85">
        <f>H32-'[7]Jūlijs'!H32</f>
        <v>96</v>
      </c>
    </row>
    <row r="33" spans="1:10" s="110" customFormat="1" ht="15.75" customHeight="1">
      <c r="A33" s="107" t="s">
        <v>157</v>
      </c>
      <c r="B33" s="96"/>
      <c r="C33" s="88">
        <f>SUM(C9-C12)</f>
        <v>2435670</v>
      </c>
      <c r="D33" s="98" t="s">
        <v>134</v>
      </c>
      <c r="E33" s="98" t="s">
        <v>134</v>
      </c>
      <c r="F33" s="107" t="s">
        <v>157</v>
      </c>
      <c r="G33" s="109"/>
      <c r="H33" s="93">
        <f>SUM(H9-H12)</f>
        <v>2436</v>
      </c>
      <c r="I33" s="98" t="s">
        <v>134</v>
      </c>
      <c r="J33" s="98" t="s">
        <v>134</v>
      </c>
    </row>
    <row r="34" spans="1:10" s="110" customFormat="1" ht="16.5" customHeight="1">
      <c r="A34" s="107" t="s">
        <v>158</v>
      </c>
      <c r="B34" s="96"/>
      <c r="C34" s="96">
        <v>-2435670</v>
      </c>
      <c r="D34" s="98" t="s">
        <v>134</v>
      </c>
      <c r="E34" s="98" t="s">
        <v>134</v>
      </c>
      <c r="F34" s="107" t="s">
        <v>158</v>
      </c>
      <c r="G34" s="111"/>
      <c r="H34" s="93">
        <f>ROUND(C34/1000,0)</f>
        <v>-2436</v>
      </c>
      <c r="I34" s="98" t="s">
        <v>134</v>
      </c>
      <c r="J34" s="98" t="s">
        <v>134</v>
      </c>
    </row>
    <row r="35" spans="1:10" s="110" customFormat="1" ht="26.25" customHeight="1">
      <c r="A35" s="112" t="s">
        <v>159</v>
      </c>
      <c r="B35" s="96"/>
      <c r="C35" s="96">
        <v>-2435670</v>
      </c>
      <c r="D35" s="98" t="s">
        <v>134</v>
      </c>
      <c r="E35" s="98" t="s">
        <v>134</v>
      </c>
      <c r="F35" s="112" t="s">
        <v>159</v>
      </c>
      <c r="G35" s="96"/>
      <c r="H35" s="85">
        <f>ROUND(C35/1000,0)</f>
        <v>-2436</v>
      </c>
      <c r="I35" s="98" t="s">
        <v>134</v>
      </c>
      <c r="J35" s="98" t="s">
        <v>134</v>
      </c>
    </row>
    <row r="36" spans="1:10" s="37" customFormat="1" ht="16.5" customHeight="1">
      <c r="A36" s="113"/>
      <c r="B36" s="114"/>
      <c r="C36" s="115"/>
      <c r="D36" s="115"/>
      <c r="E36" s="115"/>
      <c r="F36" s="113"/>
      <c r="G36" s="114"/>
      <c r="H36" s="115"/>
      <c r="I36" s="115"/>
      <c r="J36" s="115"/>
    </row>
    <row r="37" spans="1:10" s="37" customFormat="1" ht="16.5" customHeight="1">
      <c r="A37" s="113"/>
      <c r="B37" s="114"/>
      <c r="C37" s="115"/>
      <c r="D37" s="115"/>
      <c r="E37" s="115"/>
      <c r="F37" s="113" t="s">
        <v>160</v>
      </c>
      <c r="G37" s="114"/>
      <c r="H37" s="115"/>
      <c r="I37" s="115"/>
      <c r="J37" s="115"/>
    </row>
    <row r="38" spans="1:10" s="37" customFormat="1" ht="16.5" customHeight="1">
      <c r="A38" s="113"/>
      <c r="B38" s="114"/>
      <c r="C38" s="115"/>
      <c r="D38" s="115"/>
      <c r="E38" s="115"/>
      <c r="F38" s="113"/>
      <c r="G38" s="114"/>
      <c r="H38" s="115"/>
      <c r="I38" s="115"/>
      <c r="J38" s="115"/>
    </row>
    <row r="39" spans="1:10" s="37" customFormat="1" ht="16.5" customHeight="1">
      <c r="A39" s="113"/>
      <c r="B39" s="114"/>
      <c r="C39" s="115"/>
      <c r="D39" s="115"/>
      <c r="E39" s="115"/>
      <c r="F39" s="113"/>
      <c r="G39" s="114"/>
      <c r="H39" s="115"/>
      <c r="I39" s="115"/>
      <c r="J39" s="115"/>
    </row>
    <row r="40" spans="1:10" s="37" customFormat="1" ht="16.5" customHeight="1">
      <c r="A40" s="113"/>
      <c r="B40" s="114"/>
      <c r="C40" s="115"/>
      <c r="D40" s="115"/>
      <c r="E40" s="115"/>
      <c r="F40" s="39" t="s">
        <v>161</v>
      </c>
      <c r="G40" s="114"/>
      <c r="H40" s="115"/>
      <c r="I40" s="115"/>
      <c r="J40" s="115"/>
    </row>
    <row r="41" spans="1:10" s="37" customFormat="1" ht="16.5" customHeight="1">
      <c r="A41" s="113"/>
      <c r="B41" s="114"/>
      <c r="C41" s="115"/>
      <c r="D41" s="115"/>
      <c r="E41" s="115"/>
      <c r="F41" s="116"/>
      <c r="G41" s="114"/>
      <c r="H41" s="115"/>
      <c r="I41" s="115"/>
      <c r="J41" s="115"/>
    </row>
    <row r="42" spans="1:10" ht="16.5" customHeight="1">
      <c r="A42" s="117"/>
      <c r="B42" s="114"/>
      <c r="C42" s="114"/>
      <c r="D42" s="118"/>
      <c r="E42" s="119"/>
      <c r="F42" s="116"/>
      <c r="G42" s="114"/>
      <c r="H42" s="114"/>
      <c r="I42" s="118"/>
      <c r="J42" s="119"/>
    </row>
    <row r="43" spans="1:10" ht="14.25">
      <c r="A43" s="120"/>
      <c r="B43" s="121"/>
      <c r="C43" s="121"/>
      <c r="D43" s="122"/>
      <c r="E43" s="116"/>
      <c r="F43" s="116" t="s">
        <v>89</v>
      </c>
      <c r="G43" s="121"/>
      <c r="H43" s="121"/>
      <c r="I43" s="122"/>
      <c r="J43" s="116"/>
    </row>
    <row r="44" spans="1:10" ht="12.75">
      <c r="A44" s="39" t="s">
        <v>161</v>
      </c>
      <c r="B44" s="123"/>
      <c r="C44" s="123"/>
      <c r="D44" s="124"/>
      <c r="E44" s="40"/>
      <c r="F44" s="116" t="s">
        <v>90</v>
      </c>
      <c r="G44" s="123"/>
      <c r="H44" s="123"/>
      <c r="I44" s="124"/>
      <c r="J44" s="40"/>
    </row>
    <row r="45" spans="1:10" ht="12.75">
      <c r="A45" s="116"/>
      <c r="B45" s="125"/>
      <c r="C45" s="126"/>
      <c r="D45" s="127"/>
      <c r="E45" s="73"/>
      <c r="G45" s="125"/>
      <c r="H45" s="126"/>
      <c r="I45" s="127"/>
      <c r="J45" s="73"/>
    </row>
    <row r="46" spans="1:10" ht="12.75">
      <c r="A46" s="116"/>
      <c r="B46" s="125"/>
      <c r="C46" s="126"/>
      <c r="D46" s="127"/>
      <c r="E46" s="73"/>
      <c r="G46" s="125"/>
      <c r="H46" s="126"/>
      <c r="I46" s="127"/>
      <c r="J46" s="73"/>
    </row>
    <row r="47" spans="1:10" ht="12.75">
      <c r="A47" s="116" t="s">
        <v>89</v>
      </c>
      <c r="B47" s="125"/>
      <c r="C47" s="126"/>
      <c r="D47" s="127"/>
      <c r="E47" s="73"/>
      <c r="G47" s="125"/>
      <c r="H47" s="126"/>
      <c r="I47" s="127"/>
      <c r="J47" s="73"/>
    </row>
    <row r="48" spans="1:10" ht="12.75">
      <c r="A48" s="116" t="s">
        <v>122</v>
      </c>
      <c r="B48" s="125"/>
      <c r="C48" s="126"/>
      <c r="D48" s="127"/>
      <c r="E48" s="73"/>
      <c r="G48" s="125"/>
      <c r="H48" s="126"/>
      <c r="I48" s="127"/>
      <c r="J48" s="73"/>
    </row>
    <row r="49" spans="1:10" ht="12.75">
      <c r="A49" s="116"/>
      <c r="B49" s="125"/>
      <c r="C49" s="126"/>
      <c r="D49" s="127"/>
      <c r="E49" s="73"/>
      <c r="F49" s="116"/>
      <c r="G49" s="125"/>
      <c r="H49" s="126"/>
      <c r="I49" s="127"/>
      <c r="J49" s="73"/>
    </row>
    <row r="50" spans="2:5" ht="12" customHeight="1">
      <c r="B50" s="73"/>
      <c r="D50" s="73"/>
      <c r="E50" s="73"/>
    </row>
    <row r="51" spans="1:5" ht="12.75">
      <c r="A51" s="73"/>
      <c r="B51" s="73"/>
      <c r="C51" s="73"/>
      <c r="D51" s="73"/>
      <c r="E51" s="73"/>
    </row>
    <row r="52" spans="1:5" ht="12.75">
      <c r="A52" s="73"/>
      <c r="B52" s="73"/>
      <c r="C52" s="73"/>
      <c r="D52" s="73"/>
      <c r="E52" s="73"/>
    </row>
    <row r="53" spans="1:5" ht="12.75">
      <c r="A53" s="73"/>
      <c r="B53" s="73"/>
      <c r="C53" s="73"/>
      <c r="D53" s="73"/>
      <c r="E53" s="73"/>
    </row>
    <row r="54" spans="1:5" ht="12.75">
      <c r="A54" s="73"/>
      <c r="B54" s="73"/>
      <c r="C54" s="73"/>
      <c r="D54" s="73"/>
      <c r="E54" s="73"/>
    </row>
    <row r="55" spans="1:5" ht="12.75">
      <c r="A55" s="73"/>
      <c r="B55" s="73"/>
      <c r="C55" s="73"/>
      <c r="D55" s="73"/>
      <c r="E55" s="73"/>
    </row>
    <row r="56" spans="1:5" ht="12.75">
      <c r="A56" s="73"/>
      <c r="B56" s="73"/>
      <c r="C56" s="73"/>
      <c r="D56" s="73"/>
      <c r="E56" s="73"/>
    </row>
    <row r="57" spans="1:5" ht="12.75">
      <c r="A57" s="73"/>
      <c r="B57" s="73"/>
      <c r="C57" s="73"/>
      <c r="D57" s="73"/>
      <c r="E57" s="73"/>
    </row>
    <row r="58" spans="1:5" ht="12.75">
      <c r="A58" s="73"/>
      <c r="B58" s="73"/>
      <c r="C58" s="73"/>
      <c r="D58" s="73"/>
      <c r="E58" s="73"/>
    </row>
    <row r="59" spans="1:5" ht="12.75">
      <c r="A59" s="73"/>
      <c r="B59" s="73"/>
      <c r="C59" s="73"/>
      <c r="D59" s="73"/>
      <c r="E59" s="73"/>
    </row>
    <row r="60" spans="1:5" ht="12.75">
      <c r="A60" s="73"/>
      <c r="B60" s="73"/>
      <c r="C60" s="73"/>
      <c r="D60" s="73"/>
      <c r="E60" s="73"/>
    </row>
    <row r="61" spans="1:5" ht="12.75">
      <c r="A61" s="73"/>
      <c r="B61" s="73"/>
      <c r="C61" s="73"/>
      <c r="D61" s="73"/>
      <c r="E61" s="7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J115"/>
  <sheetViews>
    <sheetView workbookViewId="0" topLeftCell="F1">
      <selection activeCell="A2" sqref="A2"/>
    </sheetView>
  </sheetViews>
  <sheetFormatPr defaultColWidth="9.140625" defaultRowHeight="12.75"/>
  <cols>
    <col min="1" max="1" width="50.421875" style="29" hidden="1" customWidth="1"/>
    <col min="2" max="2" width="9.7109375" style="29" hidden="1" customWidth="1"/>
    <col min="3" max="3" width="13.8515625" style="29" hidden="1" customWidth="1"/>
    <col min="4" max="4" width="13.7109375" style="29" hidden="1" customWidth="1"/>
    <col min="5" max="5" width="13.140625" style="29" hidden="1" customWidth="1"/>
    <col min="6" max="6" width="49.421875" style="29" customWidth="1"/>
    <col min="7" max="7" width="9.140625" style="29" customWidth="1"/>
    <col min="8" max="8" width="11.140625" style="29" customWidth="1"/>
    <col min="9" max="9" width="9.8515625" style="29" customWidth="1"/>
    <col min="10" max="10" width="9.57421875" style="29" customWidth="1"/>
    <col min="11" max="16384" width="9.140625" style="29" customWidth="1"/>
  </cols>
  <sheetData>
    <row r="1" spans="3:9" ht="12.75">
      <c r="C1" s="1"/>
      <c r="D1" s="1"/>
      <c r="H1" s="1"/>
      <c r="I1" s="1"/>
    </row>
    <row r="2" spans="1:10" ht="12.75">
      <c r="A2" s="1" t="s">
        <v>162</v>
      </c>
      <c r="C2" s="1"/>
      <c r="D2" s="1"/>
      <c r="E2" s="41" t="s">
        <v>163</v>
      </c>
      <c r="F2" s="1" t="s">
        <v>164</v>
      </c>
      <c r="H2" s="1"/>
      <c r="I2" s="1"/>
      <c r="J2" s="42" t="s">
        <v>163</v>
      </c>
    </row>
    <row r="3" spans="1:10" ht="15.75">
      <c r="A3" s="43" t="s">
        <v>165</v>
      </c>
      <c r="F3" s="293" t="s">
        <v>166</v>
      </c>
      <c r="G3" s="293"/>
      <c r="H3" s="293"/>
      <c r="I3" s="293"/>
      <c r="J3" s="293"/>
    </row>
    <row r="4" spans="1:10" ht="15.75">
      <c r="A4" s="43" t="s">
        <v>167</v>
      </c>
      <c r="F4" s="293" t="s">
        <v>168</v>
      </c>
      <c r="G4" s="293"/>
      <c r="H4" s="293"/>
      <c r="I4" s="293"/>
      <c r="J4" s="293"/>
    </row>
    <row r="8" spans="4:10" ht="12.75">
      <c r="D8" s="1"/>
      <c r="E8" s="39" t="s">
        <v>97</v>
      </c>
      <c r="I8" s="1"/>
      <c r="J8" s="45" t="s">
        <v>97</v>
      </c>
    </row>
    <row r="9" spans="1:10" ht="48">
      <c r="A9" s="46" t="s">
        <v>5</v>
      </c>
      <c r="B9" s="47" t="s">
        <v>98</v>
      </c>
      <c r="C9" s="47" t="s">
        <v>6</v>
      </c>
      <c r="D9" s="47" t="s">
        <v>7</v>
      </c>
      <c r="E9" s="47" t="s">
        <v>99</v>
      </c>
      <c r="F9" s="46" t="s">
        <v>5</v>
      </c>
      <c r="G9" s="47" t="s">
        <v>98</v>
      </c>
      <c r="H9" s="47" t="s">
        <v>6</v>
      </c>
      <c r="I9" s="47" t="s">
        <v>7</v>
      </c>
      <c r="J9" s="47" t="s">
        <v>99</v>
      </c>
    </row>
    <row r="10" spans="1:10" ht="12">
      <c r="A10" s="48">
        <v>1</v>
      </c>
      <c r="B10" s="48">
        <v>2</v>
      </c>
      <c r="C10" s="7">
        <v>3</v>
      </c>
      <c r="D10" s="7">
        <v>4</v>
      </c>
      <c r="E10" s="7">
        <v>5</v>
      </c>
      <c r="F10" s="48">
        <v>1</v>
      </c>
      <c r="G10" s="48">
        <v>2</v>
      </c>
      <c r="H10" s="7">
        <v>3</v>
      </c>
      <c r="I10" s="7">
        <v>4</v>
      </c>
      <c r="J10" s="7">
        <v>5</v>
      </c>
    </row>
    <row r="11" spans="1:10" ht="17.25" customHeight="1">
      <c r="A11" s="50" t="s">
        <v>101</v>
      </c>
      <c r="B11" s="51"/>
      <c r="C11" s="52">
        <f>SUM(C12:C25)</f>
        <v>787338177</v>
      </c>
      <c r="D11" s="52">
        <f>SUM(D12:D25)</f>
        <v>482163882</v>
      </c>
      <c r="E11" s="53">
        <f>IF(ISERROR(D11/C11)," ",(D11/C11))</f>
        <v>0.6123974374482796</v>
      </c>
      <c r="F11" s="50" t="s">
        <v>101</v>
      </c>
      <c r="G11" s="51"/>
      <c r="H11" s="89">
        <f>SUM(H12:H25)</f>
        <v>787338</v>
      </c>
      <c r="I11" s="89">
        <f>SUM(I12:I25)</f>
        <v>482164</v>
      </c>
      <c r="J11" s="128">
        <f>IF(ISERROR(I11/H11)," ",(I11/H11))</f>
        <v>0.6123977249923159</v>
      </c>
    </row>
    <row r="12" spans="1:10" ht="16.5" customHeight="1">
      <c r="A12" s="55" t="s">
        <v>102</v>
      </c>
      <c r="B12" s="56">
        <v>1</v>
      </c>
      <c r="C12" s="57">
        <v>79465272</v>
      </c>
      <c r="D12" s="57">
        <f>47275815+121485</f>
        <v>47397300</v>
      </c>
      <c r="E12" s="58">
        <f aca="true" t="shared" si="0" ref="E12:E25">IF(ISERROR(D12/C12)," ",(D12/C12))</f>
        <v>0.5964530015073755</v>
      </c>
      <c r="F12" s="60" t="s">
        <v>102</v>
      </c>
      <c r="G12" s="61">
        <v>1</v>
      </c>
      <c r="H12" s="96">
        <f>ROUND(C12/1000,)</f>
        <v>79465</v>
      </c>
      <c r="I12" s="96">
        <f>ROUND(D12/1000,)</f>
        <v>47397</v>
      </c>
      <c r="J12" s="58">
        <f aca="true" t="shared" si="1" ref="J12:J25">IF(ISERROR(I12/H12)," ",(I12/H12))</f>
        <v>0.5964512678537721</v>
      </c>
    </row>
    <row r="13" spans="1:10" ht="18.75" customHeight="1">
      <c r="A13" s="22" t="s">
        <v>103</v>
      </c>
      <c r="B13" s="56">
        <v>2</v>
      </c>
      <c r="C13" s="57">
        <v>32777333</v>
      </c>
      <c r="D13" s="57">
        <f>16560614</f>
        <v>16560614</v>
      </c>
      <c r="E13" s="58">
        <f t="shared" si="0"/>
        <v>0.505245927116767</v>
      </c>
      <c r="F13" s="21" t="s">
        <v>103</v>
      </c>
      <c r="G13" s="61">
        <v>2</v>
      </c>
      <c r="H13" s="96">
        <f aca="true" t="shared" si="2" ref="H13:H23">ROUND(C13/1000,)</f>
        <v>32777</v>
      </c>
      <c r="I13" s="96">
        <f>ROUND(D13/1000,0)</f>
        <v>16561</v>
      </c>
      <c r="J13" s="58">
        <f t="shared" si="1"/>
        <v>0.5052628367452787</v>
      </c>
    </row>
    <row r="14" spans="1:10" ht="17.25" customHeight="1">
      <c r="A14" s="22" t="s">
        <v>104</v>
      </c>
      <c r="B14" s="56">
        <v>3</v>
      </c>
      <c r="C14" s="57">
        <v>110969904</v>
      </c>
      <c r="D14" s="57">
        <f>69897422</f>
        <v>69897422</v>
      </c>
      <c r="E14" s="58">
        <f t="shared" si="0"/>
        <v>0.6298772863676624</v>
      </c>
      <c r="F14" s="21" t="s">
        <v>104</v>
      </c>
      <c r="G14" s="61">
        <v>3</v>
      </c>
      <c r="H14" s="96">
        <f t="shared" si="2"/>
        <v>110970</v>
      </c>
      <c r="I14" s="96">
        <f>ROUND(D14/1000,0)</f>
        <v>69897</v>
      </c>
      <c r="J14" s="58">
        <f t="shared" si="1"/>
        <v>0.6298729386320627</v>
      </c>
    </row>
    <row r="15" spans="1:10" ht="18" customHeight="1">
      <c r="A15" s="22" t="s">
        <v>169</v>
      </c>
      <c r="B15" s="56">
        <v>4</v>
      </c>
      <c r="C15" s="57">
        <v>79981029</v>
      </c>
      <c r="D15" s="57">
        <f>50080843+24006</f>
        <v>50104849</v>
      </c>
      <c r="E15" s="58">
        <f t="shared" si="0"/>
        <v>0.6264591694612981</v>
      </c>
      <c r="F15" s="21" t="s">
        <v>169</v>
      </c>
      <c r="G15" s="61">
        <v>4</v>
      </c>
      <c r="H15" s="96">
        <f t="shared" si="2"/>
        <v>79981</v>
      </c>
      <c r="I15" s="96">
        <f aca="true" t="shared" si="3" ref="I15:I24">ROUND(D15/1000,0)</f>
        <v>50105</v>
      </c>
      <c r="J15" s="58">
        <f t="shared" si="1"/>
        <v>0.6264612845550819</v>
      </c>
    </row>
    <row r="16" spans="1:10" ht="18" customHeight="1">
      <c r="A16" s="22" t="s">
        <v>107</v>
      </c>
      <c r="B16" s="56">
        <v>5</v>
      </c>
      <c r="C16" s="57">
        <v>69894305</v>
      </c>
      <c r="D16" s="57">
        <v>46565541</v>
      </c>
      <c r="E16" s="58">
        <f t="shared" si="0"/>
        <v>0.6662279709341126</v>
      </c>
      <c r="F16" s="21" t="s">
        <v>107</v>
      </c>
      <c r="G16" s="61">
        <v>5</v>
      </c>
      <c r="H16" s="96">
        <f t="shared" si="2"/>
        <v>69894</v>
      </c>
      <c r="I16" s="96">
        <f t="shared" si="3"/>
        <v>46566</v>
      </c>
      <c r="J16" s="58">
        <f t="shared" si="1"/>
        <v>0.6662374452742724</v>
      </c>
    </row>
    <row r="17" spans="1:10" ht="20.25" customHeight="1">
      <c r="A17" s="22" t="s">
        <v>108</v>
      </c>
      <c r="B17" s="56">
        <v>6</v>
      </c>
      <c r="C17" s="57">
        <v>82905191</v>
      </c>
      <c r="D17" s="57">
        <v>54509142</v>
      </c>
      <c r="E17" s="58">
        <f t="shared" si="0"/>
        <v>0.6574876837326146</v>
      </c>
      <c r="F17" s="21" t="s">
        <v>108</v>
      </c>
      <c r="G17" s="61">
        <v>6</v>
      </c>
      <c r="H17" s="96">
        <f t="shared" si="2"/>
        <v>82905</v>
      </c>
      <c r="I17" s="96">
        <f t="shared" si="3"/>
        <v>54509</v>
      </c>
      <c r="J17" s="58">
        <f t="shared" si="1"/>
        <v>0.6574874856763766</v>
      </c>
    </row>
    <row r="18" spans="1:10" ht="19.5" customHeight="1">
      <c r="A18" s="23" t="s">
        <v>109</v>
      </c>
      <c r="B18" s="56">
        <v>7</v>
      </c>
      <c r="C18" s="57">
        <v>4290215</v>
      </c>
      <c r="D18" s="57">
        <v>2517288</v>
      </c>
      <c r="E18" s="58">
        <f t="shared" si="0"/>
        <v>0.5867510136438384</v>
      </c>
      <c r="F18" s="63" t="s">
        <v>109</v>
      </c>
      <c r="G18" s="61">
        <v>7</v>
      </c>
      <c r="H18" s="96">
        <f t="shared" si="2"/>
        <v>4290</v>
      </c>
      <c r="I18" s="96">
        <f t="shared" si="3"/>
        <v>2517</v>
      </c>
      <c r="J18" s="58">
        <f t="shared" si="1"/>
        <v>0.5867132867132867</v>
      </c>
    </row>
    <row r="19" spans="1:10" ht="18.75" customHeight="1">
      <c r="A19" s="22" t="s">
        <v>110</v>
      </c>
      <c r="B19" s="56">
        <v>8</v>
      </c>
      <c r="C19" s="57">
        <v>20899717</v>
      </c>
      <c r="D19" s="57">
        <f>13841309+188</f>
        <v>13841497</v>
      </c>
      <c r="E19" s="58">
        <f t="shared" si="0"/>
        <v>0.6622815514678979</v>
      </c>
      <c r="F19" s="21" t="s">
        <v>110</v>
      </c>
      <c r="G19" s="61">
        <v>8</v>
      </c>
      <c r="H19" s="96">
        <f t="shared" si="2"/>
        <v>20900</v>
      </c>
      <c r="I19" s="96">
        <f>ROUND(D19/1000,0)+1</f>
        <v>13842</v>
      </c>
      <c r="J19" s="58">
        <f t="shared" si="1"/>
        <v>0.6622966507177034</v>
      </c>
    </row>
    <row r="20" spans="1:10" ht="19.5" customHeight="1">
      <c r="A20" s="22" t="s">
        <v>111</v>
      </c>
      <c r="B20" s="56">
        <v>9</v>
      </c>
      <c r="C20" s="57">
        <v>169047</v>
      </c>
      <c r="D20" s="57">
        <f>101356</f>
        <v>101356</v>
      </c>
      <c r="E20" s="58">
        <f t="shared" si="0"/>
        <v>0.599572899844422</v>
      </c>
      <c r="F20" s="21" t="s">
        <v>111</v>
      </c>
      <c r="G20" s="61">
        <v>9</v>
      </c>
      <c r="H20" s="96">
        <f t="shared" si="2"/>
        <v>169</v>
      </c>
      <c r="I20" s="96">
        <f t="shared" si="3"/>
        <v>101</v>
      </c>
      <c r="J20" s="58">
        <f t="shared" si="1"/>
        <v>0.5976331360946746</v>
      </c>
    </row>
    <row r="21" spans="1:10" ht="19.5" customHeight="1">
      <c r="A21" s="23" t="s">
        <v>112</v>
      </c>
      <c r="B21" s="56">
        <v>10</v>
      </c>
      <c r="C21" s="57">
        <v>56178566</v>
      </c>
      <c r="D21" s="57">
        <v>33854183</v>
      </c>
      <c r="E21" s="58">
        <f t="shared" si="0"/>
        <v>0.6026174288606797</v>
      </c>
      <c r="F21" s="63" t="s">
        <v>112</v>
      </c>
      <c r="G21" s="61">
        <v>10</v>
      </c>
      <c r="H21" s="96">
        <f t="shared" si="2"/>
        <v>56179</v>
      </c>
      <c r="I21" s="96">
        <f t="shared" si="3"/>
        <v>33854</v>
      </c>
      <c r="J21" s="58">
        <f t="shared" si="1"/>
        <v>0.602609516011321</v>
      </c>
    </row>
    <row r="22" spans="1:10" ht="20.25" customHeight="1">
      <c r="A22" s="23" t="s">
        <v>113</v>
      </c>
      <c r="B22" s="56">
        <v>11</v>
      </c>
      <c r="C22" s="57">
        <v>833073</v>
      </c>
      <c r="D22" s="57">
        <v>442540</v>
      </c>
      <c r="E22" s="58">
        <f t="shared" si="0"/>
        <v>0.5312139512383669</v>
      </c>
      <c r="F22" s="63" t="s">
        <v>113</v>
      </c>
      <c r="G22" s="61">
        <v>11</v>
      </c>
      <c r="H22" s="96">
        <f t="shared" si="2"/>
        <v>833</v>
      </c>
      <c r="I22" s="96">
        <f t="shared" si="3"/>
        <v>443</v>
      </c>
      <c r="J22" s="58">
        <f t="shared" si="1"/>
        <v>0.531812725090036</v>
      </c>
    </row>
    <row r="23" spans="1:10" ht="19.5" customHeight="1">
      <c r="A23" s="22" t="s">
        <v>114</v>
      </c>
      <c r="B23" s="56">
        <v>12</v>
      </c>
      <c r="C23" s="57">
        <v>8074296</v>
      </c>
      <c r="D23" s="57">
        <v>5242084</v>
      </c>
      <c r="E23" s="58">
        <f t="shared" si="0"/>
        <v>0.6492310908591907</v>
      </c>
      <c r="F23" s="21" t="s">
        <v>114</v>
      </c>
      <c r="G23" s="61">
        <v>12</v>
      </c>
      <c r="H23" s="96">
        <f t="shared" si="2"/>
        <v>8074</v>
      </c>
      <c r="I23" s="96">
        <f t="shared" si="3"/>
        <v>5242</v>
      </c>
      <c r="J23" s="58">
        <f t="shared" si="1"/>
        <v>0.6492444884815457</v>
      </c>
    </row>
    <row r="24" spans="1:10" ht="19.5" customHeight="1">
      <c r="A24" s="22" t="s">
        <v>115</v>
      </c>
      <c r="B24" s="56">
        <v>13</v>
      </c>
      <c r="C24" s="57">
        <v>20209404</v>
      </c>
      <c r="D24" s="57">
        <f>11533082+11274+25799</f>
        <v>11570155</v>
      </c>
      <c r="E24" s="58">
        <f t="shared" si="0"/>
        <v>0.5725134199900205</v>
      </c>
      <c r="F24" s="21" t="s">
        <v>115</v>
      </c>
      <c r="G24" s="61">
        <v>13</v>
      </c>
      <c r="H24" s="96">
        <f>ROUND(C24/1000,)+1</f>
        <v>20210</v>
      </c>
      <c r="I24" s="96">
        <f t="shared" si="3"/>
        <v>11570</v>
      </c>
      <c r="J24" s="58">
        <f t="shared" si="1"/>
        <v>0.5724888668975755</v>
      </c>
    </row>
    <row r="25" spans="1:10" ht="19.5" customHeight="1">
      <c r="A25" s="23" t="s">
        <v>116</v>
      </c>
      <c r="B25" s="56">
        <v>14</v>
      </c>
      <c r="C25" s="57">
        <f>130922701+89768124</f>
        <v>220690825</v>
      </c>
      <c r="D25" s="57">
        <f>84039046+45520865</f>
        <v>129559911</v>
      </c>
      <c r="E25" s="58">
        <f t="shared" si="0"/>
        <v>0.5870652348143608</v>
      </c>
      <c r="F25" s="63" t="s">
        <v>170</v>
      </c>
      <c r="G25" s="61">
        <v>14</v>
      </c>
      <c r="H25" s="96">
        <f>ROUND(C25/1000,)</f>
        <v>220691</v>
      </c>
      <c r="I25" s="96">
        <f>ROUND(D25/1000,0)</f>
        <v>129560</v>
      </c>
      <c r="J25" s="58">
        <f t="shared" si="1"/>
        <v>0.5870651725716046</v>
      </c>
    </row>
    <row r="26" spans="2:10" ht="12.75">
      <c r="B26" s="64"/>
      <c r="C26" s="65"/>
      <c r="D26" s="65"/>
      <c r="E26" s="66"/>
      <c r="G26" s="64"/>
      <c r="H26" s="65"/>
      <c r="I26" s="65"/>
      <c r="J26" s="66"/>
    </row>
    <row r="27" spans="2:10" ht="12.75">
      <c r="B27" s="64"/>
      <c r="C27" s="65"/>
      <c r="D27" s="65"/>
      <c r="E27" s="66"/>
      <c r="G27" s="64"/>
      <c r="H27" s="65"/>
      <c r="I27" s="65"/>
      <c r="J27" s="66"/>
    </row>
    <row r="28" spans="1:10" ht="14.25">
      <c r="A28" s="67"/>
      <c r="B28" s="68"/>
      <c r="C28" s="65"/>
      <c r="D28" s="65"/>
      <c r="E28" s="66"/>
      <c r="F28" s="67"/>
      <c r="G28" s="68"/>
      <c r="H28" s="65"/>
      <c r="I28" s="65"/>
      <c r="J28" s="66"/>
    </row>
    <row r="29" spans="1:10" ht="14.25">
      <c r="A29" s="67"/>
      <c r="B29" s="68"/>
      <c r="C29" s="65"/>
      <c r="D29" s="65"/>
      <c r="E29" s="66"/>
      <c r="F29" s="29" t="s">
        <v>171</v>
      </c>
      <c r="G29" s="68"/>
      <c r="H29" s="65"/>
      <c r="I29" s="65"/>
      <c r="J29" s="66"/>
    </row>
    <row r="30" spans="1:10" ht="14.25">
      <c r="A30" s="67"/>
      <c r="B30" s="68"/>
      <c r="C30" s="65"/>
      <c r="D30" s="65"/>
      <c r="E30" s="66"/>
      <c r="F30" s="67"/>
      <c r="G30" s="68"/>
      <c r="H30" s="65"/>
      <c r="I30" s="65"/>
      <c r="J30" s="66"/>
    </row>
    <row r="31" spans="1:10" ht="14.25">
      <c r="A31" s="67"/>
      <c r="B31" s="68"/>
      <c r="C31" s="65"/>
      <c r="D31" s="65"/>
      <c r="E31" s="66"/>
      <c r="F31" s="67"/>
      <c r="G31" s="68"/>
      <c r="H31" s="65"/>
      <c r="I31" s="65"/>
      <c r="J31" s="66"/>
    </row>
    <row r="32" spans="1:10" ht="14.25">
      <c r="A32" s="67"/>
      <c r="B32" s="68"/>
      <c r="C32" s="65"/>
      <c r="D32" s="65"/>
      <c r="E32" s="66"/>
      <c r="F32" s="67"/>
      <c r="G32" s="68"/>
      <c r="H32" s="65"/>
      <c r="I32" s="65"/>
      <c r="J32" s="66"/>
    </row>
    <row r="33" spans="1:10" ht="14.25">
      <c r="A33" s="67"/>
      <c r="B33" s="68"/>
      <c r="C33" s="65"/>
      <c r="D33" s="65"/>
      <c r="E33" s="66"/>
      <c r="F33" s="67"/>
      <c r="G33" s="68"/>
      <c r="H33" s="65"/>
      <c r="I33" s="65"/>
      <c r="J33" s="66"/>
    </row>
    <row r="34" spans="1:10" ht="14.25">
      <c r="A34" s="67"/>
      <c r="B34" s="68"/>
      <c r="C34" s="65"/>
      <c r="D34" s="65"/>
      <c r="E34" s="66"/>
      <c r="F34" s="67"/>
      <c r="G34" s="68"/>
      <c r="H34" s="65"/>
      <c r="I34" s="65"/>
      <c r="J34" s="66"/>
    </row>
    <row r="35" spans="1:10" ht="14.25">
      <c r="A35" s="67"/>
      <c r="B35" s="68"/>
      <c r="C35" s="65"/>
      <c r="D35" s="65"/>
      <c r="E35" s="66"/>
      <c r="F35" s="67"/>
      <c r="G35" s="68"/>
      <c r="H35" s="65"/>
      <c r="I35" s="65"/>
      <c r="J35" s="66"/>
    </row>
    <row r="36" spans="1:10" ht="12">
      <c r="A36" s="29" t="s">
        <v>172</v>
      </c>
      <c r="B36" s="64"/>
      <c r="C36" s="69" t="s">
        <v>119</v>
      </c>
      <c r="D36" s="69"/>
      <c r="E36" s="66"/>
      <c r="F36" s="29" t="s">
        <v>173</v>
      </c>
      <c r="G36" s="64"/>
      <c r="H36" s="69" t="s">
        <v>120</v>
      </c>
      <c r="I36" s="69"/>
      <c r="J36" s="66"/>
    </row>
    <row r="37" spans="2:10" ht="12">
      <c r="B37" s="64"/>
      <c r="C37" s="69"/>
      <c r="D37" s="69"/>
      <c r="E37" s="66"/>
      <c r="G37" s="64"/>
      <c r="H37" s="69"/>
      <c r="I37" s="69"/>
      <c r="J37" s="66"/>
    </row>
    <row r="38" spans="3:10" ht="12">
      <c r="C38" s="69"/>
      <c r="D38" s="69"/>
      <c r="E38" s="70"/>
      <c r="H38" s="69"/>
      <c r="I38" s="69"/>
      <c r="J38" s="70"/>
    </row>
    <row r="39" spans="3:10" ht="12">
      <c r="C39" s="69"/>
      <c r="D39" s="69"/>
      <c r="E39" s="70"/>
      <c r="H39" s="69"/>
      <c r="I39" s="69"/>
      <c r="J39" s="70"/>
    </row>
    <row r="40" spans="1:10" ht="12.75">
      <c r="A40" s="29" t="s">
        <v>121</v>
      </c>
      <c r="C40" s="65"/>
      <c r="D40" s="65"/>
      <c r="E40" s="66"/>
      <c r="F40" s="29" t="s">
        <v>121</v>
      </c>
      <c r="H40" s="65"/>
      <c r="I40" s="65"/>
      <c r="J40" s="66"/>
    </row>
    <row r="41" spans="1:10" ht="14.25">
      <c r="A41" s="29" t="s">
        <v>122</v>
      </c>
      <c r="B41" s="67"/>
      <c r="C41" s="65"/>
      <c r="D41" s="65"/>
      <c r="E41" s="66"/>
      <c r="F41" s="29" t="s">
        <v>90</v>
      </c>
      <c r="G41" s="67"/>
      <c r="H41" s="65"/>
      <c r="I41" s="65"/>
      <c r="J41" s="66"/>
    </row>
    <row r="42" spans="1:10" ht="14.25">
      <c r="A42" s="67"/>
      <c r="B42" s="67"/>
      <c r="C42" s="65"/>
      <c r="D42" s="65"/>
      <c r="E42" s="66"/>
      <c r="F42" s="67"/>
      <c r="G42" s="67"/>
      <c r="H42" s="65"/>
      <c r="I42" s="65"/>
      <c r="J42" s="66"/>
    </row>
    <row r="43" spans="1:10" ht="14.25">
      <c r="A43" s="67"/>
      <c r="B43" s="67"/>
      <c r="C43" s="65"/>
      <c r="D43" s="65"/>
      <c r="E43" s="66"/>
      <c r="F43" s="67"/>
      <c r="G43" s="67"/>
      <c r="H43" s="65"/>
      <c r="I43" s="65"/>
      <c r="J43" s="66"/>
    </row>
    <row r="44" spans="1:10" ht="14.25">
      <c r="A44" s="67"/>
      <c r="B44" s="67"/>
      <c r="C44" s="65"/>
      <c r="D44" s="65"/>
      <c r="E44" s="66"/>
      <c r="F44" s="67"/>
      <c r="G44" s="67"/>
      <c r="H44" s="65"/>
      <c r="I44" s="65"/>
      <c r="J44" s="66"/>
    </row>
    <row r="45" spans="1:10" ht="14.25">
      <c r="A45" s="67"/>
      <c r="B45" s="67"/>
      <c r="C45" s="65"/>
      <c r="D45" s="65"/>
      <c r="E45" s="66"/>
      <c r="F45" s="67"/>
      <c r="G45" s="67"/>
      <c r="H45" s="65"/>
      <c r="I45" s="65"/>
      <c r="J45" s="66"/>
    </row>
    <row r="46" spans="1:10" ht="14.25">
      <c r="A46" s="67"/>
      <c r="B46" s="67"/>
      <c r="C46" s="65"/>
      <c r="D46" s="65"/>
      <c r="E46" s="66"/>
      <c r="F46" s="67"/>
      <c r="G46" s="67"/>
      <c r="H46" s="65"/>
      <c r="I46" s="65"/>
      <c r="J46" s="66"/>
    </row>
    <row r="47" spans="1:10" ht="14.25">
      <c r="A47" s="67"/>
      <c r="B47" s="67"/>
      <c r="C47" s="65"/>
      <c r="D47" s="65"/>
      <c r="E47" s="66"/>
      <c r="F47" s="67"/>
      <c r="G47" s="67"/>
      <c r="H47" s="65"/>
      <c r="I47" s="65"/>
      <c r="J47" s="66"/>
    </row>
    <row r="48" spans="1:10" ht="12.75">
      <c r="A48" s="29" t="s">
        <v>121</v>
      </c>
      <c r="C48" s="65"/>
      <c r="D48" s="65"/>
      <c r="E48" s="66"/>
      <c r="F48" s="29" t="s">
        <v>121</v>
      </c>
      <c r="H48" s="65"/>
      <c r="I48" s="65"/>
      <c r="J48" s="66"/>
    </row>
    <row r="49" spans="1:10" ht="12.75">
      <c r="A49" s="29" t="s">
        <v>174</v>
      </c>
      <c r="C49" s="65"/>
      <c r="D49" s="65"/>
      <c r="E49" s="66"/>
      <c r="F49" s="29" t="s">
        <v>174</v>
      </c>
      <c r="H49" s="65"/>
      <c r="I49" s="65"/>
      <c r="J49" s="66"/>
    </row>
    <row r="50" spans="3:10" ht="12.75">
      <c r="C50" s="65"/>
      <c r="D50" s="65"/>
      <c r="E50" s="66"/>
      <c r="H50" s="65"/>
      <c r="I50" s="65"/>
      <c r="J50" s="66"/>
    </row>
    <row r="51" spans="3:10" ht="12.75">
      <c r="C51" s="65"/>
      <c r="D51" s="65"/>
      <c r="E51" s="66"/>
      <c r="H51" s="65"/>
      <c r="I51" s="65"/>
      <c r="J51" s="66"/>
    </row>
    <row r="52" spans="3:10" ht="12.75">
      <c r="C52" s="65"/>
      <c r="D52" s="65"/>
      <c r="E52" s="66"/>
      <c r="H52" s="65"/>
      <c r="I52" s="65"/>
      <c r="J52" s="66"/>
    </row>
    <row r="53" spans="3:10" ht="12.75">
      <c r="C53" s="69"/>
      <c r="D53" s="65"/>
      <c r="E53" s="66"/>
      <c r="H53" s="69"/>
      <c r="I53" s="65"/>
      <c r="J53" s="66"/>
    </row>
    <row r="54" spans="2:9" ht="12.75">
      <c r="B54" s="65"/>
      <c r="C54" s="65"/>
      <c r="D54" s="66"/>
      <c r="G54" s="65"/>
      <c r="H54" s="65"/>
      <c r="I54" s="66"/>
    </row>
    <row r="55" spans="2:9" ht="12.75">
      <c r="B55" s="65"/>
      <c r="C55" s="65"/>
      <c r="D55" s="66"/>
      <c r="G55" s="65"/>
      <c r="H55" s="65"/>
      <c r="I55" s="66"/>
    </row>
    <row r="56" spans="2:9" ht="12.75">
      <c r="B56" s="65"/>
      <c r="C56" s="65"/>
      <c r="D56" s="66"/>
      <c r="G56" s="65"/>
      <c r="H56" s="65"/>
      <c r="I56" s="66"/>
    </row>
    <row r="57" spans="2:9" ht="12.75">
      <c r="B57" s="69"/>
      <c r="C57" s="65"/>
      <c r="D57" s="66"/>
      <c r="G57" s="69"/>
      <c r="H57" s="65"/>
      <c r="I57" s="66"/>
    </row>
    <row r="58" spans="2:9" ht="12.75">
      <c r="B58" s="69"/>
      <c r="C58" s="65"/>
      <c r="D58" s="66"/>
      <c r="G58" s="69"/>
      <c r="H58" s="65"/>
      <c r="I58" s="66"/>
    </row>
    <row r="59" spans="2:9" ht="12.75">
      <c r="B59" s="69"/>
      <c r="C59" s="65"/>
      <c r="D59" s="66"/>
      <c r="G59" s="69"/>
      <c r="H59" s="65"/>
      <c r="I59" s="66"/>
    </row>
    <row r="60" spans="2:9" ht="12.75">
      <c r="B60" s="69"/>
      <c r="C60" s="1"/>
      <c r="D60" s="66"/>
      <c r="G60" s="69"/>
      <c r="H60" s="1"/>
      <c r="I60" s="66"/>
    </row>
    <row r="61" spans="2:9" ht="12.75">
      <c r="B61" s="69"/>
      <c r="C61" s="1"/>
      <c r="D61" s="66"/>
      <c r="G61" s="69"/>
      <c r="H61" s="1"/>
      <c r="I61" s="66"/>
    </row>
    <row r="62" spans="2:9" ht="12.75">
      <c r="B62" s="69"/>
      <c r="C62" s="1"/>
      <c r="D62" s="66"/>
      <c r="G62" s="69"/>
      <c r="H62" s="1"/>
      <c r="I62" s="66"/>
    </row>
    <row r="63" spans="2:9" ht="12.75">
      <c r="B63" s="69"/>
      <c r="C63" s="1"/>
      <c r="D63" s="66"/>
      <c r="G63" s="69"/>
      <c r="H63" s="1"/>
      <c r="I63" s="66"/>
    </row>
    <row r="64" spans="2:9" ht="12.75">
      <c r="B64" s="69"/>
      <c r="C64" s="1"/>
      <c r="D64" s="66"/>
      <c r="G64" s="69"/>
      <c r="H64" s="1"/>
      <c r="I64" s="66"/>
    </row>
    <row r="65" spans="2:9" ht="12.75">
      <c r="B65" s="69"/>
      <c r="C65" s="1"/>
      <c r="D65" s="66"/>
      <c r="G65" s="69"/>
      <c r="H65" s="1"/>
      <c r="I65" s="66"/>
    </row>
    <row r="66" spans="2:9" ht="12.75">
      <c r="B66" s="69"/>
      <c r="C66" s="1"/>
      <c r="D66" s="66"/>
      <c r="G66" s="69"/>
      <c r="H66" s="1"/>
      <c r="I66" s="66"/>
    </row>
    <row r="67" spans="2:9" ht="12.75">
      <c r="B67" s="69"/>
      <c r="C67" s="1"/>
      <c r="D67" s="66"/>
      <c r="G67" s="69"/>
      <c r="H67" s="1"/>
      <c r="I67" s="66"/>
    </row>
    <row r="68" spans="2:9" ht="12.75">
      <c r="B68" s="69"/>
      <c r="C68" s="1"/>
      <c r="D68" s="66"/>
      <c r="G68" s="69"/>
      <c r="H68" s="1"/>
      <c r="I68" s="66"/>
    </row>
    <row r="69" spans="2:9" ht="12.75">
      <c r="B69" s="69"/>
      <c r="C69" s="1"/>
      <c r="D69" s="66"/>
      <c r="G69" s="69"/>
      <c r="H69" s="1"/>
      <c r="I69" s="66"/>
    </row>
    <row r="70" spans="2:9" ht="12.75">
      <c r="B70" s="69"/>
      <c r="C70" s="1"/>
      <c r="D70" s="66"/>
      <c r="G70" s="69"/>
      <c r="H70" s="1"/>
      <c r="I70" s="66"/>
    </row>
    <row r="71" spans="2:9" ht="12.75">
      <c r="B71" s="69"/>
      <c r="C71" s="1"/>
      <c r="D71" s="66"/>
      <c r="G71" s="69"/>
      <c r="H71" s="1"/>
      <c r="I71" s="66"/>
    </row>
    <row r="72" spans="2:9" ht="12.75">
      <c r="B72" s="69"/>
      <c r="C72" s="1"/>
      <c r="D72" s="66"/>
      <c r="G72" s="69"/>
      <c r="H72" s="1"/>
      <c r="I72" s="66"/>
    </row>
    <row r="73" spans="2:9" ht="12.75">
      <c r="B73" s="69"/>
      <c r="C73" s="1"/>
      <c r="D73" s="66"/>
      <c r="G73" s="69"/>
      <c r="H73" s="1"/>
      <c r="I73" s="66"/>
    </row>
    <row r="74" spans="2:9" ht="12.75">
      <c r="B74" s="69"/>
      <c r="C74" s="1"/>
      <c r="D74" s="66"/>
      <c r="G74" s="69"/>
      <c r="H74" s="1"/>
      <c r="I74" s="66"/>
    </row>
    <row r="75" spans="2:9" ht="12.75">
      <c r="B75" s="69"/>
      <c r="C75" s="1"/>
      <c r="D75" s="66"/>
      <c r="G75" s="69"/>
      <c r="H75" s="1"/>
      <c r="I75" s="66"/>
    </row>
    <row r="76" spans="2:9" ht="12.75">
      <c r="B76" s="69"/>
      <c r="C76" s="1"/>
      <c r="D76" s="66"/>
      <c r="G76" s="69"/>
      <c r="H76" s="1"/>
      <c r="I76" s="66"/>
    </row>
    <row r="77" spans="2:9" ht="12.75">
      <c r="B77" s="69"/>
      <c r="C77" s="1"/>
      <c r="D77" s="66"/>
      <c r="G77" s="69"/>
      <c r="H77" s="1"/>
      <c r="I77" s="66"/>
    </row>
    <row r="78" spans="2:9" ht="12.75">
      <c r="B78" s="69"/>
      <c r="C78" s="1"/>
      <c r="D78" s="66"/>
      <c r="G78" s="69"/>
      <c r="H78" s="1"/>
      <c r="I78" s="66"/>
    </row>
    <row r="79" spans="2:9" ht="12.75">
      <c r="B79" s="69"/>
      <c r="C79" s="1"/>
      <c r="D79" s="66"/>
      <c r="G79" s="69"/>
      <c r="H79" s="1"/>
      <c r="I79" s="66"/>
    </row>
    <row r="80" spans="2:9" ht="12">
      <c r="B80" s="69"/>
      <c r="D80" s="66"/>
      <c r="G80" s="69"/>
      <c r="I80" s="66"/>
    </row>
    <row r="81" spans="2:9" ht="12">
      <c r="B81" s="69"/>
      <c r="D81" s="66"/>
      <c r="G81" s="69"/>
      <c r="I81" s="66"/>
    </row>
    <row r="82" spans="2:9" ht="12">
      <c r="B82" s="69"/>
      <c r="D82" s="66"/>
      <c r="G82" s="69"/>
      <c r="I82" s="66"/>
    </row>
    <row r="83" spans="2:9" ht="12">
      <c r="B83" s="69"/>
      <c r="D83" s="66"/>
      <c r="G83" s="69"/>
      <c r="I83" s="66"/>
    </row>
    <row r="84" spans="2:9" ht="12">
      <c r="B84" s="69"/>
      <c r="D84" s="66"/>
      <c r="G84" s="69"/>
      <c r="I84" s="66"/>
    </row>
    <row r="85" spans="2:9" ht="12">
      <c r="B85" s="69"/>
      <c r="D85" s="66"/>
      <c r="G85" s="69"/>
      <c r="I85" s="66"/>
    </row>
    <row r="86" spans="2:9" ht="12">
      <c r="B86" s="69"/>
      <c r="D86" s="66"/>
      <c r="G86" s="69"/>
      <c r="I86" s="66"/>
    </row>
    <row r="87" spans="2:9" ht="12">
      <c r="B87" s="69"/>
      <c r="D87" s="66"/>
      <c r="G87" s="69"/>
      <c r="I87" s="66"/>
    </row>
    <row r="88" spans="2:9" ht="12">
      <c r="B88" s="69"/>
      <c r="D88" s="66"/>
      <c r="G88" s="69"/>
      <c r="I88" s="66"/>
    </row>
    <row r="89" spans="2:9" ht="12">
      <c r="B89" s="69"/>
      <c r="D89" s="66"/>
      <c r="G89" s="69"/>
      <c r="I89" s="66"/>
    </row>
    <row r="90" spans="2:9" ht="12">
      <c r="B90" s="69"/>
      <c r="D90" s="66"/>
      <c r="G90" s="69"/>
      <c r="I90" s="66"/>
    </row>
    <row r="91" spans="2:9" ht="12">
      <c r="B91" s="69"/>
      <c r="D91" s="66"/>
      <c r="G91" s="69"/>
      <c r="I91" s="66"/>
    </row>
    <row r="92" spans="2:9" ht="12">
      <c r="B92" s="69"/>
      <c r="D92" s="66"/>
      <c r="G92" s="69"/>
      <c r="I92" s="66"/>
    </row>
    <row r="93" spans="2:9" ht="12">
      <c r="B93" s="69"/>
      <c r="D93" s="66"/>
      <c r="G93" s="69"/>
      <c r="I93" s="66"/>
    </row>
    <row r="94" spans="2:9" ht="12">
      <c r="B94" s="69"/>
      <c r="D94" s="66"/>
      <c r="G94" s="69"/>
      <c r="I94" s="66"/>
    </row>
    <row r="95" spans="2:9" ht="12">
      <c r="B95" s="69"/>
      <c r="D95" s="66"/>
      <c r="G95" s="69"/>
      <c r="I95" s="66"/>
    </row>
    <row r="96" spans="2:9" ht="12">
      <c r="B96" s="69"/>
      <c r="D96" s="66"/>
      <c r="G96" s="69"/>
      <c r="I96" s="66"/>
    </row>
    <row r="97" spans="2:9" ht="12">
      <c r="B97" s="69"/>
      <c r="D97" s="66"/>
      <c r="G97" s="69"/>
      <c r="I97" s="66"/>
    </row>
    <row r="98" spans="2:9" ht="12">
      <c r="B98" s="69"/>
      <c r="D98" s="66"/>
      <c r="G98" s="69"/>
      <c r="I98" s="66"/>
    </row>
    <row r="99" spans="2:9" ht="12">
      <c r="B99" s="69"/>
      <c r="D99" s="66"/>
      <c r="G99" s="69"/>
      <c r="I99" s="66"/>
    </row>
    <row r="100" spans="2:9" ht="12">
      <c r="B100" s="69"/>
      <c r="D100" s="66"/>
      <c r="G100" s="69"/>
      <c r="I100" s="66"/>
    </row>
    <row r="101" spans="2:9" ht="12">
      <c r="B101" s="69"/>
      <c r="D101" s="66"/>
      <c r="G101" s="69"/>
      <c r="I101" s="66"/>
    </row>
    <row r="102" spans="2:9" ht="12">
      <c r="B102" s="69"/>
      <c r="D102" s="66"/>
      <c r="G102" s="69"/>
      <c r="I102" s="66"/>
    </row>
    <row r="103" spans="2:9" ht="12">
      <c r="B103" s="69"/>
      <c r="D103" s="66"/>
      <c r="G103" s="69"/>
      <c r="I103" s="66"/>
    </row>
    <row r="104" spans="2:9" ht="12">
      <c r="B104" s="69"/>
      <c r="D104" s="66"/>
      <c r="G104" s="69"/>
      <c r="I104" s="66"/>
    </row>
    <row r="105" spans="2:9" ht="12">
      <c r="B105" s="69"/>
      <c r="D105" s="66"/>
      <c r="G105" s="69"/>
      <c r="I105" s="66"/>
    </row>
    <row r="106" spans="2:9" ht="12">
      <c r="B106" s="69"/>
      <c r="D106" s="66"/>
      <c r="G106" s="69"/>
      <c r="I106" s="66"/>
    </row>
    <row r="107" spans="2:7" ht="12">
      <c r="B107" s="69"/>
      <c r="G107" s="69"/>
    </row>
    <row r="108" spans="2:7" ht="12">
      <c r="B108" s="69"/>
      <c r="G108" s="69"/>
    </row>
    <row r="109" spans="2:7" ht="12">
      <c r="B109" s="69"/>
      <c r="G109" s="69"/>
    </row>
    <row r="110" spans="2:7" ht="12">
      <c r="B110" s="69"/>
      <c r="G110" s="69"/>
    </row>
    <row r="111" spans="2:7" ht="12">
      <c r="B111" s="69"/>
      <c r="G111" s="69"/>
    </row>
    <row r="112" spans="2:7" ht="12">
      <c r="B112" s="69"/>
      <c r="G112" s="69"/>
    </row>
    <row r="113" spans="2:7" ht="12">
      <c r="B113" s="69"/>
      <c r="G113" s="69"/>
    </row>
    <row r="114" spans="2:7" ht="12">
      <c r="B114" s="69"/>
      <c r="G114" s="69"/>
    </row>
    <row r="115" spans="2:7" ht="12">
      <c r="B115" s="69"/>
      <c r="G115" s="69"/>
    </row>
  </sheetData>
  <mergeCells count="2">
    <mergeCell ref="F3:J3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IlzeM</cp:lastModifiedBy>
  <dcterms:created xsi:type="dcterms:W3CDTF">1999-09-16T05:40:00Z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