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svf-krit" sheetId="11" r:id="rId11"/>
    <sheet name="10.tabula" sheetId="12" r:id="rId12"/>
    <sheet name="11.tabula" sheetId="13" r:id="rId13"/>
    <sheet name="12.tabula" sheetId="14" r:id="rId14"/>
    <sheet name="13.tabula" sheetId="15" r:id="rId15"/>
    <sheet name="14.tabula" sheetId="16" r:id="rId16"/>
    <sheet name="15.tabula" sheetId="17" r:id="rId17"/>
    <sheet name="16.tabula" sheetId="18" r:id="rId18"/>
    <sheet name="17.tabula" sheetId="19" r:id="rId19"/>
    <sheet name="18.tabula" sheetId="20" r:id="rId20"/>
    <sheet name="19.tabula" sheetId="21" r:id="rId21"/>
  </sheets>
  <definedNames>
    <definedName name="_xlnm.Print_Area" localSheetId="12">'11.tabula'!$A$1:$E$59</definedName>
    <definedName name="_xlnm.Print_Area" localSheetId="13">'12.tabula'!$A$1:$F$48</definedName>
    <definedName name="_xlnm.Print_Area" localSheetId="14">'13.tabula'!$A$1:$E$48</definedName>
    <definedName name="_xlnm.Print_Area" localSheetId="15">'14.tabula'!$A$1:$E$34</definedName>
    <definedName name="_xlnm.Print_Area" localSheetId="16">'15.tabula'!$A$1:$E$49</definedName>
    <definedName name="_xlnm.Print_Titles" localSheetId="11">'10.tabula'!$5:$7</definedName>
    <definedName name="_xlnm.Print_Titles" localSheetId="17">'16.tabula'!$8:$11</definedName>
    <definedName name="_xlnm.Print_Titles" localSheetId="18">'17.tabula'!$8:$11</definedName>
    <definedName name="_xlnm.Print_Titles" localSheetId="20">'19.tabula'!$8:$10</definedName>
  </definedNames>
  <calcPr fullCalcOnLoad="1"/>
</workbook>
</file>

<file path=xl/sharedStrings.xml><?xml version="1.0" encoding="utf-8"?>
<sst xmlns="http://schemas.openxmlformats.org/spreadsheetml/2006/main" count="1519" uniqueCount="753">
  <si>
    <t>Valsts kases oficiālais mēneša pārskats par valsts kopbudžeta izpildi                             ( 1999.gada janvāris - decembris 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</si>
  <si>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</si>
  <si>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</si>
  <si>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</si>
  <si>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</si>
  <si>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</si>
  <si>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Decembra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</si>
  <si>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</si>
  <si>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</si>
  <si>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</si>
  <si>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</si>
  <si>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</si>
  <si>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</si>
  <si>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</si>
  <si>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</si>
  <si>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</si>
  <si>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</si>
  <si>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</si>
  <si>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</si>
  <si>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</si>
  <si>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</si>
  <si>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</si>
  <si>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</si>
  <si>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</si>
  <si>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</si>
  <si>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</si>
  <si>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</si>
  <si>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</si>
  <si>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</si>
  <si>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</si>
  <si>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</si>
  <si>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</si>
  <si>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</si>
  <si>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</si>
  <si>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</si>
  <si>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</si>
  <si>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</si>
  <si>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</si>
  <si>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</si>
  <si>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</si>
  <si>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</si>
  <si>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</si>
  <si>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                                                                           A.Veiss</t>
  </si>
  <si>
    <t>Valsts kase/Pārskatu departaments</t>
  </si>
  <si>
    <t>2000.gada 15.janvāris</t>
  </si>
  <si>
    <t>Starptautiskā Valūtas Fonda izpildes kritēriji</t>
  </si>
  <si>
    <t>uz 2000. gada 1. janvāri</t>
  </si>
  <si>
    <t>Mainīgie lielumi un periodi</t>
  </si>
  <si>
    <t>Mērķis</t>
  </si>
  <si>
    <t>Rezultāts</t>
  </si>
  <si>
    <t>I.</t>
  </si>
  <si>
    <t xml:space="preserve">  Ierobežojumi valsts kopbudžeta </t>
  </si>
  <si>
    <t xml:space="preserve">  fiskālam deficītam: </t>
  </si>
  <si>
    <t>(milj. latu)</t>
  </si>
  <si>
    <t>1.janvāris - 30.septembris, 1999: indikatīvā robeža</t>
  </si>
  <si>
    <t>1.janvāris - 31.decembris, 1999: kontroles rādītājs</t>
  </si>
  <si>
    <t>1.janvāris - 31.marts, 2000: kontroles rādītājs</t>
  </si>
  <si>
    <t>1.janvāris - 30.jūnijs, 2000: kontroles rādītājs</t>
  </si>
  <si>
    <t>1.janvāris - 30.septembris, 2000: indikatīvā robeža</t>
  </si>
  <si>
    <t>1.janvāris - 31.decembris, 2000: indikatīvā robeža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</si>
  <si>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</si>
  <si>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</si>
  <si>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</si>
  <si>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</si>
  <si>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</si>
  <si>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</si>
  <si>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 xml:space="preserve">    No 1999.gada 30.jūnija līdz:</t>
  </si>
  <si>
    <t xml:space="preserve"> Kopā       1-5 gadi</t>
  </si>
  <si>
    <t>30.septembris, 1999: indikatīvā robeža</t>
  </si>
  <si>
    <t xml:space="preserve">  150               100</t>
  </si>
  <si>
    <t xml:space="preserve">    29.8               0</t>
  </si>
  <si>
    <t>31.decembris, 1999: kontroles rādītājs</t>
  </si>
  <si>
    <t xml:space="preserve">  285               200</t>
  </si>
  <si>
    <t xml:space="preserve">  114.3           80.2</t>
  </si>
  <si>
    <t>31.marts, 2000: kontroles rādītājs</t>
  </si>
  <si>
    <t xml:space="preserve">  435               200</t>
  </si>
  <si>
    <t>30.jūnijs, 2000: kontroles rādītājs</t>
  </si>
  <si>
    <t xml:space="preserve">  565               200</t>
  </si>
  <si>
    <t>30.septembris, 2000: indikatīvā robeža</t>
  </si>
  <si>
    <t xml:space="preserve">  615               200</t>
  </si>
  <si>
    <t>31.decembris, 2000: indikatīvā robeža</t>
  </si>
  <si>
    <t xml:space="preserve">  665               200</t>
  </si>
  <si>
    <t>III.</t>
  </si>
  <si>
    <t xml:space="preserve">  Ierobežojumi valdības ārējam parādam </t>
  </si>
  <si>
    <t xml:space="preserve">  ar termiņu līdz 1 gadam:</t>
  </si>
  <si>
    <t>IV.</t>
  </si>
  <si>
    <t xml:space="preserve">  Indikatīvās robežas centrālās valdības </t>
  </si>
  <si>
    <t xml:space="preserve">  ieņēmumiem: </t>
  </si>
  <si>
    <t>1.janvāris - 30.septembris, 1999:</t>
  </si>
  <si>
    <t xml:space="preserve">1.janvāris - 31.decembris, 1999: </t>
  </si>
  <si>
    <t xml:space="preserve">1.janvāris - 31.marts, 2000: </t>
  </si>
  <si>
    <t xml:space="preserve">1.janvāris - 30.jūnijs, 2000: </t>
  </si>
  <si>
    <t xml:space="preserve">1.janvāris - 30.septembris, 2000: </t>
  </si>
  <si>
    <t>1.janvāris - 31.decembris, 2000:</t>
  </si>
  <si>
    <t xml:space="preserve">                                    Pārvaldnieks                                                                                         A. Veiss</t>
  </si>
  <si>
    <t>1.tabula</t>
  </si>
  <si>
    <t xml:space="preserve"> Valsts kases oficiālais mēneša pārskats</t>
  </si>
  <si>
    <t>Valsts konsolidētā budžeta izpilde (1999.gada janvāris - decembris)</t>
  </si>
  <si>
    <t>(tūkst. latu)</t>
  </si>
  <si>
    <t>Likumā apstiprinātais gada plāns</t>
  </si>
  <si>
    <t>Izpilde no gada sākuma</t>
  </si>
  <si>
    <t>Izpilde  % pret gada plānu         (3/2)</t>
  </si>
  <si>
    <t xml:space="preserve">Decembra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</si>
  <si>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</si>
  <si>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</si>
  <si>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</si>
  <si>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</si>
  <si>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</si>
  <si>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</si>
  <si>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</si>
  <si>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</si>
  <si>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</si>
  <si>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</si>
  <si>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</si>
  <si>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</si>
  <si>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</si>
  <si>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</si>
  <si>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</si>
  <si>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</si>
  <si>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</si>
  <si>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</si>
  <si>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</si>
  <si>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</si>
  <si>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</si>
  <si>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</si>
  <si>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</si>
  <si>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</si>
  <si>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</si>
  <si>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</si>
  <si>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</si>
  <si>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</si>
  <si>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</si>
  <si>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</si>
  <si>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</si>
  <si>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</si>
  <si>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</si>
  <si>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</si>
  <si>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</si>
  <si>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</si>
  <si>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</si>
  <si>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</si>
  <si>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</si>
  <si>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</si>
  <si>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</si>
  <si>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</si>
  <si>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</si>
  <si>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Valsts pamatbudžeta tīrie aizdevumi </t>
  </si>
  <si>
    <t xml:space="preserve"> B.4. Valsts pamatbudžeta tīrie aizdevumi (bruto)</t>
  </si>
  <si>
    <t xml:space="preserve">     Valsts pamatbudžeta tīrie aizdevumi (neto)</t>
  </si>
  <si>
    <t xml:space="preserve">     Valsts pamatbudžeta aizdevumi (bruto)</t>
  </si>
  <si>
    <t>*</t>
  </si>
  <si>
    <t xml:space="preserve">     Valsts pamatbudžeta aizdevumi (neto)</t>
  </si>
  <si>
    <t xml:space="preserve">     Valsts pamatbudžeta aizdevumu atmaksas (bruto)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</si>
  <si>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</si>
  <si>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</si>
  <si>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</si>
  <si>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</si>
  <si>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</si>
  <si>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</si>
  <si>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</si>
  <si>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</si>
  <si>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</si>
  <si>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</si>
  <si>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</si>
  <si>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</si>
  <si>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</si>
  <si>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</si>
  <si>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</si>
  <si>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</si>
  <si>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</si>
  <si>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</si>
  <si>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</si>
  <si>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</si>
  <si>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</si>
  <si>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15.Decembris</t>
  </si>
  <si>
    <t>2.tabula</t>
  </si>
  <si>
    <t>Valsts kases oficiālais mēneša pārskats</t>
  </si>
  <si>
    <t>Valsts pamatbudžeta ieņēmumi (1999.gada janvāris - decembris)</t>
  </si>
  <si>
    <t>(tūkst.latu)</t>
  </si>
  <si>
    <t>Gada sagaidāmā izpilde %</t>
  </si>
  <si>
    <t>Izpilde % pret gada plānu            (4/2)</t>
  </si>
  <si>
    <t>Decembra  izpilde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</si>
  <si>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</si>
  <si>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</si>
  <si>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</si>
  <si>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</si>
  <si>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</si>
  <si>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</si>
  <si>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</si>
  <si>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</si>
  <si>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</si>
  <si>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</si>
  <si>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</si>
  <si>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</si>
  <si>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</si>
  <si>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</si>
  <si>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</si>
  <si>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</si>
  <si>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</si>
  <si>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</si>
  <si>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</si>
  <si>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</si>
  <si>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</si>
  <si>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</si>
  <si>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</si>
  <si>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</si>
  <si>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</si>
  <si>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</si>
  <si>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</si>
  <si>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* - ieskaitot nodokli no īpašuma -  701 912 latu</t>
  </si>
  <si>
    <t>** - ieskaitot procentus par valsts depozītu -    3 480 634 latu</t>
  </si>
  <si>
    <t>Valsts kases pārvaldnieks________________________________________(A.Veiss)</t>
  </si>
  <si>
    <t>1999.gada 15.novembris</t>
  </si>
  <si>
    <t xml:space="preserve">2000.gada 15. janvārī </t>
  </si>
  <si>
    <t xml:space="preserve">Valsts kases oficiālais mēneša pārskats </t>
  </si>
  <si>
    <t>3.tabula</t>
  </si>
  <si>
    <t>Valsts pamatbudżeta izdevumi pa ministrijām un pasākumiem</t>
  </si>
  <si>
    <t>(1999.gada janvāris - decembris)</t>
  </si>
  <si>
    <t xml:space="preserve">Finansēšanas plāns pārskata periodam </t>
  </si>
  <si>
    <t>Izpilde % pret gada plānu (4/2)</t>
  </si>
  <si>
    <t>Izpilde % pret finansēšanas plānu pārskata periodam 
  (4/3)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</si>
  <si>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</si>
  <si>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</si>
  <si>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</si>
  <si>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</si>
  <si>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</si>
  <si>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</si>
  <si>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</si>
  <si>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</si>
  <si>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</si>
  <si>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</si>
  <si>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</si>
  <si>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</si>
  <si>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</si>
  <si>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</si>
  <si>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</si>
  <si>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</si>
  <si>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Izpilde % pret finansēša-nas plānu pārskata periodam 
  (4/3)</t>
  </si>
  <si>
    <t>Augusta   izpilde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</si>
  <si>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</si>
  <si>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</si>
  <si>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</si>
  <si>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</si>
  <si>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</si>
  <si>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</si>
  <si>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</si>
  <si>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</si>
  <si>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</si>
  <si>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</si>
  <si>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</si>
  <si>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</si>
  <si>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</si>
  <si>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</si>
  <si>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</si>
  <si>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</si>
  <si>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</si>
  <si>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>2000. gada 15.janvārī</t>
  </si>
  <si>
    <t>4.tabula</t>
  </si>
  <si>
    <t xml:space="preserve">           Valsts kases oficiālais mēneša pārskats</t>
  </si>
  <si>
    <t xml:space="preserve">Valsts pamatbudžeta ieņēmumu un izdevumu atšifrējums </t>
  </si>
  <si>
    <t>pēc ekonomiskās klasifikācijas</t>
  </si>
  <si>
    <t>Finansēšanas plāns pārskata periodam</t>
  </si>
  <si>
    <t>Izpilde % pret gada plānu      (4/2)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</si>
  <si>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</si>
  <si>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</si>
  <si>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</si>
  <si>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</si>
  <si>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</si>
  <si>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</si>
  <si>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</si>
  <si>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</si>
  <si>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</si>
  <si>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</si>
  <si>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</si>
  <si>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 xml:space="preserve">     t.sk.         preču un pakalpojumu izdevumi</t>
  </si>
  <si>
    <t xml:space="preserve">                        pārējie izdevumi</t>
  </si>
  <si>
    <t xml:space="preserve">    aizņēmumu atmaksa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</si>
  <si>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</si>
  <si>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</si>
  <si>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</si>
  <si>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</si>
  <si>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</si>
  <si>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</si>
  <si>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</si>
  <si>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</si>
  <si>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</si>
  <si>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 t.sk.           speciālajam budžetam</t>
  </si>
  <si>
    <t xml:space="preserve">      pārējiem</t>
  </si>
  <si>
    <t xml:space="preserve">     dotācijas iedzīvotājiem</t>
  </si>
  <si>
    <t xml:space="preserve">                 t.sk.            pensijas </t>
  </si>
  <si>
    <t xml:space="preserve">         pabalsti</t>
  </si>
  <si>
    <t xml:space="preserve">            stipendijas</t>
  </si>
  <si>
    <t xml:space="preserve">        pārējie</t>
  </si>
  <si>
    <t xml:space="preserve">   iemaksas starptautiskajās organizācijās</t>
  </si>
  <si>
    <t>2.2.Izdevumi kapitālieguldījumiem</t>
  </si>
  <si>
    <t>Kapitālie izdevumi</t>
  </si>
  <si>
    <t>Investīcijas</t>
  </si>
  <si>
    <t>3. Valsts budžeta tīrie aizdevumi (3.1.-3.2.)</t>
  </si>
  <si>
    <t>3.1.Valsts budžeta aizdevumi</t>
  </si>
  <si>
    <t>3.2.Valsts budžeta aizdevumu atmaksas</t>
  </si>
  <si>
    <t>Fiskālā bilance (1.-2.-3.)</t>
  </si>
  <si>
    <t>Valsts kases pārvaldnieks _______________________________________ (A.Veiss)</t>
  </si>
  <si>
    <t>5.tabula</t>
  </si>
  <si>
    <t xml:space="preserve">Valsts speciālā budžeta ieņēmumi un izdevumi pa ministrijām </t>
  </si>
  <si>
    <t>(1999.gada  janvāris - decembris)</t>
  </si>
  <si>
    <t xml:space="preserve"> (tūkst.latu)</t>
  </si>
  <si>
    <t>Finansēšanas plāns</t>
  </si>
  <si>
    <t>Izpilde % pret gada plānu 
   (4/2)</t>
  </si>
  <si>
    <t>Ieņēmumi - kopā  *</t>
  </si>
  <si>
    <t>Izdevumi - kopā</t>
  </si>
  <si>
    <t xml:space="preserve">        Uzturēšanas izdevumi  *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</si>
  <si>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</si>
  <si>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</si>
  <si>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</si>
  <si>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</si>
  <si>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</si>
  <si>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Valsts īpašuma privatizācijas fonds</t>
  </si>
  <si>
    <t>Ieņēmumi</t>
  </si>
  <si>
    <t>Izdevumi</t>
  </si>
  <si>
    <t xml:space="preserve">        Uzturēšanas izdevumi</t>
  </si>
  <si>
    <t xml:space="preserve">     t.sk. iemaksas valsts pamatbudžetā</t>
  </si>
  <si>
    <t>Centrālā dzīvojamo māju privatizācijas komisija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</si>
  <si>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</si>
  <si>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</si>
  <si>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</si>
  <si>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</si>
  <si>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</si>
  <si>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</si>
  <si>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</si>
  <si>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</si>
  <si>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</si>
  <si>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</si>
  <si>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</si>
  <si>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</si>
  <si>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</si>
  <si>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 xml:space="preserve"> Zivju fonds</t>
  </si>
  <si>
    <t xml:space="preserve">   Maksa par rūpnieciskās zvejas tiesību nomu un izmantošanu</t>
  </si>
  <si>
    <t>Meżsaimniecības attīstības fonds</t>
  </si>
  <si>
    <t xml:space="preserve">   Ieņēmumi no meža resursu realizācijas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</si>
  <si>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</si>
  <si>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</si>
  <si>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</si>
  <si>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   Izdevumi kapitālieguldļjumiem</t>
  </si>
  <si>
    <t xml:space="preserve"> Dzelzceļa infrastruktūras fonds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</si>
  <si>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</si>
  <si>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</si>
  <si>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</si>
  <si>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</si>
  <si>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</si>
  <si>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</si>
  <si>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</si>
  <si>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</si>
  <si>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>Izdevumi  **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</si>
  <si>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</si>
  <si>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</si>
  <si>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</si>
  <si>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</si>
  <si>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</si>
  <si>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</si>
  <si>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</si>
  <si>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</si>
  <si>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</si>
  <si>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</si>
  <si>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</si>
  <si>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</si>
  <si>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</si>
  <si>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</si>
  <si>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</si>
  <si>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izložu un azartspēļu nodevas un nodokļa maksājumiem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</si>
  <si>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</si>
  <si>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</si>
  <si>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</si>
  <si>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</si>
  <si>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Konsolidācijas pozīcijas:</t>
  </si>
  <si>
    <t xml:space="preserve">*  Valsts autoceļu fonda pārskaitījums Dzelzceļa infrastruktūras fondā 1475 Ls </t>
  </si>
  <si>
    <t>** konsolidēts par sociālās apdrošināšanas iekšējiem pārskaitījumiem  31887 Ls</t>
  </si>
  <si>
    <t>Valsts kases pārvaldnieks _______________________________________  (A.Veiss)</t>
  </si>
  <si>
    <t xml:space="preserve">          Valsts kases oficiālais mēneša pārskats</t>
  </si>
  <si>
    <t>6.tabula</t>
  </si>
  <si>
    <t xml:space="preserve">Valsts speciālā budžeta ieņēmumu un izdevumu atšifrējums </t>
  </si>
  <si>
    <t>Izpilde % pret finansē-šanas plānu pārskata periodam           (4/3)</t>
  </si>
  <si>
    <t>1.Ieņēmumi - kopā</t>
  </si>
  <si>
    <t>Īpašiem mērķiem iezīmēti ieņēmumi</t>
  </si>
  <si>
    <t>Maksas pakalpojumi un citi pašu ieņēmumi</t>
  </si>
  <si>
    <t>2.1.Uzturēšanas izdevumi</t>
  </si>
  <si>
    <t xml:space="preserve">     t.sk. preču un pakalpojumu izdevumi</t>
  </si>
  <si>
    <t>iemaksas valsts pamatbudžetā</t>
  </si>
  <si>
    <t xml:space="preserve"> pārējie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</si>
  <si>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</si>
  <si>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</si>
  <si>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</si>
  <si>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>izdevumi saskaņā ar likumu "Par valsts un pašvaldību īpašuma privatizācijas fondiem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</si>
  <si>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</si>
  <si>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</si>
  <si>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</si>
  <si>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</si>
  <si>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</si>
  <si>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</si>
  <si>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Marta izpilde</t>
  </si>
  <si>
    <t>3.Valsts budžeta tīrie aizdevumi (3.1.-3.2.)</t>
  </si>
  <si>
    <t>Finansēšana</t>
  </si>
  <si>
    <t>Valsts speciālā budžeta naudas līdzekļu atlikumu izmaiņas palielinājums (-) vai samazinājums (+)</t>
  </si>
  <si>
    <t xml:space="preserve">                                              Valsts kases oficiālais mēneša pārskats</t>
  </si>
  <si>
    <t>7.tabula</t>
  </si>
  <si>
    <t>Valsts speciālā budžeta (dāvinājumi un ziedojumi) ieņēmumi un izdevumi</t>
  </si>
  <si>
    <t xml:space="preserve">                                    (1999.gada janvāris - decembris)</t>
  </si>
  <si>
    <t>Finansēšanas plāns pārskata periodam *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</si>
  <si>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</si>
  <si>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</si>
  <si>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</si>
  <si>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</t>
  </si>
  <si>
    <t>2.Izdevumi - kopā (2.1.+2.2.)</t>
  </si>
  <si>
    <t xml:space="preserve">    valsts sociālās apdrošināšanas obligātās iemaksas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</si>
  <si>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</si>
  <si>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</si>
  <si>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</si>
  <si>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</si>
  <si>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</si>
  <si>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>Fiskālā bilance (1.-2.)</t>
  </si>
  <si>
    <t>Naudas līdzekļu atlikumu izmaiņas palielinājums (-) vai samazinājums (+)</t>
  </si>
  <si>
    <t>* - nav informācijas</t>
  </si>
  <si>
    <t xml:space="preserve">                                             Valsts kases oficiālais mēneša pārskats</t>
  </si>
  <si>
    <t>8.tabula</t>
  </si>
  <si>
    <t xml:space="preserve">                        Valsts pamatbudžeta izdevumi pēc valdības funkcijām</t>
  </si>
  <si>
    <t xml:space="preserve">                                                   ( 1999.gada janvāris- decembris)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</si>
  <si>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</si>
  <si>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</si>
  <si>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</si>
  <si>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</si>
  <si>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</si>
  <si>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</si>
  <si>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</si>
  <si>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</si>
  <si>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</si>
  <si>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</si>
  <si>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</si>
  <si>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</si>
  <si>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</si>
  <si>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</si>
  <si>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</si>
  <si>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 *</t>
  </si>
  <si>
    <t>* ieskaitot aizdevumus un atmaksas</t>
  </si>
  <si>
    <t>Valsts kases pārvaldnieks________________________________</t>
  </si>
  <si>
    <t>(A.Veiss)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</si>
  <si>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</si>
  <si>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</si>
  <si>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</si>
  <si>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Valsts speciālā budžeta izdevumi pēc valdības funkcijām</t>
  </si>
  <si>
    <t>Izdevumi no ziedojumiem un dāvinājumiem</t>
  </si>
  <si>
    <t>Izglītība   *</t>
  </si>
  <si>
    <t xml:space="preserve">Pārējie izdevumi, kas nav atspoguļoti pamatgrupās </t>
  </si>
  <si>
    <t>* -  ieskaitot  tīros  aizdevumus</t>
  </si>
  <si>
    <t>Valsts kases pārvaldnieks_________________________________</t>
  </si>
  <si>
    <t>10. tabula</t>
  </si>
  <si>
    <t xml:space="preserve">Pašvaldību konsolidētā budžeta izpilde </t>
  </si>
  <si>
    <t xml:space="preserve">   ( 1999. gada janvāris - decembris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</si>
  <si>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</si>
  <si>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</si>
  <si>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</si>
  <si>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</si>
  <si>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</si>
  <si>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</si>
  <si>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</si>
  <si>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</si>
  <si>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</si>
  <si>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</si>
  <si>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</si>
  <si>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</si>
  <si>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</si>
  <si>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</si>
  <si>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</si>
  <si>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</si>
  <si>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</si>
  <si>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</si>
  <si>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</si>
  <si>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</si>
  <si>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</si>
  <si>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</si>
  <si>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</si>
  <si>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</si>
  <si>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</si>
  <si>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</si>
  <si>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</si>
  <si>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</si>
  <si>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</si>
  <si>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</si>
  <si>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</si>
  <si>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</si>
  <si>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</si>
  <si>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</si>
  <si>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</si>
  <si>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</si>
  <si>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</si>
  <si>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</si>
  <si>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</si>
  <si>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</si>
  <si>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</si>
  <si>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</si>
  <si>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</si>
  <si>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</si>
  <si>
    <t>A. Veiss</t>
  </si>
  <si>
    <t xml:space="preserve">Valsts kase / Pārskatu departaments </t>
  </si>
  <si>
    <t>15.01.00.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</si>
  <si>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</si>
  <si>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</si>
  <si>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</si>
  <si>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</si>
  <si>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 xml:space="preserve">( 1999. gada janvāris - decembris ) 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</si>
  <si>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</si>
  <si>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</si>
  <si>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</si>
  <si>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</si>
  <si>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</si>
  <si>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</si>
  <si>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</si>
  <si>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</si>
  <si>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</si>
  <si>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</si>
  <si>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</si>
  <si>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</si>
  <si>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</si>
  <si>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</si>
  <si>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</si>
  <si>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</si>
  <si>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</si>
  <si>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</si>
  <si>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</si>
  <si>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</si>
  <si>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</si>
  <si>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</si>
  <si>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</si>
  <si>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</si>
  <si>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</si>
  <si>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</si>
  <si>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</si>
  <si>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</si>
  <si>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</si>
  <si>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</si>
  <si>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</si>
  <si>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</si>
  <si>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Valsts kases pārvaldnieks</t>
  </si>
  <si>
    <t xml:space="preserve">                                           Valsts kases oficiālais mēneša pārskats</t>
  </si>
  <si>
    <t>12. tabula</t>
  </si>
  <si>
    <t xml:space="preserve">Pašvaldību pamatbudžeta izdevumi </t>
  </si>
  <si>
    <t>( 1999. gada janvāris - decembris )</t>
  </si>
  <si>
    <t xml:space="preserve">                               (tūkst.latu)</t>
  </si>
  <si>
    <t>2</t>
  </si>
  <si>
    <t>3</t>
  </si>
  <si>
    <t>4</t>
  </si>
  <si>
    <t>5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</si>
  <si>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</si>
  <si>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</si>
  <si>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</si>
  <si>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</si>
  <si>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</si>
  <si>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</si>
  <si>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</si>
  <si>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</si>
  <si>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</si>
  <si>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</si>
  <si>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</si>
  <si>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</si>
  <si>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</si>
  <si>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</si>
  <si>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</si>
  <si>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</si>
  <si>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864  tūkst.latu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</si>
  <si>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</si>
  <si>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</si>
  <si>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</si>
  <si>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</si>
  <si>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</si>
  <si>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</si>
  <si>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</si>
  <si>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</si>
  <si>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</si>
  <si>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</si>
  <si>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</si>
  <si>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</si>
  <si>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</si>
  <si>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</si>
  <si>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</si>
  <si>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</si>
  <si>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</si>
  <si>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</si>
  <si>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</si>
  <si>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</si>
  <si>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</si>
  <si>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</si>
  <si>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</si>
  <si>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</si>
  <si>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</si>
  <si>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</si>
  <si>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</si>
  <si>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</si>
  <si>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</si>
  <si>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</si>
  <si>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</si>
  <si>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</si>
  <si>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</si>
  <si>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</si>
  <si>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</si>
  <si>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</si>
  <si>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</si>
  <si>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</si>
  <si>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</si>
  <si>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1 530  tūkst.latu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</si>
  <si>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</si>
  <si>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</si>
  <si>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</si>
  <si>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</si>
  <si>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</si>
  <si>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</si>
  <si>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</si>
  <si>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</si>
  <si>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</si>
  <si>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</si>
  <si>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</si>
  <si>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</si>
  <si>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</si>
  <si>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</si>
  <si>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</si>
  <si>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</si>
  <si>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</si>
  <si>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</si>
  <si>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</si>
  <si>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</si>
  <si>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</si>
  <si>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</si>
  <si>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</si>
  <si>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</si>
  <si>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</si>
  <si>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</si>
  <si>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</si>
  <si>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</si>
  <si>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</si>
  <si>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</si>
  <si>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</si>
  <si>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</si>
  <si>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</si>
  <si>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</si>
  <si>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</si>
  <si>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</si>
  <si>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</si>
  <si>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</si>
  <si>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</si>
  <si>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</si>
  <si>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</si>
  <si>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</si>
  <si>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</si>
  <si>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</si>
  <si>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</si>
  <si>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</si>
  <si>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</si>
  <si>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</si>
  <si>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</si>
  <si>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</si>
  <si>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</si>
  <si>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</si>
  <si>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</si>
  <si>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</si>
  <si>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</si>
  <si>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</si>
  <si>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</si>
  <si>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</si>
  <si>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</si>
  <si>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</si>
  <si>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</si>
  <si>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</si>
  <si>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</si>
  <si>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</si>
  <si>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 xml:space="preserve">*  -   ieskaitot  tīros aizdevumus </t>
  </si>
  <si>
    <t xml:space="preserve">Valsts kases pārvaldnieks </t>
  </si>
  <si>
    <t>_______________________________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</si>
  <si>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</si>
  <si>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</si>
  <si>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</si>
  <si>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</si>
  <si>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</si>
  <si>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</si>
  <si>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</si>
  <si>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</si>
  <si>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</si>
  <si>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</si>
  <si>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</si>
  <si>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</si>
  <si>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</si>
  <si>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</si>
  <si>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</si>
  <si>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decembris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</si>
  <si>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</si>
  <si>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</si>
  <si>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</si>
  <si>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</si>
  <si>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</si>
  <si>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</si>
  <si>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</si>
  <si>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</si>
  <si>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</si>
  <si>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</si>
  <si>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</si>
  <si>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</si>
  <si>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2000.gada 1. janvāri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</si>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</sst>
</file>

<file path=xl/styles.xml><?xml version="1.0" encoding="utf-8"?>
<styleSheet xmlns="http://schemas.openxmlformats.org/spreadsheetml/2006/main">
  <numFmts count="5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0.0%"/>
    <numFmt numFmtId="168" formatCode="00.0%"/>
    <numFmt numFmtId="169" formatCode="###.0%"/>
    <numFmt numFmtId="170" formatCode="#,###%"/>
    <numFmt numFmtId="171" formatCode="###,###"/>
    <numFmt numFmtId="172" formatCode="00.000"/>
    <numFmt numFmtId="173" formatCode="#,##0\ &quot;LVR&quot;;\-#,##0\ &quot;LVR&quot;"/>
    <numFmt numFmtId="174" formatCode="#,##0\ &quot;LVR&quot;;[Red]\-#,##0\ &quot;LVR&quot;"/>
    <numFmt numFmtId="175" formatCode="#,##0.00\ &quot;LVR&quot;;\-#,##0.00\ &quot;LVR&quot;"/>
    <numFmt numFmtId="176" formatCode="#,##0.00\ &quot;LVR&quot;;[Red]\-#,##0.00\ &quot;LVR&quot;"/>
    <numFmt numFmtId="177" formatCode="_-* #,##0\ &quot;LVR&quot;_-;\-* #,##0\ &quot;LVR&quot;_-;_-* &quot;-&quot;\ &quot;LVR&quot;_-;_-@_-"/>
    <numFmt numFmtId="178" formatCode="_-* #,##0\ _L_V_R_-;\-* #,##0\ _L_V_R_-;_-* &quot;-&quot;\ _L_V_R_-;_-@_-"/>
    <numFmt numFmtId="179" formatCode="_-* #,##0.00\ &quot;LVR&quot;_-;\-* #,##0.00\ &quot;LVR&quot;_-;_-* &quot;-&quot;??\ &quot;LVR&quot;_-;_-@_-"/>
    <numFmt numFmtId="180" formatCode="_-* #,##0.00\ _L_V_R_-;\-* #,##0.00\ _L_V_R_-;_-* &quot;-&quot;??\ _L_V_R_-;_-@_-"/>
    <numFmt numFmtId="181" formatCode="&quot;Ls&quot;#,##0_);\(&quot;Ls&quot;#,##0\)"/>
    <numFmt numFmtId="182" formatCode="&quot;Ls&quot;#,##0_);[Red]\(&quot;Ls&quot;#,##0\)"/>
    <numFmt numFmtId="183" formatCode="&quot;Ls&quot;#,##0.00_);\(&quot;Ls&quot;#,##0.00\)"/>
    <numFmt numFmtId="184" formatCode="&quot;Ls&quot;#,##0.00_);[Red]\(&quot;Ls&quot;#,##0.00\)"/>
    <numFmt numFmtId="185" formatCode="_(&quot;Ls&quot;* #,##0_);_(&quot;Ls&quot;* \(#,##0\);_(&quot;Ls&quot;* &quot;-&quot;_);_(@_)"/>
    <numFmt numFmtId="186" formatCode="_(* #,##0_);_(* \(#,##0\);_(* &quot;-&quot;_);_(@_)"/>
    <numFmt numFmtId="187" formatCode="_(&quot;Ls&quot;* #,##0.00_);_(&quot;Ls&quot;* \(#,##0.00\);_(&quot;Ls&quot;* &quot;-&quot;??_);_(@_)"/>
    <numFmt numFmtId="188" formatCode="_(* #,##0.00_);_(* \(#,##0.00\);_(* &quot;-&quot;??_);_(@_)"/>
    <numFmt numFmtId="189" formatCode="#,###,##0"/>
    <numFmt numFmtId="190" formatCode="#,000"/>
    <numFmt numFmtId="191" formatCode="#,###,000"/>
    <numFmt numFmtId="192" formatCode="#,"/>
    <numFmt numFmtId="193" formatCode="0,"/>
    <numFmt numFmtId="194" formatCode="##0"/>
    <numFmt numFmtId="195" formatCode="#0,"/>
    <numFmt numFmtId="196" formatCode="#,#00"/>
    <numFmt numFmtId="197" formatCode="#."/>
    <numFmt numFmtId="198" formatCode="##0,"/>
    <numFmt numFmtId="199" formatCode="##0,###"/>
    <numFmt numFmtId="200" formatCode="#,###"/>
    <numFmt numFmtId="201" formatCode="\ #,"/>
    <numFmt numFmtId="202" formatCode="\ #"/>
    <numFmt numFmtId="203" formatCode="#,###,000.0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#\ ###\ ##0"/>
    <numFmt numFmtId="208" formatCode="#\ ###\ \ ##0"/>
    <numFmt numFmtId="209" formatCode="###,##0,"/>
    <numFmt numFmtId="210" formatCode="#,###,"/>
  </numFmts>
  <fonts count="2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Times New Roman"/>
      <family val="0"/>
    </font>
    <font>
      <b/>
      <sz val="16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sz val="12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 horizontal="centerContinuous" vertical="top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0" xfId="0" applyFont="1" applyAlignment="1">
      <alignment vertical="top"/>
    </xf>
    <xf numFmtId="0" fontId="9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/>
    </xf>
    <xf numFmtId="166" fontId="3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/>
    </xf>
    <xf numFmtId="167" fontId="11" fillId="0" borderId="1" xfId="24" applyNumberFormat="1" applyFont="1" applyBorder="1" applyAlignment="1">
      <alignment/>
    </xf>
    <xf numFmtId="0" fontId="11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7" fontId="5" fillId="0" borderId="1" xfId="24" applyNumberFormat="1" applyFont="1" applyBorder="1" applyAlignment="1">
      <alignment/>
    </xf>
    <xf numFmtId="0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24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7" fontId="6" fillId="0" borderId="1" xfId="24" applyNumberFormat="1" applyFont="1" applyBorder="1" applyAlignment="1">
      <alignment/>
    </xf>
    <xf numFmtId="0" fontId="11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66" fontId="11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8" fontId="4" fillId="0" borderId="1" xfId="24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168" fontId="11" fillId="0" borderId="1" xfId="24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67" fontId="5" fillId="0" borderId="1" xfId="0" applyNumberFormat="1" applyFont="1" applyBorder="1" applyAlignment="1">
      <alignment/>
    </xf>
    <xf numFmtId="168" fontId="5" fillId="0" borderId="1" xfId="24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8" fontId="3" fillId="0" borderId="1" xfId="24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/>
    </xf>
    <xf numFmtId="168" fontId="6" fillId="0" borderId="1" xfId="24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3" fillId="0" borderId="0" xfId="24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164" fontId="4" fillId="0" borderId="1" xfId="0" applyNumberFormat="1" applyFont="1" applyBorder="1" applyAlignment="1">
      <alignment horizontal="right"/>
    </xf>
    <xf numFmtId="169" fontId="4" fillId="0" borderId="1" xfId="24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9" fontId="3" fillId="0" borderId="1" xfId="24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9" fontId="11" fillId="0" borderId="1" xfId="24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64" fontId="12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11" fillId="0" borderId="1" xfId="0" applyNumberFormat="1" applyFont="1" applyBorder="1" applyAlignment="1">
      <alignment horizontal="right" wrapText="1"/>
    </xf>
    <xf numFmtId="166" fontId="11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right" wrapText="1"/>
    </xf>
    <xf numFmtId="169" fontId="5" fillId="0" borderId="1" xfId="24" applyNumberFormat="1" applyFont="1" applyBorder="1" applyAlignment="1">
      <alignment/>
    </xf>
    <xf numFmtId="10" fontId="3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right" wrapText="1"/>
    </xf>
    <xf numFmtId="10" fontId="6" fillId="0" borderId="1" xfId="0" applyNumberFormat="1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wrapText="1"/>
    </xf>
    <xf numFmtId="167" fontId="4" fillId="0" borderId="1" xfId="24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70" fontId="6" fillId="0" borderId="1" xfId="24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right" wrapText="1"/>
    </xf>
    <xf numFmtId="171" fontId="11" fillId="0" borderId="1" xfId="0" applyNumberFormat="1" applyFont="1" applyBorder="1" applyAlignment="1">
      <alignment horizontal="right" wrapText="1"/>
    </xf>
    <xf numFmtId="9" fontId="11" fillId="0" borderId="1" xfId="24" applyNumberFormat="1" applyFont="1" applyBorder="1" applyAlignment="1">
      <alignment/>
    </xf>
    <xf numFmtId="0" fontId="3" fillId="0" borderId="1" xfId="0" applyFont="1" applyBorder="1" applyAlignment="1">
      <alignment horizontal="right" wrapText="1"/>
    </xf>
    <xf numFmtId="9" fontId="5" fillId="0" borderId="1" xfId="24" applyNumberFormat="1" applyFont="1" applyBorder="1" applyAlignment="1">
      <alignment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0" fontId="11" fillId="0" borderId="1" xfId="24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10" fontId="3" fillId="0" borderId="1" xfId="24" applyNumberFormat="1" applyFont="1" applyBorder="1" applyAlignment="1">
      <alignment/>
    </xf>
    <xf numFmtId="0" fontId="10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23" applyFont="1" applyAlignment="1">
      <alignment horizontal="centerContinuous"/>
      <protection/>
    </xf>
    <xf numFmtId="0" fontId="0" fillId="0" borderId="0" xfId="23" applyFont="1" applyAlignment="1">
      <alignment horizontal="right"/>
      <protection/>
    </xf>
    <xf numFmtId="0" fontId="17" fillId="0" borderId="0" xfId="23" applyFont="1">
      <alignment/>
      <protection/>
    </xf>
    <xf numFmtId="0" fontId="0" fillId="0" borderId="0" xfId="23" applyFont="1">
      <alignment/>
      <protection/>
    </xf>
    <xf numFmtId="0" fontId="1" fillId="0" borderId="0" xfId="23" applyFont="1" applyAlignment="1">
      <alignment horizontal="centerContinuous"/>
      <protection/>
    </xf>
    <xf numFmtId="0" fontId="7" fillId="0" borderId="0" xfId="23" applyFont="1" applyAlignment="1">
      <alignment horizontal="centerContinuous"/>
      <protection/>
    </xf>
    <xf numFmtId="0" fontId="3" fillId="0" borderId="0" xfId="23" applyFont="1">
      <alignment/>
      <protection/>
    </xf>
    <xf numFmtId="0" fontId="3" fillId="0" borderId="1" xfId="23" applyFont="1" applyBorder="1" applyAlignment="1">
      <alignment horizontal="center" vertical="center" wrapText="1"/>
      <protection/>
    </xf>
    <xf numFmtId="0" fontId="17" fillId="0" borderId="0" xfId="23" applyFont="1" applyAlignment="1">
      <alignment horizontal="center"/>
      <protection/>
    </xf>
    <xf numFmtId="0" fontId="4" fillId="0" borderId="1" xfId="23" applyFont="1" applyBorder="1" applyAlignment="1">
      <alignment wrapText="1"/>
      <protection/>
    </xf>
    <xf numFmtId="164" fontId="2" fillId="0" borderId="1" xfId="23" applyNumberFormat="1" applyFont="1" applyBorder="1">
      <alignment/>
      <protection/>
    </xf>
    <xf numFmtId="2" fontId="2" fillId="0" borderId="1" xfId="23" applyNumberFormat="1" applyFont="1" applyBorder="1">
      <alignment/>
      <protection/>
    </xf>
    <xf numFmtId="0" fontId="2" fillId="0" borderId="1" xfId="23" applyFont="1" applyBorder="1" applyAlignment="1">
      <alignment/>
      <protection/>
    </xf>
    <xf numFmtId="0" fontId="6" fillId="0" borderId="1" xfId="23" applyFont="1" applyBorder="1" applyAlignment="1">
      <alignment horizontal="center" wrapText="1"/>
      <protection/>
    </xf>
    <xf numFmtId="0" fontId="0" fillId="0" borderId="1" xfId="23" applyFont="1" applyBorder="1" applyAlignment="1">
      <alignment wrapText="1"/>
      <protection/>
    </xf>
    <xf numFmtId="0" fontId="11" fillId="0" borderId="1" xfId="23" applyFont="1" applyBorder="1" applyAlignment="1">
      <alignment wrapText="1"/>
      <protection/>
    </xf>
    <xf numFmtId="0" fontId="2" fillId="0" borderId="1" xfId="23" applyFont="1" applyBorder="1" applyAlignment="1">
      <alignment wrapText="1"/>
      <protection/>
    </xf>
    <xf numFmtId="0" fontId="17" fillId="0" borderId="1" xfId="23" applyFont="1" applyBorder="1">
      <alignment/>
      <protection/>
    </xf>
    <xf numFmtId="0" fontId="0" fillId="0" borderId="0" xfId="23" applyFont="1" applyAlignment="1">
      <alignment wrapText="1"/>
      <protection/>
    </xf>
    <xf numFmtId="0" fontId="2" fillId="0" borderId="0" xfId="23" applyFont="1" applyAlignment="1">
      <alignment horizontal="left"/>
      <protection/>
    </xf>
    <xf numFmtId="0" fontId="0" fillId="0" borderId="0" xfId="23" applyNumberFormat="1" applyFont="1" applyBorder="1">
      <alignment/>
      <protection/>
    </xf>
    <xf numFmtId="49" fontId="2" fillId="0" borderId="0" xfId="23" applyNumberFormat="1" applyFont="1" applyBorder="1" applyAlignment="1">
      <alignment horizontal="center"/>
      <protection/>
    </xf>
    <xf numFmtId="0" fontId="3" fillId="0" borderId="0" xfId="23" applyFont="1" applyAlignment="1">
      <alignment wrapText="1"/>
      <protection/>
    </xf>
    <xf numFmtId="0" fontId="17" fillId="0" borderId="0" xfId="23" applyFont="1" applyAlignment="1">
      <alignment wrapText="1"/>
      <protection/>
    </xf>
    <xf numFmtId="49" fontId="0" fillId="0" borderId="0" xfId="23" applyNumberFormat="1" applyFont="1" applyAlignment="1">
      <alignment horizontal="centerContinuous" vertical="top" wrapText="1"/>
      <protection/>
    </xf>
    <xf numFmtId="0" fontId="0" fillId="0" borderId="0" xfId="23" applyFont="1" applyAlignment="1">
      <alignment horizontal="left"/>
      <protection/>
    </xf>
    <xf numFmtId="49" fontId="1" fillId="0" borderId="0" xfId="23" applyNumberFormat="1" applyFont="1" applyAlignment="1">
      <alignment horizontal="centerContinuous" vertical="top" wrapText="1"/>
      <protection/>
    </xf>
    <xf numFmtId="49" fontId="18" fillId="0" borderId="0" xfId="23" applyNumberFormat="1" applyFont="1" applyAlignment="1">
      <alignment horizontal="centerContinuous" vertical="top" wrapText="1"/>
      <protection/>
    </xf>
    <xf numFmtId="0" fontId="18" fillId="0" borderId="0" xfId="23" applyFont="1" applyAlignment="1">
      <alignment horizontal="centerContinuous"/>
      <protection/>
    </xf>
    <xf numFmtId="0" fontId="18" fillId="0" borderId="0" xfId="23" applyFont="1">
      <alignment/>
      <protection/>
    </xf>
    <xf numFmtId="49" fontId="17" fillId="0" borderId="0" xfId="23" applyNumberFormat="1" applyFont="1" applyAlignment="1">
      <alignment vertical="top" wrapText="1"/>
      <protection/>
    </xf>
    <xf numFmtId="0" fontId="17" fillId="0" borderId="0" xfId="23" applyFont="1" applyAlignment="1">
      <alignment horizontal="centerContinuous"/>
      <protection/>
    </xf>
    <xf numFmtId="49" fontId="3" fillId="0" borderId="0" xfId="23" applyNumberFormat="1" applyFont="1" applyAlignment="1">
      <alignment vertical="top" wrapText="1"/>
      <protection/>
    </xf>
    <xf numFmtId="0" fontId="3" fillId="0" borderId="0" xfId="23" applyFont="1" applyAlignment="1">
      <alignment horizontal="centerContinuous"/>
      <protection/>
    </xf>
    <xf numFmtId="49" fontId="3" fillId="0" borderId="1" xfId="23" applyNumberFormat="1" applyFont="1" applyFill="1" applyBorder="1" applyAlignment="1">
      <alignment horizontal="centerContinuous" vertical="center"/>
      <protection/>
    </xf>
    <xf numFmtId="49" fontId="3" fillId="0" borderId="1" xfId="23" applyNumberFormat="1" applyFont="1" applyFill="1" applyBorder="1" applyAlignment="1">
      <alignment horizontal="center" vertical="center" wrapText="1"/>
      <protection/>
    </xf>
    <xf numFmtId="49" fontId="3" fillId="0" borderId="11" xfId="23" applyNumberFormat="1" applyFont="1" applyFill="1" applyBorder="1" applyAlignment="1">
      <alignment horizontal="center" vertical="center" wrapText="1"/>
      <protection/>
    </xf>
    <xf numFmtId="49" fontId="3" fillId="0" borderId="1" xfId="23" applyNumberFormat="1" applyFont="1" applyFill="1" applyBorder="1" applyAlignment="1">
      <alignment horizontal="center" vertical="top" wrapText="1"/>
      <protection/>
    </xf>
    <xf numFmtId="49" fontId="3" fillId="0" borderId="11" xfId="23" applyNumberFormat="1" applyFont="1" applyFill="1" applyBorder="1" applyAlignment="1">
      <alignment horizontal="center" vertical="top" wrapText="1"/>
      <protection/>
    </xf>
    <xf numFmtId="3" fontId="4" fillId="0" borderId="1" xfId="23" applyNumberFormat="1" applyFont="1" applyBorder="1" applyAlignment="1">
      <alignment horizontal="center"/>
      <protection/>
    </xf>
    <xf numFmtId="3" fontId="2" fillId="0" borderId="1" xfId="23" applyNumberFormat="1" applyFont="1" applyBorder="1">
      <alignment/>
      <protection/>
    </xf>
    <xf numFmtId="4" fontId="2" fillId="0" borderId="1" xfId="23" applyNumberFormat="1" applyFont="1" applyBorder="1">
      <alignment/>
      <protection/>
    </xf>
    <xf numFmtId="3" fontId="2" fillId="0" borderId="11" xfId="23" applyNumberFormat="1" applyFont="1" applyBorder="1">
      <alignment/>
      <protection/>
    </xf>
    <xf numFmtId="49" fontId="4" fillId="0" borderId="1" xfId="23" applyNumberFormat="1" applyFont="1" applyFill="1" applyBorder="1" applyAlignment="1">
      <alignment horizontal="center" vertical="top" wrapText="1"/>
      <protection/>
    </xf>
    <xf numFmtId="3" fontId="4" fillId="0" borderId="1" xfId="23" applyNumberFormat="1" applyFont="1" applyBorder="1" applyAlignment="1">
      <alignment horizontal="left"/>
      <protection/>
    </xf>
    <xf numFmtId="3" fontId="5" fillId="0" borderId="1" xfId="23" applyNumberFormat="1" applyFont="1" applyBorder="1" applyAlignment="1">
      <alignment horizontal="left"/>
      <protection/>
    </xf>
    <xf numFmtId="3" fontId="3" fillId="0" borderId="1" xfId="23" applyNumberFormat="1" applyFont="1" applyBorder="1">
      <alignment/>
      <protection/>
    </xf>
    <xf numFmtId="49" fontId="3" fillId="0" borderId="1" xfId="23" applyNumberFormat="1" applyFont="1" applyFill="1" applyBorder="1" applyAlignment="1">
      <alignment vertical="top" wrapText="1"/>
      <protection/>
    </xf>
    <xf numFmtId="49" fontId="4" fillId="0" borderId="1" xfId="23" applyNumberFormat="1" applyFont="1" applyFill="1" applyBorder="1" applyAlignment="1">
      <alignment vertical="top" wrapText="1"/>
      <protection/>
    </xf>
    <xf numFmtId="3" fontId="5" fillId="0" borderId="1" xfId="23" applyNumberFormat="1" applyFont="1" applyBorder="1" applyAlignment="1">
      <alignment horizontal="center"/>
      <protection/>
    </xf>
    <xf numFmtId="3" fontId="3" fillId="0" borderId="1" xfId="23" applyNumberFormat="1" applyFont="1" applyBorder="1" applyAlignment="1">
      <alignment wrapText="1"/>
      <protection/>
    </xf>
    <xf numFmtId="49" fontId="5" fillId="0" borderId="1" xfId="23" applyNumberFormat="1" applyFont="1" applyFill="1" applyBorder="1" applyAlignment="1">
      <alignment horizontal="center" vertical="top" wrapText="1"/>
      <protection/>
    </xf>
    <xf numFmtId="3" fontId="5" fillId="0" borderId="12" xfId="23" applyNumberFormat="1" applyFont="1" applyBorder="1" applyAlignment="1">
      <alignment horizontal="center"/>
      <protection/>
    </xf>
    <xf numFmtId="3" fontId="2" fillId="0" borderId="12" xfId="23" applyNumberFormat="1" applyFont="1" applyBorder="1">
      <alignment/>
      <protection/>
    </xf>
    <xf numFmtId="4" fontId="2" fillId="0" borderId="12" xfId="23" applyNumberFormat="1" applyFont="1" applyBorder="1">
      <alignment/>
      <protection/>
    </xf>
    <xf numFmtId="3" fontId="2" fillId="0" borderId="13" xfId="23" applyNumberFormat="1" applyFont="1" applyBorder="1">
      <alignment/>
      <protection/>
    </xf>
    <xf numFmtId="0" fontId="17" fillId="0" borderId="0" xfId="23" applyFont="1" applyBorder="1" applyAlignment="1">
      <alignment horizontal="left"/>
      <protection/>
    </xf>
    <xf numFmtId="0" fontId="2" fillId="0" borderId="0" xfId="23" applyFont="1" applyAlignment="1">
      <alignment horizontal="center"/>
      <protection/>
    </xf>
    <xf numFmtId="0" fontId="17" fillId="0" borderId="0" xfId="23" applyFont="1" applyAlignment="1">
      <alignment horizontal="left"/>
      <protection/>
    </xf>
    <xf numFmtId="0" fontId="17" fillId="0" borderId="0" xfId="23" applyFont="1" applyBorder="1" applyAlignment="1">
      <alignment horizontal="center"/>
      <protection/>
    </xf>
    <xf numFmtId="49" fontId="0" fillId="0" borderId="0" xfId="23" applyNumberFormat="1" applyFont="1" applyAlignment="1">
      <alignment vertical="top" wrapText="1"/>
      <protection/>
    </xf>
    <xf numFmtId="49" fontId="2" fillId="0" borderId="0" xfId="23" applyNumberFormat="1" applyFont="1" applyAlignment="1">
      <alignment horizontal="left" vertical="top" wrapText="1"/>
      <protection/>
    </xf>
    <xf numFmtId="49" fontId="2" fillId="0" borderId="0" xfId="23" applyNumberFormat="1" applyFont="1" applyAlignment="1">
      <alignment vertical="top" wrapText="1"/>
      <protection/>
    </xf>
    <xf numFmtId="49" fontId="2" fillId="0" borderId="14" xfId="23" applyNumberFormat="1" applyFont="1" applyBorder="1" applyAlignment="1">
      <alignment horizontal="center"/>
      <protection/>
    </xf>
    <xf numFmtId="0" fontId="2" fillId="0" borderId="0" xfId="23" applyFont="1">
      <alignment/>
      <protection/>
    </xf>
    <xf numFmtId="49" fontId="17" fillId="0" borderId="0" xfId="23" applyNumberFormat="1" applyFont="1" applyAlignment="1">
      <alignment horizontal="left" vertical="top" wrapText="1"/>
      <protection/>
    </xf>
    <xf numFmtId="0" fontId="3" fillId="0" borderId="0" xfId="23" applyFont="1" applyAlignment="1">
      <alignment horizontal="left"/>
      <protection/>
    </xf>
    <xf numFmtId="0" fontId="17" fillId="0" borderId="0" xfId="23" applyFont="1" applyAlignment="1">
      <alignment/>
      <protection/>
    </xf>
    <xf numFmtId="49" fontId="3" fillId="0" borderId="0" xfId="23" applyNumberFormat="1" applyFont="1" applyAlignment="1">
      <alignment horizontal="centerContinuous" vertical="top" wrapText="1"/>
      <protection/>
    </xf>
    <xf numFmtId="49" fontId="17" fillId="0" borderId="0" xfId="23" applyNumberFormat="1" applyFont="1" applyAlignment="1">
      <alignment horizontal="centerContinuous" vertical="top" wrapText="1"/>
      <protection/>
    </xf>
    <xf numFmtId="49" fontId="3" fillId="0" borderId="0" xfId="23" applyNumberFormat="1" applyFont="1" applyAlignment="1">
      <alignment horizontal="center" vertical="top" wrapText="1"/>
      <protection/>
    </xf>
    <xf numFmtId="0" fontId="3" fillId="0" borderId="0" xfId="23" applyFont="1" applyAlignment="1">
      <alignment/>
      <protection/>
    </xf>
    <xf numFmtId="49" fontId="3" fillId="0" borderId="15" xfId="23" applyNumberFormat="1" applyFont="1" applyFill="1" applyBorder="1" applyAlignment="1">
      <alignment horizontal="center" vertical="center" wrapText="1"/>
      <protection/>
    </xf>
    <xf numFmtId="49" fontId="3" fillId="0" borderId="16" xfId="23" applyNumberFormat="1" applyFont="1" applyFill="1" applyBorder="1" applyAlignment="1">
      <alignment horizontal="center" vertical="center" wrapText="1"/>
      <protection/>
    </xf>
    <xf numFmtId="49" fontId="3" fillId="0" borderId="17" xfId="23" applyNumberFormat="1" applyFont="1" applyFill="1" applyBorder="1" applyAlignment="1">
      <alignment horizontal="center" vertical="center" wrapText="1"/>
      <protection/>
    </xf>
    <xf numFmtId="49" fontId="3" fillId="0" borderId="18" xfId="23" applyNumberFormat="1" applyFont="1" applyFill="1" applyBorder="1" applyAlignment="1">
      <alignment horizontal="center" vertical="top" wrapText="1"/>
      <protection/>
    </xf>
    <xf numFmtId="49" fontId="4" fillId="0" borderId="18" xfId="23" applyNumberFormat="1" applyFont="1" applyFill="1" applyBorder="1" applyAlignment="1">
      <alignment horizontal="center" vertical="top" wrapText="1"/>
      <protection/>
    </xf>
    <xf numFmtId="49" fontId="4" fillId="0" borderId="18" xfId="23" applyNumberFormat="1" applyFont="1" applyFill="1" applyBorder="1" applyAlignment="1">
      <alignment horizontal="left" vertical="top" wrapText="1"/>
      <protection/>
    </xf>
    <xf numFmtId="49" fontId="3" fillId="0" borderId="18" xfId="23" applyNumberFormat="1" applyFont="1" applyFill="1" applyBorder="1" applyAlignment="1">
      <alignment vertical="top" wrapText="1"/>
      <protection/>
    </xf>
    <xf numFmtId="49" fontId="5" fillId="0" borderId="18" xfId="23" applyNumberFormat="1" applyFont="1" applyFill="1" applyBorder="1" applyAlignment="1">
      <alignment horizontal="center" vertical="top" wrapText="1"/>
      <protection/>
    </xf>
    <xf numFmtId="49" fontId="3" fillId="0" borderId="18" xfId="23" applyNumberFormat="1" applyFont="1" applyFill="1" applyBorder="1" applyAlignment="1">
      <alignment horizontal="left" vertical="top" wrapText="1"/>
      <protection/>
    </xf>
    <xf numFmtId="4" fontId="2" fillId="0" borderId="19" xfId="23" applyNumberFormat="1" applyFont="1" applyBorder="1">
      <alignment/>
      <protection/>
    </xf>
    <xf numFmtId="49" fontId="3" fillId="0" borderId="20" xfId="23" applyNumberFormat="1" applyFont="1" applyFill="1" applyBorder="1" applyAlignment="1">
      <alignment horizontal="left" vertical="top" wrapText="1"/>
      <protection/>
    </xf>
    <xf numFmtId="49" fontId="3" fillId="0" borderId="0" xfId="23" applyNumberFormat="1" applyFont="1" applyFill="1" applyBorder="1" applyAlignment="1">
      <alignment horizontal="left" vertical="top" wrapText="1"/>
      <protection/>
    </xf>
    <xf numFmtId="3" fontId="2" fillId="0" borderId="0" xfId="23" applyNumberFormat="1" applyFont="1" applyBorder="1">
      <alignment/>
      <protection/>
    </xf>
    <xf numFmtId="49" fontId="2" fillId="0" borderId="0" xfId="23" applyNumberFormat="1" applyFont="1" applyAlignment="1">
      <alignment horizontal="center" vertical="top" wrapText="1"/>
      <protection/>
    </xf>
    <xf numFmtId="49" fontId="2" fillId="0" borderId="0" xfId="23" applyNumberFormat="1" applyFont="1" applyFill="1" applyBorder="1" applyAlignment="1">
      <alignment vertical="top" wrapText="1"/>
      <protection/>
    </xf>
    <xf numFmtId="49" fontId="2" fillId="0" borderId="0" xfId="23" applyNumberFormat="1" applyFont="1" applyFill="1" applyBorder="1" applyAlignment="1">
      <alignment horizontal="center" vertical="top" wrapText="1"/>
      <protection/>
    </xf>
    <xf numFmtId="0" fontId="2" fillId="0" borderId="14" xfId="23" applyFont="1" applyBorder="1" applyAlignment="1">
      <alignment/>
      <protection/>
    </xf>
    <xf numFmtId="49" fontId="2" fillId="0" borderId="0" xfId="23" applyNumberFormat="1" applyFont="1" applyBorder="1">
      <alignment/>
      <protection/>
    </xf>
    <xf numFmtId="0" fontId="2" fillId="0" borderId="0" xfId="23" applyFont="1" applyAlignment="1">
      <alignment/>
      <protection/>
    </xf>
    <xf numFmtId="49" fontId="17" fillId="0" borderId="0" xfId="23" applyNumberFormat="1" applyFont="1" applyAlignment="1">
      <alignment horizontal="center" vertical="top" wrapText="1"/>
      <protection/>
    </xf>
    <xf numFmtId="49" fontId="0" fillId="0" borderId="0" xfId="23" applyNumberFormat="1" applyFont="1" applyAlignment="1">
      <alignment horizontal="right" vertical="top" wrapText="1"/>
      <protection/>
    </xf>
    <xf numFmtId="49" fontId="9" fillId="0" borderId="0" xfId="23" applyNumberFormat="1" applyFont="1" applyAlignment="1">
      <alignment horizontal="centerContinuous" vertical="top" wrapText="1"/>
      <protection/>
    </xf>
    <xf numFmtId="49" fontId="5" fillId="0" borderId="18" xfId="23" applyNumberFormat="1" applyFont="1" applyFill="1" applyBorder="1" applyAlignment="1">
      <alignment horizontal="left" vertical="top" wrapText="1"/>
      <protection/>
    </xf>
    <xf numFmtId="49" fontId="6" fillId="0" borderId="18" xfId="23" applyNumberFormat="1" applyFont="1" applyFill="1" applyBorder="1" applyAlignment="1">
      <alignment horizontal="left" vertical="top" wrapText="1"/>
      <protection/>
    </xf>
    <xf numFmtId="49" fontId="4" fillId="0" borderId="21" xfId="23" applyNumberFormat="1" applyFont="1" applyFill="1" applyBorder="1" applyAlignment="1">
      <alignment horizontal="left" vertical="top" wrapText="1"/>
      <protection/>
    </xf>
    <xf numFmtId="3" fontId="17" fillId="0" borderId="0" xfId="23" applyNumberFormat="1" applyFont="1" applyAlignment="1">
      <alignment horizontal="left"/>
      <protection/>
    </xf>
    <xf numFmtId="49" fontId="4" fillId="0" borderId="22" xfId="23" applyNumberFormat="1" applyFont="1" applyFill="1" applyBorder="1" applyAlignment="1">
      <alignment horizontal="left" vertical="top" wrapText="1"/>
      <protection/>
    </xf>
    <xf numFmtId="3" fontId="2" fillId="0" borderId="23" xfId="23" applyNumberFormat="1" applyFont="1" applyBorder="1">
      <alignment/>
      <protection/>
    </xf>
    <xf numFmtId="4" fontId="2" fillId="0" borderId="23" xfId="23" applyNumberFormat="1" applyFont="1" applyBorder="1">
      <alignment/>
      <protection/>
    </xf>
    <xf numFmtId="3" fontId="2" fillId="0" borderId="24" xfId="23" applyNumberFormat="1" applyFont="1" applyBorder="1">
      <alignment/>
      <protection/>
    </xf>
    <xf numFmtId="49" fontId="3" fillId="0" borderId="0" xfId="23" applyNumberFormat="1" applyFont="1" applyAlignment="1">
      <alignment horizontal="left" vertical="top" wrapText="1"/>
      <protection/>
    </xf>
    <xf numFmtId="0" fontId="3" fillId="0" borderId="18" xfId="23" applyFont="1" applyBorder="1" applyAlignment="1">
      <alignment horizontal="center"/>
      <protection/>
    </xf>
    <xf numFmtId="3" fontId="3" fillId="0" borderId="1" xfId="23" applyNumberFormat="1" applyFont="1" applyBorder="1" applyAlignment="1">
      <alignment horizontal="center"/>
      <protection/>
    </xf>
    <xf numFmtId="0" fontId="3" fillId="0" borderId="1" xfId="23" applyNumberFormat="1" applyFont="1" applyBorder="1" applyAlignment="1">
      <alignment horizontal="center"/>
      <protection/>
    </xf>
    <xf numFmtId="0" fontId="3" fillId="0" borderId="11" xfId="23" applyNumberFormat="1" applyFont="1" applyBorder="1" applyAlignment="1">
      <alignment horizontal="center"/>
      <protection/>
    </xf>
    <xf numFmtId="0" fontId="4" fillId="0" borderId="18" xfId="23" applyFont="1" applyBorder="1" applyAlignment="1">
      <alignment horizontal="left" vertical="top" wrapText="1"/>
      <protection/>
    </xf>
    <xf numFmtId="0" fontId="3" fillId="0" borderId="18" xfId="23" applyFont="1" applyBorder="1" applyAlignment="1">
      <alignment vertical="top" wrapText="1"/>
      <protection/>
    </xf>
    <xf numFmtId="0" fontId="4" fillId="0" borderId="18" xfId="23" applyFont="1" applyBorder="1" applyAlignment="1">
      <alignment vertical="top" wrapText="1"/>
      <protection/>
    </xf>
    <xf numFmtId="0" fontId="4" fillId="0" borderId="20" xfId="23" applyFont="1" applyBorder="1" applyAlignment="1">
      <alignment vertical="top" wrapText="1"/>
      <protection/>
    </xf>
    <xf numFmtId="2" fontId="2" fillId="0" borderId="12" xfId="23" applyNumberFormat="1" applyFont="1" applyBorder="1">
      <alignment/>
      <protection/>
    </xf>
    <xf numFmtId="0" fontId="4" fillId="0" borderId="0" xfId="23" applyFont="1" applyBorder="1" applyAlignment="1">
      <alignment vertical="top" wrapText="1"/>
      <protection/>
    </xf>
    <xf numFmtId="2" fontId="2" fillId="0" borderId="0" xfId="23" applyNumberFormat="1" applyFont="1" applyBorder="1">
      <alignment/>
      <protection/>
    </xf>
    <xf numFmtId="0" fontId="3" fillId="0" borderId="14" xfId="23" applyFont="1" applyBorder="1">
      <alignment/>
      <protection/>
    </xf>
    <xf numFmtId="0" fontId="3" fillId="0" borderId="14" xfId="23" applyFont="1" applyBorder="1" applyAlignment="1">
      <alignment horizontal="centerContinuous"/>
      <protection/>
    </xf>
    <xf numFmtId="49" fontId="4" fillId="0" borderId="20" xfId="23" applyNumberFormat="1" applyFont="1" applyFill="1" applyBorder="1" applyAlignment="1">
      <alignment horizontal="left" vertical="top" wrapText="1"/>
      <protection/>
    </xf>
    <xf numFmtId="3" fontId="2" fillId="0" borderId="25" xfId="23" applyNumberFormat="1" applyFont="1" applyBorder="1">
      <alignment/>
      <protection/>
    </xf>
    <xf numFmtId="2" fontId="2" fillId="0" borderId="23" xfId="23" applyNumberFormat="1" applyFont="1" applyBorder="1">
      <alignment/>
      <protection/>
    </xf>
    <xf numFmtId="3" fontId="2" fillId="0" borderId="26" xfId="23" applyNumberFormat="1" applyFont="1" applyBorder="1">
      <alignment/>
      <protection/>
    </xf>
    <xf numFmtId="4" fontId="2" fillId="0" borderId="0" xfId="23" applyNumberFormat="1" applyFont="1" applyBorder="1">
      <alignment/>
      <protection/>
    </xf>
    <xf numFmtId="0" fontId="17" fillId="0" borderId="14" xfId="23" applyFont="1" applyBorder="1">
      <alignment/>
      <protection/>
    </xf>
    <xf numFmtId="0" fontId="2" fillId="0" borderId="0" xfId="23" applyFont="1" applyBorder="1" applyAlignment="1">
      <alignment/>
      <protection/>
    </xf>
    <xf numFmtId="49" fontId="2" fillId="0" borderId="0" xfId="23" applyNumberFormat="1" applyFont="1">
      <alignment/>
      <protection/>
    </xf>
    <xf numFmtId="0" fontId="0" fillId="0" borderId="0" xfId="23" applyFont="1" applyAlignment="1">
      <alignment/>
      <protection/>
    </xf>
    <xf numFmtId="49" fontId="0" fillId="0" borderId="0" xfId="23" applyNumberFormat="1" applyFont="1" applyAlignment="1">
      <alignment horizontal="center" vertical="top" wrapText="1"/>
      <protection/>
    </xf>
    <xf numFmtId="0" fontId="2" fillId="0" borderId="0" xfId="23" applyFont="1" applyAlignment="1">
      <alignment horizontal="centerContinuous"/>
      <protection/>
    </xf>
    <xf numFmtId="0" fontId="1" fillId="0" borderId="0" xfId="23" applyFont="1" applyAlignment="1">
      <alignment horizontal="centerContinuous" wrapText="1"/>
      <protection/>
    </xf>
    <xf numFmtId="0" fontId="19" fillId="0" borderId="0" xfId="23" applyFont="1" applyAlignment="1">
      <alignment horizontal="centerContinuous"/>
      <protection/>
    </xf>
    <xf numFmtId="0" fontId="1" fillId="0" borderId="0" xfId="23" applyFont="1">
      <alignment/>
      <protection/>
    </xf>
    <xf numFmtId="0" fontId="5" fillId="0" borderId="0" xfId="23" applyFont="1" applyAlignment="1">
      <alignment horizontal="centerContinuous" wrapText="1"/>
      <protection/>
    </xf>
    <xf numFmtId="0" fontId="0" fillId="0" borderId="27" xfId="23" applyFont="1" applyBorder="1" applyAlignment="1">
      <alignment wrapText="1"/>
      <protection/>
    </xf>
    <xf numFmtId="0" fontId="3" fillId="0" borderId="28" xfId="23" applyFont="1" applyBorder="1" applyAlignment="1">
      <alignment horizontal="centerContinuous"/>
      <protection/>
    </xf>
    <xf numFmtId="0" fontId="3" fillId="0" borderId="29" xfId="23" applyFont="1" applyBorder="1" applyAlignment="1">
      <alignment horizontal="centerContinuous"/>
      <protection/>
    </xf>
    <xf numFmtId="0" fontId="0" fillId="0" borderId="30" xfId="23" applyFont="1" applyBorder="1" applyAlignment="1">
      <alignment/>
      <protection/>
    </xf>
    <xf numFmtId="0" fontId="3" fillId="0" borderId="29" xfId="23" applyFont="1" applyBorder="1" applyAlignment="1">
      <alignment horizontal="centerContinuous" vertical="center"/>
      <protection/>
    </xf>
    <xf numFmtId="0" fontId="3" fillId="0" borderId="28" xfId="23" applyFont="1" applyBorder="1" applyAlignment="1">
      <alignment horizontal="centerContinuous" vertical="center" wrapText="1"/>
      <protection/>
    </xf>
    <xf numFmtId="0" fontId="0" fillId="0" borderId="28" xfId="23" applyFont="1" applyBorder="1" applyAlignment="1">
      <alignment horizontal="centerContinuous"/>
      <protection/>
    </xf>
    <xf numFmtId="0" fontId="0" fillId="0" borderId="31" xfId="23" applyFont="1" applyBorder="1" applyAlignment="1">
      <alignment horizontal="center"/>
      <protection/>
    </xf>
    <xf numFmtId="0" fontId="3" fillId="0" borderId="32" xfId="23" applyFont="1" applyBorder="1" applyAlignment="1">
      <alignment wrapText="1"/>
      <protection/>
    </xf>
    <xf numFmtId="0" fontId="3" fillId="0" borderId="33" xfId="23" applyFont="1" applyBorder="1" applyAlignment="1">
      <alignment/>
      <protection/>
    </xf>
    <xf numFmtId="0" fontId="3" fillId="0" borderId="34" xfId="23" applyFont="1" applyBorder="1" applyAlignment="1">
      <alignment horizontal="centerContinuous"/>
      <protection/>
    </xf>
    <xf numFmtId="0" fontId="3" fillId="0" borderId="35" xfId="23" applyFont="1" applyBorder="1" applyAlignment="1">
      <alignment horizontal="center"/>
      <protection/>
    </xf>
    <xf numFmtId="49" fontId="3" fillId="0" borderId="32" xfId="23" applyNumberFormat="1" applyFont="1" applyBorder="1" applyAlignment="1">
      <alignment horizontal="center" vertical="top" wrapText="1"/>
      <protection/>
    </xf>
    <xf numFmtId="49" fontId="3" fillId="0" borderId="36" xfId="23" applyNumberFormat="1" applyFont="1" applyBorder="1" applyAlignment="1">
      <alignment horizontal="center" vertical="center" wrapText="1"/>
      <protection/>
    </xf>
    <xf numFmtId="49" fontId="3" fillId="0" borderId="0" xfId="23" applyNumberFormat="1" applyFont="1" applyAlignment="1">
      <alignment horizontal="center" vertical="center" wrapText="1"/>
      <protection/>
    </xf>
    <xf numFmtId="49" fontId="3" fillId="0" borderId="33" xfId="23" applyNumberFormat="1" applyFont="1" applyBorder="1" applyAlignment="1">
      <alignment horizontal="center" vertical="center" wrapText="1"/>
      <protection/>
    </xf>
    <xf numFmtId="0" fontId="3" fillId="0" borderId="33" xfId="23" applyFont="1" applyBorder="1" applyAlignment="1">
      <alignment horizontal="center" vertical="center" wrapText="1"/>
      <protection/>
    </xf>
    <xf numFmtId="49" fontId="3" fillId="0" borderId="35" xfId="23" applyNumberFormat="1" applyFont="1" applyBorder="1" applyAlignment="1">
      <alignment horizontal="center" vertical="center" wrapText="1"/>
      <protection/>
    </xf>
    <xf numFmtId="49" fontId="3" fillId="0" borderId="0" xfId="23" applyNumberFormat="1" applyFont="1">
      <alignment/>
      <protection/>
    </xf>
    <xf numFmtId="0" fontId="3" fillId="0" borderId="18" xfId="23" applyFont="1" applyBorder="1" applyAlignment="1">
      <alignment horizontal="center" wrapText="1"/>
      <protection/>
    </xf>
    <xf numFmtId="0" fontId="3" fillId="0" borderId="1" xfId="23" applyFont="1" applyBorder="1" applyAlignment="1">
      <alignment horizontal="center"/>
      <protection/>
    </xf>
    <xf numFmtId="0" fontId="3" fillId="0" borderId="11" xfId="23" applyFont="1" applyBorder="1" applyAlignment="1">
      <alignment horizontal="center"/>
      <protection/>
    </xf>
    <xf numFmtId="3" fontId="4" fillId="0" borderId="37" xfId="23" applyNumberFormat="1" applyFont="1" applyBorder="1">
      <alignment/>
      <protection/>
    </xf>
    <xf numFmtId="198" fontId="17" fillId="0" borderId="1" xfId="23" applyNumberFormat="1" applyFont="1" applyBorder="1">
      <alignment/>
      <protection/>
    </xf>
    <xf numFmtId="198" fontId="17" fillId="0" borderId="11" xfId="23" applyNumberFormat="1" applyFont="1" applyBorder="1">
      <alignment/>
      <protection/>
    </xf>
    <xf numFmtId="3" fontId="3" fillId="0" borderId="18" xfId="23" applyNumberFormat="1" applyFont="1" applyBorder="1">
      <alignment/>
      <protection/>
    </xf>
    <xf numFmtId="209" fontId="2" fillId="0" borderId="1" xfId="23" applyNumberFormat="1" applyFont="1" applyBorder="1">
      <alignment/>
      <protection/>
    </xf>
    <xf numFmtId="209" fontId="2" fillId="0" borderId="11" xfId="23" applyNumberFormat="1" applyFont="1" applyBorder="1">
      <alignment/>
      <protection/>
    </xf>
    <xf numFmtId="3" fontId="3" fillId="0" borderId="37" xfId="23" applyNumberFormat="1" applyFont="1" applyBorder="1">
      <alignment/>
      <protection/>
    </xf>
    <xf numFmtId="0" fontId="4" fillId="0" borderId="0" xfId="23" applyFont="1">
      <alignment/>
      <protection/>
    </xf>
    <xf numFmtId="0" fontId="4" fillId="0" borderId="38" xfId="23" applyFont="1" applyBorder="1" applyAlignment="1">
      <alignment horizontal="right" wrapText="1"/>
      <protection/>
    </xf>
    <xf numFmtId="209" fontId="2" fillId="0" borderId="12" xfId="23" applyNumberFormat="1" applyFont="1" applyBorder="1">
      <alignment/>
      <protection/>
    </xf>
    <xf numFmtId="209" fontId="2" fillId="0" borderId="13" xfId="23" applyNumberFormat="1" applyFont="1" applyBorder="1">
      <alignment/>
      <protection/>
    </xf>
    <xf numFmtId="0" fontId="3" fillId="0" borderId="0" xfId="23" applyFont="1" applyBorder="1" applyAlignment="1">
      <alignment/>
      <protection/>
    </xf>
    <xf numFmtId="0" fontId="2" fillId="0" borderId="0" xfId="23" applyFont="1" applyBorder="1">
      <alignment/>
      <protection/>
    </xf>
    <xf numFmtId="49" fontId="2" fillId="0" borderId="0" xfId="23" applyNumberFormat="1" applyFont="1" applyBorder="1" applyAlignment="1">
      <alignment/>
      <protection/>
    </xf>
    <xf numFmtId="49" fontId="2" fillId="0" borderId="0" xfId="23" applyNumberFormat="1" applyFont="1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center"/>
      <protection/>
    </xf>
    <xf numFmtId="0" fontId="17" fillId="0" borderId="0" xfId="23" applyFont="1" applyBorder="1" applyAlignment="1">
      <alignment wrapText="1"/>
      <protection/>
    </xf>
    <xf numFmtId="0" fontId="17" fillId="0" borderId="0" xfId="23" applyFont="1" applyBorder="1">
      <alignment/>
      <protection/>
    </xf>
    <xf numFmtId="0" fontId="2" fillId="0" borderId="0" xfId="23" applyFont="1" applyBorder="1" applyAlignment="1">
      <alignment horizontal="left"/>
      <protection/>
    </xf>
    <xf numFmtId="0" fontId="1" fillId="0" borderId="0" xfId="23" applyFont="1" applyAlignment="1">
      <alignment/>
      <protection/>
    </xf>
    <xf numFmtId="0" fontId="4" fillId="0" borderId="0" xfId="23" applyFont="1" applyAlignment="1">
      <alignment horizontal="centerContinuous" wrapText="1"/>
      <protection/>
    </xf>
    <xf numFmtId="0" fontId="0" fillId="0" borderId="39" xfId="23" applyFont="1" applyBorder="1" applyAlignment="1">
      <alignment horizontal="center" vertical="top" wrapText="1"/>
      <protection/>
    </xf>
    <xf numFmtId="0" fontId="0" fillId="0" borderId="30" xfId="23" applyFont="1" applyBorder="1" applyAlignment="1">
      <alignment horizontal="center" vertical="top"/>
      <protection/>
    </xf>
    <xf numFmtId="0" fontId="0" fillId="0" borderId="30" xfId="23" applyFont="1" applyBorder="1" applyAlignment="1">
      <alignment horizontal="centerContinuous"/>
      <protection/>
    </xf>
    <xf numFmtId="0" fontId="0" fillId="0" borderId="29" xfId="23" applyFont="1" applyBorder="1" applyAlignment="1">
      <alignment horizontal="centerContinuous" vertical="center"/>
      <protection/>
    </xf>
    <xf numFmtId="0" fontId="0" fillId="0" borderId="28" xfId="23" applyFont="1" applyBorder="1" applyAlignment="1">
      <alignment horizontal="centerContinuous" vertical="center" wrapText="1"/>
      <protection/>
    </xf>
    <xf numFmtId="0" fontId="0" fillId="0" borderId="31" xfId="23" applyFont="1" applyBorder="1" applyAlignment="1">
      <alignment horizontal="center" vertical="top" wrapText="1"/>
      <protection/>
    </xf>
    <xf numFmtId="0" fontId="3" fillId="0" borderId="40" xfId="23" applyFont="1" applyBorder="1" applyAlignment="1">
      <alignment horizontal="center" vertical="top" wrapText="1"/>
      <protection/>
    </xf>
    <xf numFmtId="0" fontId="3" fillId="0" borderId="33" xfId="23" applyFont="1" applyBorder="1" applyAlignment="1">
      <alignment horizontal="center" vertical="top"/>
      <protection/>
    </xf>
    <xf numFmtId="0" fontId="3" fillId="0" borderId="10" xfId="23" applyFont="1" applyBorder="1" applyAlignment="1">
      <alignment horizontal="centerContinuous"/>
      <protection/>
    </xf>
    <xf numFmtId="0" fontId="3" fillId="0" borderId="19" xfId="23" applyFont="1" applyBorder="1" applyAlignment="1">
      <alignment horizontal="centerContinuous"/>
      <protection/>
    </xf>
    <xf numFmtId="0" fontId="3" fillId="0" borderId="35" xfId="23" applyFont="1" applyBorder="1" applyAlignment="1">
      <alignment/>
      <protection/>
    </xf>
    <xf numFmtId="0" fontId="3" fillId="0" borderId="33" xfId="23" applyFont="1" applyBorder="1" applyAlignment="1">
      <alignment horizontal="center" vertical="top" wrapText="1"/>
      <protection/>
    </xf>
    <xf numFmtId="0" fontId="3" fillId="0" borderId="35" xfId="23" applyFont="1" applyBorder="1" applyAlignment="1">
      <alignment horizontal="center" vertical="top" wrapText="1"/>
      <protection/>
    </xf>
    <xf numFmtId="0" fontId="3" fillId="0" borderId="18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11" xfId="23" applyFont="1" applyBorder="1" applyAlignment="1">
      <alignment horizontal="center" vertical="center"/>
      <protection/>
    </xf>
    <xf numFmtId="0" fontId="3" fillId="0" borderId="18" xfId="23" applyFont="1" applyBorder="1" applyAlignment="1">
      <alignment wrapText="1"/>
      <protection/>
    </xf>
    <xf numFmtId="0" fontId="17" fillId="0" borderId="40" xfId="23" applyFont="1" applyBorder="1">
      <alignment/>
      <protection/>
    </xf>
    <xf numFmtId="0" fontId="4" fillId="0" borderId="18" xfId="23" applyFont="1" applyBorder="1" applyAlignment="1">
      <alignment horizontal="right" wrapText="1"/>
      <protection/>
    </xf>
    <xf numFmtId="3" fontId="19" fillId="0" borderId="0" xfId="23" applyNumberFormat="1" applyFont="1">
      <alignment/>
      <protection/>
    </xf>
    <xf numFmtId="0" fontId="19" fillId="0" borderId="0" xfId="23" applyFont="1">
      <alignment/>
      <protection/>
    </xf>
    <xf numFmtId="0" fontId="4" fillId="0" borderId="20" xfId="23" applyFont="1" applyBorder="1" applyAlignment="1">
      <alignment horizontal="right" wrapText="1"/>
      <protection/>
    </xf>
    <xf numFmtId="0" fontId="4" fillId="0" borderId="0" xfId="23" applyFont="1" applyBorder="1" applyAlignment="1">
      <alignment horizontal="right" wrapText="1"/>
      <protection/>
    </xf>
    <xf numFmtId="209" fontId="2" fillId="0" borderId="0" xfId="23" applyNumberFormat="1" applyFont="1" applyBorder="1">
      <alignment/>
      <protection/>
    </xf>
    <xf numFmtId="0" fontId="2" fillId="0" borderId="0" xfId="23" applyFont="1" applyAlignment="1">
      <alignment wrapText="1"/>
      <protection/>
    </xf>
    <xf numFmtId="49" fontId="3" fillId="0" borderId="0" xfId="23" applyNumberFormat="1" applyFont="1" applyBorder="1" applyAlignment="1">
      <alignment vertical="top" wrapText="1"/>
      <protection/>
    </xf>
    <xf numFmtId="49" fontId="3" fillId="0" borderId="0" xfId="23" applyNumberFormat="1" applyFont="1" applyBorder="1" applyAlignment="1">
      <alignment horizontal="center" vertical="top" wrapText="1"/>
      <protection/>
    </xf>
    <xf numFmtId="0" fontId="3" fillId="0" borderId="0" xfId="23" applyFont="1" applyBorder="1" applyAlignment="1">
      <alignment horizontal="center"/>
      <protection/>
    </xf>
    <xf numFmtId="0" fontId="3" fillId="0" borderId="0" xfId="23" applyFont="1" applyBorder="1">
      <alignment/>
      <protection/>
    </xf>
    <xf numFmtId="49" fontId="0" fillId="0" borderId="0" xfId="23" applyNumberFormat="1" applyFont="1" applyBorder="1" applyAlignment="1">
      <alignment horizontal="center" vertical="top" wrapText="1"/>
      <protection/>
    </xf>
    <xf numFmtId="0" fontId="0" fillId="0" borderId="0" xfId="23" applyFont="1" applyBorder="1">
      <alignment/>
      <protection/>
    </xf>
    <xf numFmtId="3" fontId="17" fillId="0" borderId="0" xfId="23" applyNumberFormat="1" applyFont="1" applyBorder="1">
      <alignment/>
      <protection/>
    </xf>
    <xf numFmtId="0" fontId="1" fillId="0" borderId="0" xfId="23" applyFont="1" applyAlignment="1">
      <alignment horizontal="center"/>
      <protection/>
    </xf>
    <xf numFmtId="0" fontId="2" fillId="0" borderId="14" xfId="23" applyFont="1" applyBorder="1">
      <alignment/>
      <protection/>
    </xf>
    <xf numFmtId="0" fontId="3" fillId="0" borderId="14" xfId="23" applyFont="1" applyBorder="1" applyAlignment="1">
      <alignment horizontal="right"/>
      <protection/>
    </xf>
    <xf numFmtId="0" fontId="0" fillId="0" borderId="15" xfId="23" applyFont="1" applyBorder="1" applyAlignment="1">
      <alignment horizontal="center" wrapText="1"/>
      <protection/>
    </xf>
    <xf numFmtId="3" fontId="2" fillId="0" borderId="17" xfId="23" applyNumberFormat="1" applyFont="1" applyBorder="1" applyAlignment="1">
      <alignment horizontal="center"/>
      <protection/>
    </xf>
    <xf numFmtId="0" fontId="0" fillId="0" borderId="18" xfId="23" applyFont="1" applyBorder="1" applyAlignment="1">
      <alignment horizontal="center" wrapText="1"/>
      <protection/>
    </xf>
    <xf numFmtId="3" fontId="2" fillId="0" borderId="11" xfId="23" applyNumberFormat="1" applyFont="1" applyBorder="1" applyAlignment="1">
      <alignment horizontal="center"/>
      <protection/>
    </xf>
    <xf numFmtId="0" fontId="2" fillId="0" borderId="1" xfId="23" applyFont="1" applyBorder="1">
      <alignment/>
      <protection/>
    </xf>
    <xf numFmtId="0" fontId="4" fillId="0" borderId="18" xfId="23" applyFont="1" applyBorder="1" applyAlignment="1">
      <alignment wrapText="1"/>
      <protection/>
    </xf>
    <xf numFmtId="3" fontId="11" fillId="0" borderId="11" xfId="23" applyNumberFormat="1" applyFont="1" applyBorder="1" applyAlignment="1">
      <alignment horizontal="right"/>
      <protection/>
    </xf>
    <xf numFmtId="0" fontId="0" fillId="0" borderId="18" xfId="23" applyFont="1" applyBorder="1" applyAlignment="1">
      <alignment wrapText="1"/>
      <protection/>
    </xf>
    <xf numFmtId="3" fontId="2" fillId="0" borderId="11" xfId="23" applyNumberFormat="1" applyFont="1" applyBorder="1" applyAlignment="1">
      <alignment horizontal="right"/>
      <protection/>
    </xf>
    <xf numFmtId="0" fontId="0" fillId="0" borderId="21" xfId="23" applyFont="1" applyBorder="1" applyAlignment="1">
      <alignment wrapText="1"/>
      <protection/>
    </xf>
    <xf numFmtId="3" fontId="2" fillId="0" borderId="41" xfId="23" applyNumberFormat="1" applyFont="1" applyBorder="1" applyAlignment="1">
      <alignment horizontal="right"/>
      <protection/>
    </xf>
    <xf numFmtId="0" fontId="0" fillId="0" borderId="42" xfId="23" applyFont="1" applyBorder="1" applyAlignment="1">
      <alignment wrapText="1"/>
      <protection/>
    </xf>
    <xf numFmtId="3" fontId="2" fillId="0" borderId="43" xfId="23" applyNumberFormat="1" applyFont="1" applyBorder="1" applyAlignment="1">
      <alignment horizontal="right"/>
      <protection/>
    </xf>
    <xf numFmtId="0" fontId="4" fillId="0" borderId="18" xfId="23" applyFont="1" applyBorder="1" applyAlignment="1">
      <alignment horizontal="left"/>
      <protection/>
    </xf>
    <xf numFmtId="0" fontId="4" fillId="0" borderId="20" xfId="23" applyFont="1" applyBorder="1" applyAlignment="1">
      <alignment horizontal="left"/>
      <protection/>
    </xf>
    <xf numFmtId="3" fontId="11" fillId="0" borderId="13" xfId="23" applyNumberFormat="1" applyFont="1" applyBorder="1" applyAlignment="1">
      <alignment horizontal="right"/>
      <protection/>
    </xf>
    <xf numFmtId="0" fontId="10" fillId="0" borderId="0" xfId="23" applyFont="1">
      <alignment/>
      <protection/>
    </xf>
    <xf numFmtId="3" fontId="2" fillId="0" borderId="0" xfId="23" applyNumberFormat="1" applyFont="1">
      <alignment/>
      <protection/>
    </xf>
    <xf numFmtId="3" fontId="2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3" fillId="0" borderId="1" xfId="23" applyFont="1" applyBorder="1" applyAlignment="1">
      <alignment horizontal="centerContinuous" vertical="center" wrapText="1"/>
      <protection/>
    </xf>
    <xf numFmtId="0" fontId="17" fillId="0" borderId="1" xfId="23" applyFont="1" applyBorder="1" applyAlignment="1">
      <alignment horizontal="centerContinuous"/>
      <protection/>
    </xf>
    <xf numFmtId="164" fontId="3" fillId="0" borderId="1" xfId="23" applyNumberFormat="1" applyFont="1" applyBorder="1" applyAlignment="1">
      <alignment horizontal="center"/>
      <protection/>
    </xf>
    <xf numFmtId="3" fontId="2" fillId="0" borderId="1" xfId="23" applyNumberFormat="1" applyFont="1" applyBorder="1" applyAlignment="1">
      <alignment horizontal="right"/>
      <protection/>
    </xf>
    <xf numFmtId="4" fontId="2" fillId="0" borderId="1" xfId="23" applyNumberFormat="1" applyFont="1" applyBorder="1">
      <alignment/>
      <protection/>
    </xf>
    <xf numFmtId="3" fontId="2" fillId="0" borderId="1" xfId="23" applyNumberFormat="1" applyFont="1" applyBorder="1" applyAlignment="1">
      <alignment horizontal="right"/>
      <protection/>
    </xf>
    <xf numFmtId="4" fontId="11" fillId="0" borderId="0" xfId="23" applyNumberFormat="1" applyFont="1" applyBorder="1">
      <alignment/>
      <protection/>
    </xf>
    <xf numFmtId="3" fontId="2" fillId="0" borderId="0" xfId="23" applyNumberFormat="1" applyFont="1" applyBorder="1" applyAlignment="1">
      <alignment horizontal="right"/>
      <protection/>
    </xf>
    <xf numFmtId="3" fontId="11" fillId="0" borderId="0" xfId="23" applyNumberFormat="1" applyFont="1" applyBorder="1" applyAlignment="1">
      <alignment horizontal="right"/>
      <protection/>
    </xf>
    <xf numFmtId="4" fontId="4" fillId="0" borderId="0" xfId="23" applyNumberFormat="1" applyFont="1" applyBorder="1">
      <alignment/>
      <protection/>
    </xf>
    <xf numFmtId="207" fontId="4" fillId="0" borderId="0" xfId="23" applyNumberFormat="1" applyFont="1" applyBorder="1">
      <alignment/>
      <protection/>
    </xf>
    <xf numFmtId="208" fontId="4" fillId="0" borderId="0" xfId="23" applyNumberFormat="1" applyFont="1" applyBorder="1">
      <alignment/>
      <protection/>
    </xf>
    <xf numFmtId="164" fontId="4" fillId="0" borderId="0" xfId="23" applyNumberFormat="1" applyFont="1" applyBorder="1">
      <alignment/>
      <protection/>
    </xf>
    <xf numFmtId="208" fontId="2" fillId="0" borderId="0" xfId="23" applyNumberFormat="1" applyFont="1" applyBorder="1">
      <alignment/>
      <protection/>
    </xf>
    <xf numFmtId="164" fontId="2" fillId="0" borderId="0" xfId="23" applyNumberFormat="1" applyFont="1" applyBorder="1">
      <alignment/>
      <protection/>
    </xf>
    <xf numFmtId="4" fontId="11" fillId="0" borderId="0" xfId="23" applyNumberFormat="1" applyFont="1">
      <alignment/>
      <protection/>
    </xf>
    <xf numFmtId="164" fontId="2" fillId="0" borderId="0" xfId="23" applyNumberFormat="1" applyFont="1">
      <alignment/>
      <protection/>
    </xf>
    <xf numFmtId="0" fontId="17" fillId="0" borderId="0" xfId="23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Comma [0]_9912PasvBudz" xfId="17"/>
    <cellStyle name="Comma_9912PasvBudz" xfId="18"/>
    <cellStyle name="Currency" xfId="19"/>
    <cellStyle name="Currency [0]" xfId="20"/>
    <cellStyle name="Currency [0]_9912PasvBudz" xfId="21"/>
    <cellStyle name="Currency_9912PasvBudz" xfId="22"/>
    <cellStyle name="Normal_9912PasvBudz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2.57421875" style="2" customWidth="1"/>
    <col min="2" max="2" width="11.8515625" style="2" customWidth="1"/>
    <col min="3" max="4" width="12.57421875" style="2" customWidth="1"/>
    <col min="5" max="5" width="11.28125" style="2" customWidth="1"/>
  </cols>
  <sheetData>
    <row r="1" spans="1:5" ht="12.75">
      <c r="A1" s="268" t="s">
        <v>0</v>
      </c>
      <c r="B1" s="268"/>
      <c r="C1" s="268"/>
      <c r="D1" s="268"/>
      <c r="E1" s="268"/>
    </row>
    <row r="2" spans="1:5" ht="20.25" customHeight="1">
      <c r="A2" s="268"/>
      <c r="B2" s="268"/>
      <c r="C2" s="268"/>
      <c r="D2" s="268"/>
      <c r="E2" s="268"/>
    </row>
    <row r="3" spans="1:4" ht="12.75">
      <c r="A3" s="1"/>
      <c r="D3" s="2" t="s">
        <v>1</v>
      </c>
    </row>
    <row r="4" spans="1:5" ht="33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12.75">
      <c r="A5" s="5" t="s">
        <v>7</v>
      </c>
      <c r="B5" s="6">
        <v>1291176</v>
      </c>
      <c r="C5" s="7">
        <v>412396</v>
      </c>
      <c r="D5" s="6">
        <v>1703572</v>
      </c>
      <c r="E5" s="8">
        <v>165317</v>
      </c>
    </row>
    <row r="6" spans="1:5" ht="22.5">
      <c r="A6" s="9" t="s">
        <v>8</v>
      </c>
      <c r="B6" s="10" t="s">
        <v>9</v>
      </c>
      <c r="C6" s="10" t="s">
        <v>9</v>
      </c>
      <c r="D6" s="11">
        <v>100993</v>
      </c>
      <c r="E6" s="12">
        <v>6862</v>
      </c>
    </row>
    <row r="7" spans="1:5" ht="22.5">
      <c r="A7" s="9" t="s">
        <v>10</v>
      </c>
      <c r="B7" s="10" t="s">
        <v>9</v>
      </c>
      <c r="C7" s="10" t="s">
        <v>9</v>
      </c>
      <c r="D7" s="11">
        <v>20016</v>
      </c>
      <c r="E7" s="12">
        <v>1534</v>
      </c>
    </row>
    <row r="8" spans="1:5" ht="12.75">
      <c r="A8" s="13" t="s">
        <v>11</v>
      </c>
      <c r="B8" s="14" t="s">
        <v>9</v>
      </c>
      <c r="C8" s="14" t="s">
        <v>9</v>
      </c>
      <c r="D8" s="6">
        <v>1582563</v>
      </c>
      <c r="E8" s="8">
        <v>156921</v>
      </c>
    </row>
    <row r="9" spans="1:5" ht="12.75">
      <c r="A9" s="5" t="s">
        <v>12</v>
      </c>
      <c r="B9" s="6">
        <v>1419293</v>
      </c>
      <c r="C9" s="7">
        <v>424386</v>
      </c>
      <c r="D9" s="6">
        <v>1843679</v>
      </c>
      <c r="E9" s="8">
        <v>190069</v>
      </c>
    </row>
    <row r="10" spans="1:5" ht="22.5">
      <c r="A10" s="9" t="s">
        <v>13</v>
      </c>
      <c r="B10" s="10" t="s">
        <v>9</v>
      </c>
      <c r="C10" s="10" t="s">
        <v>9</v>
      </c>
      <c r="D10" s="11">
        <v>100993</v>
      </c>
      <c r="E10" s="12">
        <v>6862</v>
      </c>
    </row>
    <row r="11" spans="1:5" ht="22.5">
      <c r="A11" s="9" t="s">
        <v>14</v>
      </c>
      <c r="B11" s="10" t="s">
        <v>9</v>
      </c>
      <c r="C11" s="10" t="s">
        <v>9</v>
      </c>
      <c r="D11" s="11">
        <v>20016</v>
      </c>
      <c r="E11" s="12">
        <v>1534</v>
      </c>
    </row>
    <row r="12" spans="1:5" ht="12.75">
      <c r="A12" s="13" t="s">
        <v>15</v>
      </c>
      <c r="B12" s="14" t="s">
        <v>9</v>
      </c>
      <c r="C12" s="14" t="s">
        <v>9</v>
      </c>
      <c r="D12" s="6">
        <v>1722670</v>
      </c>
      <c r="E12" s="8">
        <v>181673</v>
      </c>
    </row>
    <row r="13" spans="1:5" ht="25.5">
      <c r="A13" s="13" t="s">
        <v>16</v>
      </c>
      <c r="B13" s="6">
        <v>-128117</v>
      </c>
      <c r="C13" s="7">
        <v>-11990</v>
      </c>
      <c r="D13" s="6">
        <v>-140107</v>
      </c>
      <c r="E13" s="8">
        <v>-24752</v>
      </c>
    </row>
    <row r="14" spans="1:5" ht="12.75">
      <c r="A14" s="15" t="s">
        <v>17</v>
      </c>
      <c r="B14" s="7">
        <v>12032</v>
      </c>
      <c r="C14" s="7">
        <v>2394</v>
      </c>
      <c r="D14" s="7">
        <v>6931</v>
      </c>
      <c r="E14" s="8">
        <v>-1799</v>
      </c>
    </row>
    <row r="15" spans="1:5" ht="12.75">
      <c r="A15" s="16" t="s">
        <v>18</v>
      </c>
      <c r="B15" s="17">
        <v>37089</v>
      </c>
      <c r="C15" s="18">
        <v>5550</v>
      </c>
      <c r="D15" s="17">
        <v>42639</v>
      </c>
      <c r="E15" s="19">
        <v>22436</v>
      </c>
    </row>
    <row r="16" spans="1:5" ht="22.5">
      <c r="A16" s="9" t="s">
        <v>19</v>
      </c>
      <c r="B16" s="10" t="s">
        <v>9</v>
      </c>
      <c r="C16" s="10" t="s">
        <v>9</v>
      </c>
      <c r="D16" s="11">
        <v>15646</v>
      </c>
      <c r="E16" s="12">
        <v>6579</v>
      </c>
    </row>
    <row r="17" spans="1:5" ht="12.75">
      <c r="A17" s="15" t="s">
        <v>20</v>
      </c>
      <c r="B17" s="14" t="s">
        <v>9</v>
      </c>
      <c r="C17" s="14" t="s">
        <v>9</v>
      </c>
      <c r="D17" s="6">
        <v>26993</v>
      </c>
      <c r="E17" s="8">
        <v>15857</v>
      </c>
    </row>
    <row r="18" spans="1:5" ht="12.75">
      <c r="A18" s="16" t="s">
        <v>21</v>
      </c>
      <c r="B18" s="17">
        <v>25057</v>
      </c>
      <c r="C18" s="18">
        <v>3156</v>
      </c>
      <c r="D18" s="17">
        <v>28213</v>
      </c>
      <c r="E18" s="19">
        <v>18164</v>
      </c>
    </row>
    <row r="19" spans="1:5" ht="22.5">
      <c r="A19" s="9" t="s">
        <v>22</v>
      </c>
      <c r="B19" s="20" t="s">
        <v>9</v>
      </c>
      <c r="C19" s="20" t="s">
        <v>9</v>
      </c>
      <c r="D19" s="11">
        <v>8151</v>
      </c>
      <c r="E19" s="12">
        <v>508</v>
      </c>
    </row>
    <row r="20" spans="1:5" ht="12.75">
      <c r="A20" s="15" t="s">
        <v>23</v>
      </c>
      <c r="B20" s="14" t="s">
        <v>9</v>
      </c>
      <c r="C20" s="14" t="s">
        <v>9</v>
      </c>
      <c r="D20" s="6">
        <v>20062</v>
      </c>
      <c r="E20" s="8">
        <v>17656</v>
      </c>
    </row>
    <row r="21" spans="1:5" ht="25.5">
      <c r="A21" s="13" t="s">
        <v>24</v>
      </c>
      <c r="B21" s="7">
        <v>-140149</v>
      </c>
      <c r="C21" s="7">
        <v>-14384</v>
      </c>
      <c r="D21" s="6">
        <v>-147038</v>
      </c>
      <c r="E21" s="8">
        <v>-22953</v>
      </c>
    </row>
    <row r="22" spans="1:5" ht="12.75">
      <c r="A22" s="5" t="s">
        <v>25</v>
      </c>
      <c r="B22" s="6">
        <v>140149</v>
      </c>
      <c r="C22" s="7">
        <v>14384</v>
      </c>
      <c r="D22" s="6">
        <v>147038</v>
      </c>
      <c r="E22" s="8">
        <v>22953</v>
      </c>
    </row>
    <row r="23" spans="1:5" ht="12.75">
      <c r="A23" s="5" t="s">
        <v>26</v>
      </c>
      <c r="B23" s="6">
        <v>13277</v>
      </c>
      <c r="C23" s="7">
        <v>14384</v>
      </c>
      <c r="D23" s="7">
        <v>20166</v>
      </c>
      <c r="E23" s="8">
        <v>24695</v>
      </c>
    </row>
    <row r="24" spans="1:5" ht="12.75">
      <c r="A24" s="21" t="s">
        <v>27</v>
      </c>
      <c r="B24" s="22">
        <v>2641</v>
      </c>
      <c r="C24" s="22">
        <v>7668</v>
      </c>
      <c r="D24" s="22">
        <v>2814</v>
      </c>
      <c r="E24" s="23">
        <v>-13994</v>
      </c>
    </row>
    <row r="25" spans="1:5" ht="22.5">
      <c r="A25" s="9" t="s">
        <v>28</v>
      </c>
      <c r="B25" s="11">
        <v>2641</v>
      </c>
      <c r="C25" s="24">
        <v>173</v>
      </c>
      <c r="D25" s="11">
        <v>2814</v>
      </c>
      <c r="E25" s="12">
        <v>-13994</v>
      </c>
    </row>
    <row r="26" spans="1:5" ht="22.5">
      <c r="A26" s="9" t="s">
        <v>29</v>
      </c>
      <c r="B26" s="11"/>
      <c r="C26" s="24">
        <v>7495</v>
      </c>
      <c r="D26" s="11">
        <v>7495</v>
      </c>
      <c r="E26" s="12">
        <v>6071</v>
      </c>
    </row>
    <row r="27" spans="1:5" ht="22.5">
      <c r="A27" s="25" t="s">
        <v>30</v>
      </c>
      <c r="B27" s="20" t="s">
        <v>9</v>
      </c>
      <c r="C27" s="20" t="s">
        <v>9</v>
      </c>
      <c r="D27" s="26">
        <v>-7495</v>
      </c>
      <c r="E27" s="23">
        <v>-6071</v>
      </c>
    </row>
    <row r="28" spans="1:5" ht="22.5">
      <c r="A28" s="9" t="s">
        <v>31</v>
      </c>
      <c r="B28" s="20" t="s">
        <v>9</v>
      </c>
      <c r="C28" s="20" t="s">
        <v>9</v>
      </c>
      <c r="D28" s="26"/>
      <c r="E28" s="23">
        <v>0</v>
      </c>
    </row>
    <row r="29" spans="1:5" ht="12.75">
      <c r="A29" s="27" t="s">
        <v>32</v>
      </c>
      <c r="B29" s="26">
        <v>6356</v>
      </c>
      <c r="C29" s="22">
        <v>0</v>
      </c>
      <c r="D29" s="26">
        <v>6356</v>
      </c>
      <c r="E29" s="23">
        <v>49303</v>
      </c>
    </row>
    <row r="30" spans="1:5" ht="12.75">
      <c r="A30" s="9" t="s">
        <v>33</v>
      </c>
      <c r="B30" s="11"/>
      <c r="C30" s="22"/>
      <c r="D30" s="11">
        <v>0</v>
      </c>
      <c r="E30" s="12">
        <v>0</v>
      </c>
    </row>
    <row r="31" spans="1:5" ht="12.75">
      <c r="A31" s="9" t="s">
        <v>34</v>
      </c>
      <c r="B31" s="11">
        <v>18483</v>
      </c>
      <c r="C31" s="24"/>
      <c r="D31" s="11">
        <v>18483</v>
      </c>
      <c r="E31" s="12">
        <v>56503</v>
      </c>
    </row>
    <row r="32" spans="1:5" ht="22.5">
      <c r="A32" s="9" t="s">
        <v>35</v>
      </c>
      <c r="B32" s="11">
        <v>-30199</v>
      </c>
      <c r="C32" s="24"/>
      <c r="D32" s="11">
        <v>-30199</v>
      </c>
      <c r="E32" s="12">
        <v>-20054</v>
      </c>
    </row>
    <row r="33" spans="1:5" ht="12.75">
      <c r="A33" s="9" t="s">
        <v>36</v>
      </c>
      <c r="B33" s="11">
        <v>18072</v>
      </c>
      <c r="C33" s="24"/>
      <c r="D33" s="11">
        <v>18072</v>
      </c>
      <c r="E33" s="12">
        <v>12854</v>
      </c>
    </row>
    <row r="34" spans="1:5" ht="12.75">
      <c r="A34" s="28" t="s">
        <v>37</v>
      </c>
      <c r="B34" s="26">
        <v>16280</v>
      </c>
      <c r="C34" s="24">
        <v>9660</v>
      </c>
      <c r="D34" s="26">
        <v>25940</v>
      </c>
      <c r="E34" s="23">
        <v>-6551</v>
      </c>
    </row>
    <row r="35" spans="1:5" ht="12.75">
      <c r="A35" s="10" t="s">
        <v>38</v>
      </c>
      <c r="B35" s="11"/>
      <c r="C35" s="24">
        <v>7664</v>
      </c>
      <c r="D35" s="11">
        <v>7664</v>
      </c>
      <c r="E35" s="12">
        <v>2336</v>
      </c>
    </row>
    <row r="36" spans="1:5" ht="12.75">
      <c r="A36" s="10" t="s">
        <v>34</v>
      </c>
      <c r="B36" s="11">
        <v>9532</v>
      </c>
      <c r="C36" s="24"/>
      <c r="D36" s="11">
        <v>9532</v>
      </c>
      <c r="E36" s="12">
        <v>-10159</v>
      </c>
    </row>
    <row r="37" spans="1:5" ht="22.5">
      <c r="A37" s="9" t="s">
        <v>35</v>
      </c>
      <c r="B37" s="11">
        <v>6748</v>
      </c>
      <c r="C37" s="24">
        <v>1996</v>
      </c>
      <c r="D37" s="11">
        <v>8744</v>
      </c>
      <c r="E37" s="12">
        <v>1272</v>
      </c>
    </row>
    <row r="38" spans="1:5" ht="12.75">
      <c r="A38" s="28" t="s">
        <v>39</v>
      </c>
      <c r="B38" s="26">
        <v>-12000</v>
      </c>
      <c r="C38" s="22">
        <v>-2944</v>
      </c>
      <c r="D38" s="11">
        <v>-14944</v>
      </c>
      <c r="E38" s="12">
        <v>-4063</v>
      </c>
    </row>
    <row r="39" spans="1:5" ht="12.75">
      <c r="A39" s="29" t="s">
        <v>40</v>
      </c>
      <c r="B39" s="6">
        <v>126872</v>
      </c>
      <c r="C39" s="7"/>
      <c r="D39" s="6">
        <v>126872</v>
      </c>
      <c r="E39" s="8">
        <v>-1742</v>
      </c>
    </row>
    <row r="40" spans="1:5" ht="12.75">
      <c r="A40" s="30" t="s">
        <v>41</v>
      </c>
      <c r="B40" s="31"/>
      <c r="C40" s="32"/>
      <c r="D40" s="33"/>
      <c r="E40" s="34"/>
    </row>
    <row r="41" spans="1:5" ht="12.75">
      <c r="A41" s="35"/>
      <c r="B41" s="36"/>
      <c r="C41" s="32"/>
      <c r="D41" s="37"/>
      <c r="E41" s="38"/>
    </row>
    <row r="42" spans="1:5" ht="12.75">
      <c r="A42" s="269"/>
      <c r="B42" s="269"/>
      <c r="C42" s="269"/>
      <c r="D42" s="269"/>
      <c r="E42" s="34"/>
    </row>
    <row r="43" spans="1:5" ht="12.75">
      <c r="A43" s="40" t="s">
        <v>42</v>
      </c>
      <c r="B43" s="39"/>
      <c r="C43" s="39"/>
      <c r="D43" s="39"/>
      <c r="E43" s="41"/>
    </row>
    <row r="44" spans="1:5" ht="12.75">
      <c r="A44" s="39"/>
      <c r="B44" s="39"/>
      <c r="C44" s="39"/>
      <c r="D44" s="39"/>
      <c r="E44" s="34"/>
    </row>
    <row r="45" spans="1:5" ht="12.75">
      <c r="A45" s="42"/>
      <c r="B45" s="42"/>
      <c r="C45" s="43"/>
      <c r="D45" s="44"/>
      <c r="E45" s="45"/>
    </row>
    <row r="46" spans="1:5" ht="12.75">
      <c r="A46" s="42"/>
      <c r="B46" s="42"/>
      <c r="C46" s="30"/>
      <c r="D46" s="42"/>
      <c r="E46" s="46"/>
    </row>
    <row r="47" spans="1:5" ht="12.75">
      <c r="A47" s="42" t="s">
        <v>43</v>
      </c>
      <c r="B47" s="31"/>
      <c r="C47" s="32"/>
      <c r="D47" s="33"/>
      <c r="E47" s="34"/>
    </row>
    <row r="48" spans="1:5" ht="12.75">
      <c r="A48" s="42" t="s">
        <v>44</v>
      </c>
      <c r="B48" s="31"/>
      <c r="C48" s="32"/>
      <c r="D48" s="33"/>
      <c r="E48" s="34"/>
    </row>
  </sheetData>
  <mergeCells count="2">
    <mergeCell ref="A1:E2"/>
    <mergeCell ref="A42:D4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F17" sqref="F17"/>
    </sheetView>
  </sheetViews>
  <sheetFormatPr defaultColWidth="9.140625" defaultRowHeight="12.75"/>
  <cols>
    <col min="1" max="1" width="31.28125" style="261" customWidth="1"/>
    <col min="2" max="2" width="7.28125" style="261" customWidth="1"/>
    <col min="3" max="3" width="10.7109375" style="261" customWidth="1"/>
    <col min="4" max="4" width="8.140625" style="261" customWidth="1"/>
    <col min="5" max="5" width="7.28125" style="261" customWidth="1"/>
    <col min="6" max="6" width="10.7109375" style="261" customWidth="1"/>
  </cols>
  <sheetData>
    <row r="1" spans="3:4" ht="12.75">
      <c r="C1" s="110"/>
      <c r="D1" s="110"/>
    </row>
    <row r="2" spans="1:6" ht="12.75">
      <c r="A2" s="110" t="s">
        <v>445</v>
      </c>
      <c r="C2" s="110"/>
      <c r="D2" s="110"/>
      <c r="E2" s="110"/>
      <c r="F2" s="262" t="s">
        <v>446</v>
      </c>
    </row>
    <row r="4" spans="1:6" ht="15.75">
      <c r="A4" s="271" t="s">
        <v>447</v>
      </c>
      <c r="B4" s="271"/>
      <c r="C4" s="271"/>
      <c r="D4" s="271"/>
      <c r="E4" s="271"/>
      <c r="F4" s="271"/>
    </row>
    <row r="5" spans="1:6" ht="15.75">
      <c r="A5" s="271" t="s">
        <v>217</v>
      </c>
      <c r="B5" s="271"/>
      <c r="C5" s="271"/>
      <c r="D5" s="271"/>
      <c r="E5" s="271"/>
      <c r="F5" s="271"/>
    </row>
    <row r="7" ht="12.75">
      <c r="F7" s="263"/>
    </row>
    <row r="8" spans="4:6" ht="12.75">
      <c r="D8" s="110"/>
      <c r="F8" s="264" t="s">
        <v>178</v>
      </c>
    </row>
    <row r="9" spans="1:6" ht="60">
      <c r="A9" s="253" t="s">
        <v>2</v>
      </c>
      <c r="B9" s="254" t="s">
        <v>425</v>
      </c>
      <c r="C9" s="254" t="s">
        <v>99</v>
      </c>
      <c r="D9" s="254" t="s">
        <v>100</v>
      </c>
      <c r="E9" s="254" t="s">
        <v>426</v>
      </c>
      <c r="F9" s="254" t="s">
        <v>448</v>
      </c>
    </row>
    <row r="10" spans="1:6" ht="12.75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119">
        <v>6</v>
      </c>
    </row>
    <row r="11" spans="1:6" ht="15">
      <c r="A11" s="255" t="s">
        <v>309</v>
      </c>
      <c r="B11" s="177"/>
      <c r="C11" s="104">
        <v>828318</v>
      </c>
      <c r="D11" s="104">
        <v>793477</v>
      </c>
      <c r="E11" s="85">
        <v>0.958</v>
      </c>
      <c r="F11" s="104">
        <v>11863</v>
      </c>
    </row>
    <row r="12" spans="1:6" ht="12.75">
      <c r="A12" s="202" t="s">
        <v>427</v>
      </c>
      <c r="B12" s="257">
        <v>1</v>
      </c>
      <c r="C12" s="106">
        <v>123</v>
      </c>
      <c r="D12" s="106">
        <v>53</v>
      </c>
      <c r="E12" s="91">
        <v>0.431</v>
      </c>
      <c r="F12" s="106">
        <v>6443</v>
      </c>
    </row>
    <row r="13" spans="1:6" ht="12.75">
      <c r="A13" s="92" t="s">
        <v>428</v>
      </c>
      <c r="B13" s="257">
        <v>2</v>
      </c>
      <c r="C13" s="106">
        <v>0</v>
      </c>
      <c r="D13" s="106">
        <v>0</v>
      </c>
      <c r="E13" s="91" t="s">
        <v>113</v>
      </c>
      <c r="F13" s="106">
        <v>204</v>
      </c>
    </row>
    <row r="14" spans="1:6" ht="12.75">
      <c r="A14" s="92" t="s">
        <v>429</v>
      </c>
      <c r="B14" s="257">
        <v>3</v>
      </c>
      <c r="C14" s="106">
        <v>0</v>
      </c>
      <c r="D14" s="106">
        <v>0</v>
      </c>
      <c r="E14" s="91" t="s">
        <v>113</v>
      </c>
      <c r="F14" s="106">
        <v>315</v>
      </c>
    </row>
    <row r="15" spans="1:6" ht="12.75">
      <c r="A15" s="92" t="s">
        <v>449</v>
      </c>
      <c r="B15" s="257">
        <v>4</v>
      </c>
      <c r="C15" s="106">
        <v>4013</v>
      </c>
      <c r="D15" s="106">
        <v>3270</v>
      </c>
      <c r="E15" s="91">
        <v>0.815</v>
      </c>
      <c r="F15" s="106">
        <v>1964</v>
      </c>
    </row>
    <row r="16" spans="1:6" ht="12.75">
      <c r="A16" s="92" t="s">
        <v>431</v>
      </c>
      <c r="B16" s="257">
        <v>5</v>
      </c>
      <c r="C16" s="106">
        <v>142291</v>
      </c>
      <c r="D16" s="106">
        <v>138145</v>
      </c>
      <c r="E16" s="91">
        <v>0.971</v>
      </c>
      <c r="F16" s="106">
        <v>281</v>
      </c>
    </row>
    <row r="17" spans="1:6" ht="12.75">
      <c r="A17" s="92" t="s">
        <v>432</v>
      </c>
      <c r="B17" s="257">
        <v>6</v>
      </c>
      <c r="C17" s="106">
        <v>523313</v>
      </c>
      <c r="D17" s="106">
        <v>517755</v>
      </c>
      <c r="E17" s="91">
        <v>0.989</v>
      </c>
      <c r="F17" s="106">
        <v>465</v>
      </c>
    </row>
    <row r="18" spans="1:6" ht="22.5">
      <c r="A18" s="135" t="s">
        <v>433</v>
      </c>
      <c r="B18" s="257">
        <v>7</v>
      </c>
      <c r="C18" s="106">
        <v>9103</v>
      </c>
      <c r="D18" s="106">
        <v>8832</v>
      </c>
      <c r="E18" s="91">
        <v>0.97</v>
      </c>
      <c r="F18" s="106">
        <v>115</v>
      </c>
    </row>
    <row r="19" spans="1:6" ht="12.75">
      <c r="A19" s="92" t="s">
        <v>434</v>
      </c>
      <c r="B19" s="257">
        <v>8</v>
      </c>
      <c r="C19" s="106">
        <v>5044</v>
      </c>
      <c r="D19" s="106">
        <v>4887</v>
      </c>
      <c r="E19" s="91">
        <v>0.969</v>
      </c>
      <c r="F19" s="106">
        <v>540</v>
      </c>
    </row>
    <row r="20" spans="1:6" ht="12.75">
      <c r="A20" s="92" t="s">
        <v>435</v>
      </c>
      <c r="B20" s="257">
        <v>9</v>
      </c>
      <c r="C20" s="106">
        <v>0</v>
      </c>
      <c r="D20" s="106">
        <v>0</v>
      </c>
      <c r="E20" s="91" t="s">
        <v>113</v>
      </c>
      <c r="F20" s="106">
        <v>0</v>
      </c>
    </row>
    <row r="21" spans="1:6" ht="22.5">
      <c r="A21" s="135" t="s">
        <v>436</v>
      </c>
      <c r="B21" s="257">
        <v>10</v>
      </c>
      <c r="C21" s="106">
        <v>23784</v>
      </c>
      <c r="D21" s="106">
        <v>23581</v>
      </c>
      <c r="E21" s="91">
        <v>0.991</v>
      </c>
      <c r="F21" s="106">
        <v>422</v>
      </c>
    </row>
    <row r="22" spans="1:6" ht="22.5">
      <c r="A22" s="135" t="s">
        <v>437</v>
      </c>
      <c r="B22" s="257">
        <v>11</v>
      </c>
      <c r="C22" s="106">
        <v>0</v>
      </c>
      <c r="D22" s="106">
        <v>0</v>
      </c>
      <c r="E22" s="91" t="s">
        <v>113</v>
      </c>
      <c r="F22" s="106">
        <v>0</v>
      </c>
    </row>
    <row r="23" spans="1:6" ht="12.75">
      <c r="A23" s="92" t="s">
        <v>438</v>
      </c>
      <c r="B23" s="257">
        <v>12</v>
      </c>
      <c r="C23" s="106">
        <v>105242</v>
      </c>
      <c r="D23" s="106">
        <v>86646</v>
      </c>
      <c r="E23" s="91">
        <v>0.823</v>
      </c>
      <c r="F23" s="106">
        <v>1081</v>
      </c>
    </row>
    <row r="24" spans="1:6" ht="12.75">
      <c r="A24" s="92" t="s">
        <v>439</v>
      </c>
      <c r="B24" s="257">
        <v>13</v>
      </c>
      <c r="C24" s="106">
        <v>15405</v>
      </c>
      <c r="D24" s="106">
        <v>10308</v>
      </c>
      <c r="E24" s="91">
        <v>0.669</v>
      </c>
      <c r="F24" s="106">
        <v>18</v>
      </c>
    </row>
    <row r="25" spans="1:6" ht="22.5">
      <c r="A25" s="135" t="s">
        <v>450</v>
      </c>
      <c r="B25" s="257">
        <v>14</v>
      </c>
      <c r="C25" s="106">
        <v>0</v>
      </c>
      <c r="D25" s="106">
        <v>0</v>
      </c>
      <c r="E25" s="91" t="s">
        <v>113</v>
      </c>
      <c r="F25" s="106">
        <v>15</v>
      </c>
    </row>
    <row r="26" spans="2:5" ht="12.75">
      <c r="B26" s="263"/>
      <c r="C26" s="224"/>
      <c r="D26" s="224"/>
      <c r="E26" s="265"/>
    </row>
    <row r="27" spans="1:5" ht="14.25">
      <c r="A27" s="261" t="s">
        <v>451</v>
      </c>
      <c r="B27" s="69"/>
      <c r="C27" s="224"/>
      <c r="D27" s="224"/>
      <c r="E27" s="265"/>
    </row>
    <row r="28" spans="1:5" ht="14.25">
      <c r="A28" s="75"/>
      <c r="B28" s="69"/>
      <c r="C28" s="224"/>
      <c r="D28" s="224"/>
      <c r="E28" s="265"/>
    </row>
    <row r="29" spans="2:5" ht="14.25">
      <c r="B29" s="69"/>
      <c r="C29" s="224"/>
      <c r="D29" s="224"/>
      <c r="E29" s="265"/>
    </row>
    <row r="30" spans="1:5" ht="14.25">
      <c r="A30" s="75"/>
      <c r="B30" s="69"/>
      <c r="C30" s="224"/>
      <c r="D30" s="224"/>
      <c r="E30" s="265"/>
    </row>
    <row r="31" spans="1:5" ht="14.25">
      <c r="A31" s="75"/>
      <c r="B31" s="69"/>
      <c r="C31" s="224"/>
      <c r="D31" s="224"/>
      <c r="E31" s="265"/>
    </row>
    <row r="32" spans="1:5" ht="12.75">
      <c r="A32" s="261" t="s">
        <v>452</v>
      </c>
      <c r="B32" s="263"/>
      <c r="C32" s="266" t="s">
        <v>443</v>
      </c>
      <c r="D32" s="224"/>
      <c r="E32" s="265"/>
    </row>
    <row r="33" spans="1:5" ht="14.25">
      <c r="A33" s="75"/>
      <c r="B33" s="69"/>
      <c r="C33" s="224"/>
      <c r="D33" s="224"/>
      <c r="E33" s="265"/>
    </row>
    <row r="34" spans="2:5" ht="12.75">
      <c r="B34" s="263"/>
      <c r="C34" s="266"/>
      <c r="D34" s="266"/>
      <c r="E34" s="265"/>
    </row>
    <row r="35" spans="2:5" ht="12.75">
      <c r="B35" s="263"/>
      <c r="C35" s="266"/>
      <c r="D35" s="266"/>
      <c r="E35" s="265"/>
    </row>
    <row r="36" spans="3:5" ht="12.75">
      <c r="C36" s="266"/>
      <c r="D36" s="266"/>
      <c r="E36" s="267"/>
    </row>
    <row r="37" spans="3:5" ht="12.75">
      <c r="C37" s="224"/>
      <c r="D37" s="224"/>
      <c r="E37" s="265"/>
    </row>
    <row r="38" spans="3:5" ht="12.75">
      <c r="C38" s="224"/>
      <c r="D38" s="224"/>
      <c r="E38" s="265"/>
    </row>
    <row r="39" spans="3:5" ht="12.75">
      <c r="C39" s="224"/>
      <c r="D39" s="224"/>
      <c r="E39" s="265"/>
    </row>
    <row r="40" spans="3:5" ht="12.75">
      <c r="C40" s="224"/>
      <c r="D40" s="224"/>
      <c r="E40" s="265"/>
    </row>
    <row r="41" spans="3:5" ht="12.75">
      <c r="C41" s="224"/>
      <c r="D41" s="224"/>
      <c r="E41" s="265"/>
    </row>
    <row r="42" spans="3:5" ht="12.75">
      <c r="C42" s="224"/>
      <c r="D42" s="224"/>
      <c r="E42" s="265"/>
    </row>
    <row r="43" spans="3:5" ht="12.75">
      <c r="C43" s="224"/>
      <c r="D43" s="224"/>
      <c r="E43" s="265"/>
    </row>
    <row r="44" spans="3:5" ht="12.75">
      <c r="C44" s="224"/>
      <c r="D44" s="224"/>
      <c r="E44" s="265"/>
    </row>
    <row r="45" spans="1:5" ht="14.25">
      <c r="A45" s="261" t="s">
        <v>444</v>
      </c>
      <c r="B45" s="75"/>
      <c r="C45" s="224"/>
      <c r="D45" s="224"/>
      <c r="E45" s="265"/>
    </row>
    <row r="46" spans="1:5" ht="12.75">
      <c r="A46" s="261" t="s">
        <v>44</v>
      </c>
      <c r="C46" s="224"/>
      <c r="D46" s="224"/>
      <c r="E46" s="265"/>
    </row>
    <row r="47" spans="3:5" ht="12.75">
      <c r="C47" s="224"/>
      <c r="D47" s="224"/>
      <c r="E47" s="265"/>
    </row>
    <row r="48" spans="3:5" ht="12.75">
      <c r="C48" s="224"/>
      <c r="D48" s="224"/>
      <c r="E48" s="265"/>
    </row>
    <row r="49" spans="3:5" ht="12.75">
      <c r="C49" s="224"/>
      <c r="D49" s="224"/>
      <c r="E49" s="265"/>
    </row>
    <row r="50" spans="3:5" ht="12.75">
      <c r="C50" s="224"/>
      <c r="D50" s="224"/>
      <c r="E50" s="265"/>
    </row>
    <row r="51" spans="3:5" ht="12.75">
      <c r="C51" s="266"/>
      <c r="D51" s="224"/>
      <c r="E51" s="265"/>
    </row>
    <row r="52" spans="3:5" ht="12.75">
      <c r="C52" s="266"/>
      <c r="D52" s="224"/>
      <c r="E52" s="265"/>
    </row>
    <row r="53" spans="3:5" ht="12.75">
      <c r="C53" s="266"/>
      <c r="D53" s="224"/>
      <c r="E53" s="265"/>
    </row>
    <row r="54" spans="3:5" ht="12.75">
      <c r="C54" s="266"/>
      <c r="D54" s="110"/>
      <c r="E54" s="265"/>
    </row>
    <row r="55" spans="3:5" ht="12.75">
      <c r="C55" s="266"/>
      <c r="D55" s="110"/>
      <c r="E55" s="265"/>
    </row>
    <row r="56" spans="3:5" ht="12.75">
      <c r="C56" s="266"/>
      <c r="D56" s="110"/>
      <c r="E56" s="265"/>
    </row>
    <row r="57" spans="3:5" ht="12.75">
      <c r="C57" s="266"/>
      <c r="D57" s="110"/>
      <c r="E57" s="265"/>
    </row>
    <row r="58" spans="3:5" ht="12.75">
      <c r="C58" s="266"/>
      <c r="D58" s="110"/>
      <c r="E58" s="265"/>
    </row>
    <row r="59" spans="3:5" ht="12.75">
      <c r="C59" s="266"/>
      <c r="D59" s="110"/>
      <c r="E59" s="265"/>
    </row>
    <row r="60" spans="3:5" ht="12.75">
      <c r="C60" s="266"/>
      <c r="D60" s="110"/>
      <c r="E60" s="265"/>
    </row>
    <row r="61" spans="3:5" ht="12.75">
      <c r="C61" s="266"/>
      <c r="D61" s="110"/>
      <c r="E61" s="265"/>
    </row>
    <row r="62" spans="3:5" ht="12.75">
      <c r="C62" s="266"/>
      <c r="D62" s="110"/>
      <c r="E62" s="265"/>
    </row>
    <row r="63" spans="3:5" ht="12.75">
      <c r="C63" s="266"/>
      <c r="D63" s="110"/>
      <c r="E63" s="265"/>
    </row>
    <row r="64" spans="3:5" ht="12.75">
      <c r="C64" s="266"/>
      <c r="D64" s="110"/>
      <c r="E64" s="265"/>
    </row>
    <row r="65" spans="3:5" ht="12.75">
      <c r="C65" s="266"/>
      <c r="D65" s="110"/>
      <c r="E65" s="265"/>
    </row>
    <row r="66" spans="3:5" ht="12.75">
      <c r="C66" s="266"/>
      <c r="D66" s="110"/>
      <c r="E66" s="265"/>
    </row>
    <row r="67" spans="3:5" ht="12.75">
      <c r="C67" s="266"/>
      <c r="D67" s="110"/>
      <c r="E67" s="265"/>
    </row>
    <row r="68" spans="3:5" ht="12.75">
      <c r="C68" s="266"/>
      <c r="D68" s="110"/>
      <c r="E68" s="265"/>
    </row>
    <row r="69" spans="3:5" ht="12.75">
      <c r="C69" s="266"/>
      <c r="D69" s="110"/>
      <c r="E69" s="265"/>
    </row>
    <row r="70" spans="3:5" ht="12.75">
      <c r="C70" s="266"/>
      <c r="D70" s="110"/>
      <c r="E70" s="265"/>
    </row>
    <row r="71" spans="3:5" ht="12.75">
      <c r="C71" s="266"/>
      <c r="D71" s="110"/>
      <c r="E71" s="265"/>
    </row>
    <row r="72" spans="3:5" ht="12.75">
      <c r="C72" s="266"/>
      <c r="D72" s="110"/>
      <c r="E72" s="265"/>
    </row>
    <row r="73" spans="3:5" ht="12.75">
      <c r="C73" s="266"/>
      <c r="D73" s="110"/>
      <c r="E73" s="265"/>
    </row>
    <row r="74" spans="3:5" ht="12.75">
      <c r="C74" s="266"/>
      <c r="E74" s="265"/>
    </row>
    <row r="75" spans="3:5" ht="12.75">
      <c r="C75" s="266"/>
      <c r="E75" s="265"/>
    </row>
    <row r="76" spans="3:5" ht="12.75">
      <c r="C76" s="266"/>
      <c r="E76" s="265"/>
    </row>
    <row r="77" spans="3:5" ht="12.75">
      <c r="C77" s="266"/>
      <c r="E77" s="265"/>
    </row>
    <row r="78" spans="3:5" ht="12.75">
      <c r="C78" s="266"/>
      <c r="E78" s="265"/>
    </row>
    <row r="79" spans="3:5" ht="12.75">
      <c r="C79" s="266"/>
      <c r="E79" s="265"/>
    </row>
    <row r="80" spans="3:5" ht="12.75">
      <c r="C80" s="266"/>
      <c r="E80" s="265"/>
    </row>
    <row r="81" spans="2:4" ht="12.75">
      <c r="B81" s="266"/>
      <c r="D81" s="265"/>
    </row>
    <row r="82" spans="2:4" ht="12.75">
      <c r="B82" s="266"/>
      <c r="D82" s="265"/>
    </row>
    <row r="83" spans="2:4" ht="12.75">
      <c r="B83" s="266"/>
      <c r="D83" s="265"/>
    </row>
    <row r="84" spans="2:4" ht="12.75">
      <c r="B84" s="266"/>
      <c r="D84" s="265"/>
    </row>
    <row r="85" spans="2:4" ht="12.75">
      <c r="B85" s="266"/>
      <c r="D85" s="265"/>
    </row>
    <row r="86" spans="2:4" ht="12.75">
      <c r="B86" s="266"/>
      <c r="D86" s="265"/>
    </row>
    <row r="87" spans="2:4" ht="12.75">
      <c r="B87" s="266"/>
      <c r="D87" s="265"/>
    </row>
    <row r="88" spans="2:4" ht="12.75">
      <c r="B88" s="266"/>
      <c r="D88" s="265"/>
    </row>
    <row r="89" spans="2:4" ht="12.75">
      <c r="B89" s="266"/>
      <c r="D89" s="265"/>
    </row>
    <row r="90" spans="2:4" ht="12.75">
      <c r="B90" s="266"/>
      <c r="D90" s="265"/>
    </row>
    <row r="91" spans="2:4" ht="12.75">
      <c r="B91" s="266"/>
      <c r="D91" s="265"/>
    </row>
    <row r="92" spans="2:4" ht="12.75">
      <c r="B92" s="266"/>
      <c r="D92" s="265"/>
    </row>
    <row r="93" spans="2:4" ht="12.75">
      <c r="B93" s="266"/>
      <c r="D93" s="265"/>
    </row>
    <row r="94" spans="2:4" ht="12.75">
      <c r="B94" s="266"/>
      <c r="D94" s="265"/>
    </row>
    <row r="95" spans="2:4" ht="12.75">
      <c r="B95" s="266"/>
      <c r="D95" s="265"/>
    </row>
    <row r="96" spans="2:4" ht="12.75">
      <c r="B96" s="266"/>
      <c r="D96" s="265"/>
    </row>
    <row r="97" spans="2:4" ht="12.75">
      <c r="B97" s="266"/>
      <c r="D97" s="265"/>
    </row>
    <row r="98" spans="2:4" ht="12.75">
      <c r="B98" s="266"/>
      <c r="D98" s="265"/>
    </row>
    <row r="99" spans="2:4" ht="12.75">
      <c r="B99" s="266"/>
      <c r="D99" s="265"/>
    </row>
    <row r="100" spans="2:4" ht="12.75">
      <c r="B100" s="266"/>
      <c r="D100" s="265"/>
    </row>
    <row r="101" ht="12.75">
      <c r="B101" s="266"/>
    </row>
    <row r="102" ht="12.75">
      <c r="B102" s="266"/>
    </row>
    <row r="103" ht="12.75">
      <c r="B103" s="266"/>
    </row>
    <row r="104" ht="12.75">
      <c r="B104" s="266"/>
    </row>
    <row r="105" ht="12.75">
      <c r="B105" s="266"/>
    </row>
    <row r="106" ht="12.75">
      <c r="B106" s="266"/>
    </row>
    <row r="107" ht="12.75">
      <c r="B107" s="266"/>
    </row>
    <row r="108" ht="12.75">
      <c r="B108" s="266"/>
    </row>
    <row r="109" ht="12.75">
      <c r="B109" s="266"/>
    </row>
  </sheetData>
  <mergeCells count="2"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60"/>
  <sheetViews>
    <sheetView workbookViewId="0" topLeftCell="A1">
      <selection activeCell="B7" sqref="B7"/>
    </sheetView>
  </sheetViews>
  <sheetFormatPr defaultColWidth="9.140625" defaultRowHeight="12.75"/>
  <cols>
    <col min="1" max="1" width="4.421875" style="49" customWidth="1"/>
    <col min="2" max="2" width="53.421875" style="49" customWidth="1"/>
    <col min="3" max="4" width="19.8515625" style="49" customWidth="1"/>
    <col min="5" max="16384" width="9.140625" style="49" customWidth="1"/>
  </cols>
  <sheetData>
    <row r="2" spans="1:4" s="48" customFormat="1" ht="18">
      <c r="A2" s="47" t="s">
        <v>45</v>
      </c>
      <c r="B2" s="47"/>
      <c r="C2" s="47"/>
      <c r="D2" s="47"/>
    </row>
    <row r="3" spans="1:4" s="48" customFormat="1" ht="18">
      <c r="A3" s="47" t="s">
        <v>46</v>
      </c>
      <c r="B3" s="47"/>
      <c r="C3" s="47"/>
      <c r="D3" s="47"/>
    </row>
    <row r="4" ht="18.75" customHeight="1"/>
    <row r="5" spans="1:4" s="53" customFormat="1" ht="24.75" customHeight="1">
      <c r="A5" s="50"/>
      <c r="B5" s="51" t="s">
        <v>47</v>
      </c>
      <c r="C5" s="52" t="s">
        <v>48</v>
      </c>
      <c r="D5" s="52" t="s">
        <v>49</v>
      </c>
    </row>
    <row r="6" spans="1:4" s="53" customFormat="1" ht="15" customHeight="1">
      <c r="A6" s="54"/>
      <c r="B6" s="55"/>
      <c r="C6" s="56"/>
      <c r="D6" s="55"/>
    </row>
    <row r="7" spans="1:4" s="59" customFormat="1" ht="16.5" customHeight="1">
      <c r="A7" s="57" t="s">
        <v>50</v>
      </c>
      <c r="B7" s="58" t="s">
        <v>51</v>
      </c>
      <c r="D7" s="60"/>
    </row>
    <row r="8" spans="1:4" s="59" customFormat="1" ht="16.5" customHeight="1">
      <c r="A8" s="57"/>
      <c r="B8" s="58" t="s">
        <v>52</v>
      </c>
      <c r="C8" s="61" t="s">
        <v>53</v>
      </c>
      <c r="D8" s="62"/>
    </row>
    <row r="9" spans="1:4" s="59" customFormat="1" ht="16.5" customHeight="1">
      <c r="A9" s="57"/>
      <c r="B9" s="58"/>
      <c r="C9" s="61"/>
      <c r="D9" s="62"/>
    </row>
    <row r="10" spans="1:4" s="59" customFormat="1" ht="14.25">
      <c r="A10" s="63"/>
      <c r="B10" s="64" t="s">
        <v>54</v>
      </c>
      <c r="C10" s="65">
        <v>114</v>
      </c>
      <c r="D10" s="65">
        <v>95</v>
      </c>
    </row>
    <row r="11" spans="1:4" s="59" customFormat="1" ht="14.25">
      <c r="A11" s="63"/>
      <c r="B11" s="64" t="s">
        <v>55</v>
      </c>
      <c r="C11" s="65">
        <v>154</v>
      </c>
      <c r="D11" s="65">
        <v>147</v>
      </c>
    </row>
    <row r="12" spans="1:4" s="59" customFormat="1" ht="15">
      <c r="A12" s="63"/>
      <c r="B12" s="64" t="s">
        <v>56</v>
      </c>
      <c r="C12" s="65">
        <v>26</v>
      </c>
      <c r="D12" s="66"/>
    </row>
    <row r="13" spans="1:4" s="59" customFormat="1" ht="15">
      <c r="A13" s="63"/>
      <c r="B13" s="64" t="s">
        <v>57</v>
      </c>
      <c r="C13" s="65">
        <v>54</v>
      </c>
      <c r="D13" s="66"/>
    </row>
    <row r="14" spans="1:4" s="59" customFormat="1" ht="15">
      <c r="A14" s="63"/>
      <c r="B14" s="64" t="s">
        <v>58</v>
      </c>
      <c r="C14" s="65">
        <v>73</v>
      </c>
      <c r="D14" s="66"/>
    </row>
    <row r="15" spans="1:4" s="59" customFormat="1" ht="15">
      <c r="A15" s="67"/>
      <c r="B15" s="64" t="s">
        <v>59</v>
      </c>
      <c r="C15" s="65">
        <v>81</v>
      </c>
      <c r="D15" s="66"/>
    </row>
    <row r="16" spans="1:4" s="59" customFormat="1" ht="15">
      <c r="A16" s="68"/>
      <c r="B16" s="60"/>
      <c r="C16" s="69"/>
      <c r="D16" s="70"/>
    </row>
    <row r="17" spans="1:4" s="59" customFormat="1" ht="16.5" customHeight="1">
      <c r="A17" s="57" t="s">
        <v>60</v>
      </c>
      <c r="B17" s="58" t="s">
        <v>61</v>
      </c>
      <c r="C17" s="61" t="s">
        <v>62</v>
      </c>
      <c r="D17" s="62"/>
    </row>
    <row r="18" spans="1:4" s="59" customFormat="1" ht="16.5" customHeight="1">
      <c r="A18" s="57"/>
      <c r="B18" s="58" t="s">
        <v>63</v>
      </c>
      <c r="C18" s="49"/>
      <c r="D18" s="71"/>
    </row>
    <row r="19" spans="1:4" s="59" customFormat="1" ht="16.5" customHeight="1">
      <c r="A19" s="63"/>
      <c r="C19" s="72" t="s">
        <v>64</v>
      </c>
      <c r="D19" s="72" t="s">
        <v>65</v>
      </c>
    </row>
    <row r="20" spans="1:4" s="59" customFormat="1" ht="14.25">
      <c r="A20" s="63"/>
      <c r="B20" s="73" t="s">
        <v>66</v>
      </c>
      <c r="C20" s="67" t="s">
        <v>67</v>
      </c>
      <c r="D20" s="67" t="s">
        <v>67</v>
      </c>
    </row>
    <row r="21" spans="1:4" s="59" customFormat="1" ht="14.25">
      <c r="A21" s="63"/>
      <c r="B21" s="64" t="s">
        <v>68</v>
      </c>
      <c r="C21" s="64" t="s">
        <v>69</v>
      </c>
      <c r="D21" s="64" t="s">
        <v>70</v>
      </c>
    </row>
    <row r="22" spans="1:4" s="59" customFormat="1" ht="14.25">
      <c r="A22" s="63"/>
      <c r="B22" s="64" t="s">
        <v>71</v>
      </c>
      <c r="C22" s="64" t="s">
        <v>72</v>
      </c>
      <c r="D22" s="64" t="s">
        <v>73</v>
      </c>
    </row>
    <row r="23" spans="1:4" s="59" customFormat="1" ht="15">
      <c r="A23" s="63"/>
      <c r="B23" s="64" t="s">
        <v>74</v>
      </c>
      <c r="C23" s="64" t="s">
        <v>75</v>
      </c>
      <c r="D23" s="74"/>
    </row>
    <row r="24" spans="1:4" s="59" customFormat="1" ht="15">
      <c r="A24" s="63"/>
      <c r="B24" s="64" t="s">
        <v>76</v>
      </c>
      <c r="C24" s="64" t="s">
        <v>77</v>
      </c>
      <c r="D24" s="74"/>
    </row>
    <row r="25" spans="1:4" s="59" customFormat="1" ht="15">
      <c r="A25" s="63"/>
      <c r="B25" s="64" t="s">
        <v>78</v>
      </c>
      <c r="C25" s="64" t="s">
        <v>79</v>
      </c>
      <c r="D25" s="74"/>
    </row>
    <row r="26" spans="1:4" s="59" customFormat="1" ht="15">
      <c r="A26" s="67"/>
      <c r="B26" s="64" t="s">
        <v>80</v>
      </c>
      <c r="C26" s="64" t="s">
        <v>81</v>
      </c>
      <c r="D26" s="74"/>
    </row>
    <row r="27" spans="1:4" s="59" customFormat="1" ht="15">
      <c r="A27" s="63"/>
      <c r="B27" s="60"/>
      <c r="C27" s="75"/>
      <c r="D27" s="58"/>
    </row>
    <row r="28" spans="1:4" s="59" customFormat="1" ht="16.5" customHeight="1">
      <c r="A28" s="57" t="s">
        <v>82</v>
      </c>
      <c r="B28" s="58" t="s">
        <v>83</v>
      </c>
      <c r="D28" s="60"/>
    </row>
    <row r="29" spans="1:4" s="59" customFormat="1" ht="16.5" customHeight="1">
      <c r="A29" s="57"/>
      <c r="B29" s="58" t="s">
        <v>84</v>
      </c>
      <c r="C29" s="61" t="s">
        <v>53</v>
      </c>
      <c r="D29" s="62"/>
    </row>
    <row r="30" spans="1:4" ht="16.5" customHeight="1">
      <c r="A30" s="76"/>
      <c r="B30" s="77"/>
      <c r="D30" s="78"/>
    </row>
    <row r="31" spans="1:4" s="59" customFormat="1" ht="14.25">
      <c r="A31" s="63"/>
      <c r="B31" s="64" t="s">
        <v>68</v>
      </c>
      <c r="C31" s="65">
        <v>0</v>
      </c>
      <c r="D31" s="65">
        <v>0</v>
      </c>
    </row>
    <row r="32" spans="1:4" s="59" customFormat="1" ht="14.25">
      <c r="A32" s="63"/>
      <c r="B32" s="64" t="s">
        <v>71</v>
      </c>
      <c r="C32" s="65">
        <v>0</v>
      </c>
      <c r="D32" s="65">
        <v>0</v>
      </c>
    </row>
    <row r="33" spans="1:4" s="59" customFormat="1" ht="14.25">
      <c r="A33" s="63"/>
      <c r="B33" s="64" t="s">
        <v>74</v>
      </c>
      <c r="C33" s="65"/>
      <c r="D33" s="65"/>
    </row>
    <row r="34" spans="1:4" s="59" customFormat="1" ht="14.25">
      <c r="A34" s="63"/>
      <c r="B34" s="64" t="s">
        <v>76</v>
      </c>
      <c r="C34" s="65"/>
      <c r="D34" s="65"/>
    </row>
    <row r="35" spans="1:4" s="59" customFormat="1" ht="14.25">
      <c r="A35" s="63"/>
      <c r="B35" s="64" t="s">
        <v>78</v>
      </c>
      <c r="C35" s="65"/>
      <c r="D35" s="65"/>
    </row>
    <row r="36" spans="1:4" s="59" customFormat="1" ht="14.25">
      <c r="A36" s="67"/>
      <c r="B36" s="64" t="s">
        <v>80</v>
      </c>
      <c r="C36" s="65"/>
      <c r="D36" s="65"/>
    </row>
    <row r="37" spans="1:4" ht="12.75">
      <c r="A37" s="76"/>
      <c r="B37" s="71"/>
      <c r="C37" s="79"/>
      <c r="D37" s="80"/>
    </row>
    <row r="38" spans="1:4" s="59" customFormat="1" ht="16.5" customHeight="1">
      <c r="A38" s="57" t="s">
        <v>85</v>
      </c>
      <c r="B38" s="58" t="s">
        <v>86</v>
      </c>
      <c r="D38" s="60"/>
    </row>
    <row r="39" spans="1:4" s="59" customFormat="1" ht="16.5" customHeight="1">
      <c r="A39" s="57"/>
      <c r="B39" s="58" t="s">
        <v>87</v>
      </c>
      <c r="C39" s="61" t="s">
        <v>53</v>
      </c>
      <c r="D39" s="62"/>
    </row>
    <row r="40" spans="1:4" ht="16.5" customHeight="1">
      <c r="A40" s="76"/>
      <c r="B40" s="77"/>
      <c r="D40" s="71"/>
    </row>
    <row r="41" spans="1:4" s="59" customFormat="1" ht="14.25">
      <c r="A41" s="63"/>
      <c r="B41" s="64" t="s">
        <v>88</v>
      </c>
      <c r="C41" s="65">
        <v>894</v>
      </c>
      <c r="D41" s="65">
        <v>891</v>
      </c>
    </row>
    <row r="42" spans="1:4" s="59" customFormat="1" ht="14.25">
      <c r="A42" s="63"/>
      <c r="B42" s="64" t="s">
        <v>89</v>
      </c>
      <c r="C42" s="65">
        <v>1235</v>
      </c>
      <c r="D42" s="65">
        <v>1215</v>
      </c>
    </row>
    <row r="43" spans="1:4" s="59" customFormat="1" ht="15">
      <c r="A43" s="63"/>
      <c r="B43" s="64" t="s">
        <v>90</v>
      </c>
      <c r="C43" s="65">
        <v>290</v>
      </c>
      <c r="D43" s="66"/>
    </row>
    <row r="44" spans="1:4" s="59" customFormat="1" ht="15">
      <c r="A44" s="63"/>
      <c r="B44" s="64" t="s">
        <v>91</v>
      </c>
      <c r="C44" s="65">
        <v>605</v>
      </c>
      <c r="D44" s="66"/>
    </row>
    <row r="45" spans="1:4" s="59" customFormat="1" ht="15">
      <c r="A45" s="63"/>
      <c r="B45" s="64" t="s">
        <v>92</v>
      </c>
      <c r="C45" s="65">
        <v>943</v>
      </c>
      <c r="D45" s="66"/>
    </row>
    <row r="46" spans="1:4" s="59" customFormat="1" ht="15">
      <c r="A46" s="67"/>
      <c r="B46" s="64" t="s">
        <v>93</v>
      </c>
      <c r="C46" s="65">
        <v>1290</v>
      </c>
      <c r="D46" s="66"/>
    </row>
    <row r="51" ht="12.75">
      <c r="A51" s="49" t="s">
        <v>94</v>
      </c>
    </row>
    <row r="57" ht="10.5" customHeight="1">
      <c r="A57" s="42"/>
    </row>
    <row r="58" s="42" customFormat="1" ht="10.5" customHeight="1">
      <c r="B58" s="49"/>
    </row>
    <row r="59" s="42" customFormat="1" ht="10.5" customHeight="1">
      <c r="B59" s="49"/>
    </row>
    <row r="60" s="42" customFormat="1" ht="12.75">
      <c r="B60" s="4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workbookViewId="0" topLeftCell="A1">
      <selection activeCell="E30" sqref="E30"/>
    </sheetView>
  </sheetViews>
  <sheetFormatPr defaultColWidth="9.140625" defaultRowHeight="12.75"/>
  <cols>
    <col min="1" max="1" width="58.57421875" style="274" customWidth="1"/>
    <col min="2" max="2" width="9.8515625" style="274" customWidth="1"/>
    <col min="3" max="3" width="11.00390625" style="274" customWidth="1"/>
    <col min="4" max="4" width="10.421875" style="274" customWidth="1"/>
    <col min="5" max="5" width="11.140625" style="274" customWidth="1"/>
    <col min="6" max="16384" width="8.00390625" style="274" customWidth="1"/>
  </cols>
  <sheetData>
    <row r="1" spans="1:5" ht="12.75">
      <c r="A1" s="272" t="s">
        <v>96</v>
      </c>
      <c r="B1" s="272"/>
      <c r="C1" s="272"/>
      <c r="D1" s="272"/>
      <c r="E1" s="273" t="s">
        <v>453</v>
      </c>
    </row>
    <row r="2" spans="1:5" ht="12.75">
      <c r="A2" s="275"/>
      <c r="B2" s="275"/>
      <c r="C2" s="275"/>
      <c r="D2" s="275"/>
      <c r="E2" s="275"/>
    </row>
    <row r="3" spans="1:5" ht="18">
      <c r="A3" s="276" t="s">
        <v>454</v>
      </c>
      <c r="B3" s="277"/>
      <c r="C3" s="272"/>
      <c r="D3" s="272"/>
      <c r="E3" s="272"/>
    </row>
    <row r="4" spans="1:5" ht="18">
      <c r="A4" s="276" t="s">
        <v>455</v>
      </c>
      <c r="B4" s="277"/>
      <c r="C4" s="272"/>
      <c r="D4" s="272"/>
      <c r="E4" s="272"/>
    </row>
    <row r="5" spans="1:5" ht="18">
      <c r="A5" s="277"/>
      <c r="B5" s="277"/>
      <c r="C5" s="272"/>
      <c r="D5" s="278"/>
      <c r="E5" s="278" t="s">
        <v>98</v>
      </c>
    </row>
    <row r="6" spans="1:5" ht="35.25" customHeight="1">
      <c r="A6" s="279" t="s">
        <v>2</v>
      </c>
      <c r="B6" s="279" t="s">
        <v>456</v>
      </c>
      <c r="C6" s="279" t="s">
        <v>100</v>
      </c>
      <c r="D6" s="279" t="s">
        <v>101</v>
      </c>
      <c r="E6" s="279" t="s">
        <v>6</v>
      </c>
    </row>
    <row r="7" spans="1:5" s="280" customFormat="1" ht="12.75" customHeight="1">
      <c r="A7" s="279">
        <v>1</v>
      </c>
      <c r="B7" s="279">
        <v>2</v>
      </c>
      <c r="C7" s="279">
        <v>3</v>
      </c>
      <c r="D7" s="279">
        <v>4</v>
      </c>
      <c r="E7" s="279">
        <v>5</v>
      </c>
    </row>
    <row r="8" spans="1:5" ht="16.5" customHeight="1">
      <c r="A8" s="281" t="s">
        <v>457</v>
      </c>
      <c r="B8" s="282">
        <f>B16+B20</f>
        <v>413804</v>
      </c>
      <c r="C8" s="282">
        <f>C16+C20</f>
        <v>412396</v>
      </c>
      <c r="D8" s="283">
        <f aca="true" t="shared" si="0" ref="D8:D24">C8/B8*100</f>
        <v>99.66</v>
      </c>
      <c r="E8" s="282">
        <f>E16+E20</f>
        <v>40190</v>
      </c>
    </row>
    <row r="9" spans="1:5" ht="12">
      <c r="A9" s="284" t="s">
        <v>458</v>
      </c>
      <c r="B9" s="282">
        <f>SUM(B10:B13)</f>
        <v>397365</v>
      </c>
      <c r="C9" s="282">
        <f>SUM(C10:C13)</f>
        <v>397151</v>
      </c>
      <c r="D9" s="283">
        <f t="shared" si="0"/>
        <v>99.95</v>
      </c>
      <c r="E9" s="282">
        <f>SUM(E10:E13)</f>
        <v>37666</v>
      </c>
    </row>
    <row r="10" spans="1:5" ht="12">
      <c r="A10" s="284" t="s">
        <v>459</v>
      </c>
      <c r="B10" s="282">
        <v>220712</v>
      </c>
      <c r="C10" s="282">
        <v>219841</v>
      </c>
      <c r="D10" s="283">
        <f t="shared" si="0"/>
        <v>99.61</v>
      </c>
      <c r="E10" s="282">
        <v>19924</v>
      </c>
    </row>
    <row r="11" spans="1:5" ht="12">
      <c r="A11" s="284" t="s">
        <v>460</v>
      </c>
      <c r="B11" s="282">
        <v>18858</v>
      </c>
      <c r="C11" s="282">
        <v>18304</v>
      </c>
      <c r="D11" s="283">
        <f t="shared" si="0"/>
        <v>97.06</v>
      </c>
      <c r="E11" s="282">
        <v>2146</v>
      </c>
    </row>
    <row r="12" spans="1:5" ht="12">
      <c r="A12" s="284" t="s">
        <v>461</v>
      </c>
      <c r="B12" s="282">
        <v>26518</v>
      </c>
      <c r="C12" s="282">
        <v>25926</v>
      </c>
      <c r="D12" s="283">
        <f t="shared" si="0"/>
        <v>97.77</v>
      </c>
      <c r="E12" s="282">
        <v>2457</v>
      </c>
    </row>
    <row r="13" spans="1:5" ht="12">
      <c r="A13" s="284" t="s">
        <v>462</v>
      </c>
      <c r="B13" s="282">
        <v>131277</v>
      </c>
      <c r="C13" s="282">
        <v>133080</v>
      </c>
      <c r="D13" s="283">
        <f t="shared" si="0"/>
        <v>101.37</v>
      </c>
      <c r="E13" s="282">
        <v>13139</v>
      </c>
    </row>
    <row r="14" spans="1:5" ht="12">
      <c r="A14" s="285" t="s">
        <v>463</v>
      </c>
      <c r="B14" s="282">
        <v>6625</v>
      </c>
      <c r="C14" s="282">
        <v>6399</v>
      </c>
      <c r="D14" s="283">
        <f t="shared" si="0"/>
        <v>96.59</v>
      </c>
      <c r="E14" s="282">
        <v>1051</v>
      </c>
    </row>
    <row r="15" spans="1:5" ht="22.5">
      <c r="A15" s="285" t="s">
        <v>464</v>
      </c>
      <c r="B15" s="282">
        <v>24051</v>
      </c>
      <c r="C15" s="282">
        <v>24051</v>
      </c>
      <c r="D15" s="283">
        <f t="shared" si="0"/>
        <v>100</v>
      </c>
      <c r="E15" s="282">
        <v>2100</v>
      </c>
    </row>
    <row r="16" spans="1:5" ht="19.5" customHeight="1">
      <c r="A16" s="281" t="s">
        <v>465</v>
      </c>
      <c r="B16" s="282">
        <f>B9-B14-B15</f>
        <v>366689</v>
      </c>
      <c r="C16" s="282">
        <f>C9-C14-C15</f>
        <v>366701</v>
      </c>
      <c r="D16" s="283">
        <f t="shared" si="0"/>
        <v>100</v>
      </c>
      <c r="E16" s="282">
        <f>E9-E14-E15</f>
        <v>34515</v>
      </c>
    </row>
    <row r="17" spans="1:5" ht="12">
      <c r="A17" s="284" t="s">
        <v>466</v>
      </c>
      <c r="B17" s="282">
        <f>SUM(B18:B19)</f>
        <v>47115</v>
      </c>
      <c r="C17" s="282">
        <f>SUM(C18:C19)</f>
        <v>45695</v>
      </c>
      <c r="D17" s="283">
        <f t="shared" si="0"/>
        <v>96.99</v>
      </c>
      <c r="E17" s="282">
        <f>SUM(E18:E19)</f>
        <v>5675</v>
      </c>
    </row>
    <row r="18" spans="1:5" ht="12">
      <c r="A18" s="284" t="s">
        <v>467</v>
      </c>
      <c r="B18" s="282">
        <v>40585</v>
      </c>
      <c r="C18" s="282">
        <v>39486</v>
      </c>
      <c r="D18" s="283">
        <f t="shared" si="0"/>
        <v>97.29</v>
      </c>
      <c r="E18" s="282">
        <v>5063</v>
      </c>
    </row>
    <row r="19" spans="1:5" ht="12">
      <c r="A19" s="284" t="s">
        <v>468</v>
      </c>
      <c r="B19" s="282">
        <v>6530</v>
      </c>
      <c r="C19" s="282">
        <v>6209</v>
      </c>
      <c r="D19" s="283">
        <f t="shared" si="0"/>
        <v>95.08</v>
      </c>
      <c r="E19" s="282">
        <v>612</v>
      </c>
    </row>
    <row r="20" spans="1:5" ht="23.25" customHeight="1">
      <c r="A20" s="281" t="s">
        <v>469</v>
      </c>
      <c r="B20" s="282">
        <v>47115</v>
      </c>
      <c r="C20" s="282">
        <v>45695</v>
      </c>
      <c r="D20" s="283">
        <f t="shared" si="0"/>
        <v>96.99</v>
      </c>
      <c r="E20" s="282">
        <v>5675</v>
      </c>
    </row>
    <row r="21" spans="1:5" ht="35.25" customHeight="1">
      <c r="A21" s="281" t="s">
        <v>470</v>
      </c>
      <c r="B21" s="282">
        <f>SUM(B22:B24)</f>
        <v>415950</v>
      </c>
      <c r="C21" s="282">
        <f>SUM(C22:C24)</f>
        <v>424386</v>
      </c>
      <c r="D21" s="283">
        <f t="shared" si="0"/>
        <v>102.03</v>
      </c>
      <c r="E21" s="282">
        <f>SUM(E22:E24)</f>
        <v>48818</v>
      </c>
    </row>
    <row r="22" spans="1:5" ht="34.5" customHeight="1">
      <c r="A22" s="286" t="s">
        <v>471</v>
      </c>
      <c r="B22" s="282">
        <f aca="true" t="shared" si="1" ref="B22:C24">B34+B43</f>
        <v>363448</v>
      </c>
      <c r="C22" s="282">
        <f t="shared" si="1"/>
        <v>349647</v>
      </c>
      <c r="D22" s="283">
        <f t="shared" si="0"/>
        <v>96.2</v>
      </c>
      <c r="E22" s="282">
        <f>E34+E43</f>
        <v>39622</v>
      </c>
    </row>
    <row r="23" spans="1:5" ht="30.75" customHeight="1">
      <c r="A23" s="286" t="s">
        <v>472</v>
      </c>
      <c r="B23" s="282">
        <f t="shared" si="1"/>
        <v>34068</v>
      </c>
      <c r="C23" s="282">
        <f t="shared" si="1"/>
        <v>31575</v>
      </c>
      <c r="D23" s="283">
        <f t="shared" si="0"/>
        <v>92.68</v>
      </c>
      <c r="E23" s="282">
        <f>E35+E44</f>
        <v>3864</v>
      </c>
    </row>
    <row r="24" spans="1:5" ht="31.5" customHeight="1">
      <c r="A24" s="286" t="s">
        <v>473</v>
      </c>
      <c r="B24" s="282">
        <f t="shared" si="1"/>
        <v>18434</v>
      </c>
      <c r="C24" s="282">
        <f t="shared" si="1"/>
        <v>43164</v>
      </c>
      <c r="D24" s="283">
        <f t="shared" si="0"/>
        <v>234.15</v>
      </c>
      <c r="E24" s="282">
        <f>E36+E45</f>
        <v>5332</v>
      </c>
    </row>
    <row r="25" spans="1:5" ht="59.25" customHeight="1">
      <c r="A25" s="281" t="s">
        <v>474</v>
      </c>
      <c r="B25" s="282">
        <f>B8-B21</f>
        <v>-2146</v>
      </c>
      <c r="C25" s="282">
        <f>C8-C21</f>
        <v>-11990</v>
      </c>
      <c r="D25" s="282"/>
      <c r="E25" s="282">
        <f>E8-E21</f>
        <v>-8628</v>
      </c>
    </row>
    <row r="26" spans="1:5" ht="30" customHeight="1">
      <c r="A26" s="281" t="s">
        <v>475</v>
      </c>
      <c r="B26" s="282">
        <f>B38+B47</f>
        <v>1391</v>
      </c>
      <c r="C26" s="282">
        <f>C38+C47</f>
        <v>2394</v>
      </c>
      <c r="D26" s="282"/>
      <c r="E26" s="282">
        <f>E38+E47</f>
        <v>-811</v>
      </c>
    </row>
    <row r="27" spans="1:5" ht="38.25" customHeight="1">
      <c r="A27" s="281" t="s">
        <v>476</v>
      </c>
      <c r="B27" s="282">
        <f>B21+B26</f>
        <v>417341</v>
      </c>
      <c r="C27" s="282">
        <f>C21+C26</f>
        <v>426780</v>
      </c>
      <c r="D27" s="283">
        <f>C27/B27*100</f>
        <v>102.26</v>
      </c>
      <c r="E27" s="282">
        <f>E21+E26</f>
        <v>48007</v>
      </c>
    </row>
    <row r="28" spans="1:5" ht="41.25" customHeight="1">
      <c r="A28" s="281" t="s">
        <v>477</v>
      </c>
      <c r="B28" s="282">
        <f>SUM(B25-B26)</f>
        <v>-3537</v>
      </c>
      <c r="C28" s="282">
        <f>SUM(C25-C26)</f>
        <v>-14384</v>
      </c>
      <c r="D28" s="282"/>
      <c r="E28" s="282">
        <f>SUM(E25-E26)</f>
        <v>-7817</v>
      </c>
    </row>
    <row r="29" spans="1:5" ht="18.75" customHeight="1">
      <c r="A29" s="287" t="s">
        <v>478</v>
      </c>
      <c r="B29" s="282">
        <v>392319</v>
      </c>
      <c r="C29" s="282">
        <v>407791</v>
      </c>
      <c r="D29" s="283">
        <f aca="true" t="shared" si="2" ref="D29:D36">C29/B29*100</f>
        <v>103.94</v>
      </c>
      <c r="E29" s="282">
        <v>46897</v>
      </c>
    </row>
    <row r="30" spans="1:5" ht="12">
      <c r="A30" s="285" t="s">
        <v>479</v>
      </c>
      <c r="B30" s="282">
        <f>B14+B15</f>
        <v>30676</v>
      </c>
      <c r="C30" s="282">
        <f>C14+C15</f>
        <v>30450</v>
      </c>
      <c r="D30" s="283">
        <f t="shared" si="2"/>
        <v>99.26</v>
      </c>
      <c r="E30" s="282">
        <f>E14+E15</f>
        <v>3151</v>
      </c>
    </row>
    <row r="31" spans="1:5" ht="17.25" customHeight="1">
      <c r="A31" s="287" t="s">
        <v>480</v>
      </c>
      <c r="B31" s="282">
        <f>SUM(B29-B30)</f>
        <v>361643</v>
      </c>
      <c r="C31" s="282">
        <f>SUM(C29-C30)</f>
        <v>377341</v>
      </c>
      <c r="D31" s="283">
        <f t="shared" si="2"/>
        <v>104.34</v>
      </c>
      <c r="E31" s="282">
        <f>SUM(E29-E30)</f>
        <v>43746</v>
      </c>
    </row>
    <row r="32" spans="1:5" ht="15.75" customHeight="1">
      <c r="A32" s="288" t="s">
        <v>481</v>
      </c>
      <c r="B32" s="282">
        <v>354006</v>
      </c>
      <c r="C32" s="282">
        <v>345680</v>
      </c>
      <c r="D32" s="283">
        <f t="shared" si="2"/>
        <v>97.65</v>
      </c>
      <c r="E32" s="282">
        <v>39058</v>
      </c>
    </row>
    <row r="33" spans="1:5" ht="12">
      <c r="A33" s="285" t="s">
        <v>479</v>
      </c>
      <c r="B33" s="282">
        <f>B14+B15</f>
        <v>30676</v>
      </c>
      <c r="C33" s="282">
        <f>C14+C15</f>
        <v>30450</v>
      </c>
      <c r="D33" s="283">
        <f t="shared" si="2"/>
        <v>99.26</v>
      </c>
      <c r="E33" s="282">
        <f>E14+E15</f>
        <v>3151</v>
      </c>
    </row>
    <row r="34" spans="1:5" ht="12">
      <c r="A34" s="288" t="s">
        <v>482</v>
      </c>
      <c r="B34" s="282">
        <f>B32-B33</f>
        <v>323330</v>
      </c>
      <c r="C34" s="282">
        <f>C32-C33</f>
        <v>315230</v>
      </c>
      <c r="D34" s="283">
        <f t="shared" si="2"/>
        <v>97.49</v>
      </c>
      <c r="E34" s="282">
        <f>E32-E33</f>
        <v>35907</v>
      </c>
    </row>
    <row r="35" spans="1:5" ht="12">
      <c r="A35" s="288" t="s">
        <v>483</v>
      </c>
      <c r="B35" s="282">
        <v>21846</v>
      </c>
      <c r="C35" s="282">
        <v>20840</v>
      </c>
      <c r="D35" s="283">
        <f t="shared" si="2"/>
        <v>95.4</v>
      </c>
      <c r="E35" s="282">
        <v>2698</v>
      </c>
    </row>
    <row r="36" spans="1:5" ht="12">
      <c r="A36" s="288" t="s">
        <v>484</v>
      </c>
      <c r="B36" s="282">
        <v>16467</v>
      </c>
      <c r="C36" s="282">
        <v>41271</v>
      </c>
      <c r="D36" s="283">
        <f t="shared" si="2"/>
        <v>250.63</v>
      </c>
      <c r="E36" s="282">
        <v>5141</v>
      </c>
    </row>
    <row r="37" spans="1:5" s="289" customFormat="1" ht="42" customHeight="1">
      <c r="A37" s="281" t="s">
        <v>485</v>
      </c>
      <c r="B37" s="282">
        <f>B16-B31</f>
        <v>5046</v>
      </c>
      <c r="C37" s="282">
        <f>C16-C31</f>
        <v>-10640</v>
      </c>
      <c r="D37" s="283"/>
      <c r="E37" s="282">
        <f>E16-E31</f>
        <v>-9231</v>
      </c>
    </row>
    <row r="38" spans="1:5" s="289" customFormat="1" ht="27" customHeight="1">
      <c r="A38" s="287" t="s">
        <v>486</v>
      </c>
      <c r="B38" s="282">
        <f>B39-B40</f>
        <v>-162</v>
      </c>
      <c r="C38" s="282">
        <f>C39-C40</f>
        <v>864</v>
      </c>
      <c r="D38" s="282"/>
      <c r="E38" s="282">
        <f>E39-E40</f>
        <v>-190</v>
      </c>
    </row>
    <row r="39" spans="1:5" s="289" customFormat="1" ht="15.75" customHeight="1">
      <c r="A39" s="288" t="s">
        <v>487</v>
      </c>
      <c r="B39" s="282">
        <v>611</v>
      </c>
      <c r="C39" s="282">
        <v>1707</v>
      </c>
      <c r="D39" s="282"/>
      <c r="E39" s="282">
        <v>-30</v>
      </c>
    </row>
    <row r="40" spans="1:5" s="289" customFormat="1" ht="18" customHeight="1">
      <c r="A40" s="288" t="s">
        <v>488</v>
      </c>
      <c r="B40" s="282">
        <v>773</v>
      </c>
      <c r="C40" s="282">
        <v>843</v>
      </c>
      <c r="D40" s="282"/>
      <c r="E40" s="282">
        <v>160</v>
      </c>
    </row>
    <row r="41" spans="1:5" s="289" customFormat="1" ht="38.25" customHeight="1">
      <c r="A41" s="281" t="s">
        <v>489</v>
      </c>
      <c r="B41" s="282">
        <f>SUM(B37-B38)</f>
        <v>5208</v>
      </c>
      <c r="C41" s="282">
        <f>SUM(C37-C38)</f>
        <v>-11504</v>
      </c>
      <c r="D41" s="283"/>
      <c r="E41" s="282">
        <f>SUM(E37-E38)</f>
        <v>-9041</v>
      </c>
    </row>
    <row r="42" spans="1:5" s="289" customFormat="1" ht="23.25" customHeight="1">
      <c r="A42" s="287" t="s">
        <v>490</v>
      </c>
      <c r="B42" s="282">
        <f>SUM(B43:B45)</f>
        <v>54307</v>
      </c>
      <c r="C42" s="282">
        <f>SUM(C43:C45)</f>
        <v>47045</v>
      </c>
      <c r="D42" s="283">
        <f>C42/B42*100</f>
        <v>86.63</v>
      </c>
      <c r="E42" s="282">
        <f>SUM(E43:E45)</f>
        <v>5072</v>
      </c>
    </row>
    <row r="43" spans="1:5" s="289" customFormat="1" ht="12">
      <c r="A43" s="288" t="s">
        <v>491</v>
      </c>
      <c r="B43" s="282">
        <v>40118</v>
      </c>
      <c r="C43" s="282">
        <v>34417</v>
      </c>
      <c r="D43" s="283">
        <f>C43/B43*100</f>
        <v>85.79</v>
      </c>
      <c r="E43" s="282">
        <v>3715</v>
      </c>
    </row>
    <row r="44" spans="1:5" s="289" customFormat="1" ht="12">
      <c r="A44" s="288" t="s">
        <v>492</v>
      </c>
      <c r="B44" s="282">
        <v>12222</v>
      </c>
      <c r="C44" s="282">
        <v>10735</v>
      </c>
      <c r="D44" s="283">
        <f>C44/B44*100</f>
        <v>87.83</v>
      </c>
      <c r="E44" s="282">
        <v>1166</v>
      </c>
    </row>
    <row r="45" spans="1:5" s="289" customFormat="1" ht="12">
      <c r="A45" s="288" t="s">
        <v>493</v>
      </c>
      <c r="B45" s="282">
        <v>1967</v>
      </c>
      <c r="C45" s="282">
        <v>1893</v>
      </c>
      <c r="D45" s="283">
        <f>C45/B45*100</f>
        <v>96.24</v>
      </c>
      <c r="E45" s="282">
        <v>191</v>
      </c>
    </row>
    <row r="46" spans="1:14" s="289" customFormat="1" ht="46.5" customHeight="1">
      <c r="A46" s="281" t="s">
        <v>494</v>
      </c>
      <c r="B46" s="282">
        <f>SUM(B20-B42)</f>
        <v>-7192</v>
      </c>
      <c r="C46" s="282">
        <f>SUM(C20-C42)</f>
        <v>-1350</v>
      </c>
      <c r="D46" s="282"/>
      <c r="E46" s="282">
        <f>SUM(E20-E42)</f>
        <v>603</v>
      </c>
      <c r="N46" s="275"/>
    </row>
    <row r="47" spans="1:5" s="289" customFormat="1" ht="18.75" customHeight="1">
      <c r="A47" s="287" t="s">
        <v>495</v>
      </c>
      <c r="B47" s="282">
        <f>B48-B49</f>
        <v>1553</v>
      </c>
      <c r="C47" s="282">
        <f>C48-C49</f>
        <v>1530</v>
      </c>
      <c r="D47" s="282"/>
      <c r="E47" s="282">
        <f>E48-E49</f>
        <v>-621</v>
      </c>
    </row>
    <row r="48" spans="1:5" s="289" customFormat="1" ht="12">
      <c r="A48" s="288" t="s">
        <v>496</v>
      </c>
      <c r="B48" s="282">
        <v>3842</v>
      </c>
      <c r="C48" s="282">
        <v>3843</v>
      </c>
      <c r="D48" s="282"/>
      <c r="E48" s="282">
        <v>-1649</v>
      </c>
    </row>
    <row r="49" spans="1:5" s="289" customFormat="1" ht="12">
      <c r="A49" s="288" t="s">
        <v>497</v>
      </c>
      <c r="B49" s="282">
        <v>2289</v>
      </c>
      <c r="C49" s="282">
        <v>2313</v>
      </c>
      <c r="E49" s="282">
        <v>-1028</v>
      </c>
    </row>
    <row r="50" spans="1:5" s="289" customFormat="1" ht="46.5" customHeight="1">
      <c r="A50" s="281" t="s">
        <v>498</v>
      </c>
      <c r="B50" s="282">
        <f>SUM(B46-B47)</f>
        <v>-8745</v>
      </c>
      <c r="C50" s="282">
        <f>SUM(C46-C47)</f>
        <v>-2880</v>
      </c>
      <c r="E50" s="282">
        <f>SUM(E46-E47)</f>
        <v>1224</v>
      </c>
    </row>
    <row r="51" s="275" customFormat="1" ht="12.75">
      <c r="A51" s="290"/>
    </row>
    <row r="52" s="275" customFormat="1" ht="12.75">
      <c r="A52" s="290"/>
    </row>
    <row r="53" s="275" customFormat="1" ht="12.75">
      <c r="A53" s="290"/>
    </row>
    <row r="54" s="275" customFormat="1" ht="12.75">
      <c r="A54" s="290"/>
    </row>
    <row r="55" s="275" customFormat="1" ht="12.75">
      <c r="A55" s="290"/>
    </row>
    <row r="56" s="275" customFormat="1" ht="12.75">
      <c r="A56" s="290"/>
    </row>
    <row r="57" spans="1:4" s="275" customFormat="1" ht="12.75">
      <c r="A57" s="291" t="s">
        <v>499</v>
      </c>
      <c r="B57" s="292"/>
      <c r="C57" s="293"/>
      <c r="D57" s="293" t="s">
        <v>500</v>
      </c>
    </row>
    <row r="58" s="275" customFormat="1" ht="12.75">
      <c r="A58" s="290"/>
    </row>
    <row r="59" s="275" customFormat="1" ht="12.75">
      <c r="A59" s="290"/>
    </row>
    <row r="60" s="275" customFormat="1" ht="12.75">
      <c r="A60" s="290"/>
    </row>
    <row r="61" s="275" customFormat="1" ht="12.75">
      <c r="A61" s="290"/>
    </row>
    <row r="62" s="275" customFormat="1" ht="12.75">
      <c r="A62" s="290"/>
    </row>
    <row r="63" s="275" customFormat="1" ht="12.75">
      <c r="A63" s="290"/>
    </row>
    <row r="64" s="275" customFormat="1" ht="12.75">
      <c r="A64" s="290"/>
    </row>
    <row r="65" s="275" customFormat="1" ht="12.75">
      <c r="A65" s="294" t="s">
        <v>501</v>
      </c>
    </row>
    <row r="66" s="275" customFormat="1" ht="12.75">
      <c r="A66" s="294" t="s">
        <v>502</v>
      </c>
    </row>
    <row r="67" s="275" customFormat="1" ht="12.75">
      <c r="A67" s="290"/>
    </row>
    <row r="68" s="275" customFormat="1" ht="12.75">
      <c r="A68" s="290"/>
    </row>
    <row r="69" s="275" customFormat="1" ht="12.75">
      <c r="A69" s="294"/>
    </row>
    <row r="72" s="275" customFormat="1" ht="12.75">
      <c r="A72" s="290"/>
    </row>
    <row r="73" s="275" customFormat="1" ht="12.75">
      <c r="A73" s="290"/>
    </row>
    <row r="74" s="275" customFormat="1" ht="12.75">
      <c r="A74" s="290"/>
    </row>
    <row r="75" s="275" customFormat="1" ht="12.75">
      <c r="A75" s="290"/>
    </row>
    <row r="76" s="275" customFormat="1" ht="12.75">
      <c r="A76" s="290"/>
    </row>
    <row r="77" s="275" customFormat="1" ht="12.75">
      <c r="A77" s="290"/>
    </row>
    <row r="78" s="275" customFormat="1" ht="12.75">
      <c r="A78" s="290"/>
    </row>
    <row r="79" ht="11.25">
      <c r="A79" s="295"/>
    </row>
    <row r="80" ht="11.25">
      <c r="A80" s="295"/>
    </row>
    <row r="81" ht="11.25">
      <c r="A81" s="295"/>
    </row>
    <row r="82" ht="11.25">
      <c r="A82" s="295"/>
    </row>
    <row r="83" ht="11.25">
      <c r="A83" s="295"/>
    </row>
    <row r="84" ht="11.25">
      <c r="A84" s="295"/>
    </row>
    <row r="85" ht="11.25">
      <c r="A85" s="295"/>
    </row>
    <row r="86" ht="11.25">
      <c r="A86" s="295"/>
    </row>
    <row r="87" ht="11.25">
      <c r="A87" s="295"/>
    </row>
    <row r="88" ht="11.25">
      <c r="A88" s="295"/>
    </row>
    <row r="89" ht="11.25">
      <c r="A89" s="295"/>
    </row>
    <row r="90" ht="11.25">
      <c r="A90" s="295"/>
    </row>
    <row r="91" ht="11.25">
      <c r="A91" s="295"/>
    </row>
    <row r="92" ht="11.25">
      <c r="A92" s="295"/>
    </row>
    <row r="93" ht="11.25">
      <c r="A93" s="295"/>
    </row>
    <row r="94" ht="11.25">
      <c r="A94" s="295"/>
    </row>
    <row r="95" ht="11.25">
      <c r="A95" s="295"/>
    </row>
    <row r="96" ht="11.25">
      <c r="A96" s="295"/>
    </row>
    <row r="97" ht="11.25">
      <c r="A97" s="295"/>
    </row>
    <row r="98" ht="11.25">
      <c r="A98" s="295"/>
    </row>
    <row r="99" ht="11.25">
      <c r="A99" s="295"/>
    </row>
    <row r="100" ht="11.25">
      <c r="A100" s="295"/>
    </row>
    <row r="101" ht="11.25">
      <c r="A101" s="295"/>
    </row>
    <row r="102" ht="11.25">
      <c r="A102" s="295"/>
    </row>
    <row r="103" ht="11.25">
      <c r="A103" s="295"/>
    </row>
    <row r="104" ht="11.25">
      <c r="A104" s="295"/>
    </row>
    <row r="105" ht="11.25">
      <c r="A105" s="295"/>
    </row>
    <row r="106" ht="11.25">
      <c r="A106" s="295"/>
    </row>
    <row r="107" ht="11.25">
      <c r="A107" s="295"/>
    </row>
    <row r="108" ht="11.25">
      <c r="A108" s="295"/>
    </row>
    <row r="109" ht="11.25">
      <c r="A109" s="295"/>
    </row>
    <row r="110" ht="11.25">
      <c r="A110" s="295"/>
    </row>
    <row r="111" ht="11.25">
      <c r="A111" s="295"/>
    </row>
    <row r="112" ht="11.25">
      <c r="A112" s="295"/>
    </row>
    <row r="113" ht="11.25">
      <c r="A113" s="295"/>
    </row>
    <row r="114" ht="11.25">
      <c r="A114" s="295"/>
    </row>
    <row r="115" ht="11.25">
      <c r="A115" s="295"/>
    </row>
    <row r="116" ht="11.25">
      <c r="A116" s="295"/>
    </row>
    <row r="117" ht="11.25">
      <c r="A117" s="295"/>
    </row>
    <row r="118" ht="11.25">
      <c r="A118" s="295"/>
    </row>
    <row r="119" ht="11.25">
      <c r="A119" s="295"/>
    </row>
    <row r="120" ht="11.25">
      <c r="A120" s="295"/>
    </row>
    <row r="121" ht="11.25">
      <c r="A121" s="295"/>
    </row>
    <row r="122" ht="11.25">
      <c r="A122" s="295"/>
    </row>
    <row r="123" ht="11.25">
      <c r="A123" s="295"/>
    </row>
    <row r="124" ht="11.25">
      <c r="A124" s="295"/>
    </row>
    <row r="125" ht="11.25">
      <c r="A125" s="295"/>
    </row>
  </sheetData>
  <printOptions/>
  <pageMargins left="0.39" right="0.1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34">
      <selection activeCell="E30" sqref="E30"/>
    </sheetView>
  </sheetViews>
  <sheetFormatPr defaultColWidth="9.140625" defaultRowHeight="12.75"/>
  <cols>
    <col min="1" max="1" width="37.57421875" style="302" customWidth="1"/>
    <col min="2" max="5" width="12.7109375" style="274" customWidth="1"/>
    <col min="6" max="16384" width="7.421875" style="274" customWidth="1"/>
  </cols>
  <sheetData>
    <row r="1" spans="1:5" ht="12.75">
      <c r="A1" s="296" t="s">
        <v>503</v>
      </c>
      <c r="B1" s="296"/>
      <c r="C1" s="272"/>
      <c r="D1" s="272"/>
      <c r="E1" s="272" t="s">
        <v>504</v>
      </c>
    </row>
    <row r="2" spans="1:7" s="272" customFormat="1" ht="12.75">
      <c r="A2" s="296"/>
      <c r="B2" s="296"/>
      <c r="E2" s="297"/>
      <c r="G2" s="296" t="s">
        <v>505</v>
      </c>
    </row>
    <row r="4" spans="1:6" s="301" customFormat="1" ht="15.75">
      <c r="A4" s="298" t="s">
        <v>506</v>
      </c>
      <c r="B4" s="299"/>
      <c r="C4" s="300"/>
      <c r="D4" s="300"/>
      <c r="E4" s="300"/>
      <c r="F4" s="300"/>
    </row>
    <row r="5" spans="1:6" s="301" customFormat="1" ht="15.75">
      <c r="A5" s="298" t="s">
        <v>507</v>
      </c>
      <c r="B5" s="299"/>
      <c r="C5" s="300"/>
      <c r="D5" s="300"/>
      <c r="E5" s="300"/>
      <c r="F5" s="300"/>
    </row>
    <row r="6" spans="2:4" ht="11.25">
      <c r="B6" s="303"/>
      <c r="C6" s="303"/>
      <c r="D6" s="303"/>
    </row>
    <row r="7" spans="3:9" ht="12.75" customHeight="1">
      <c r="C7" s="303"/>
      <c r="D7" s="303"/>
      <c r="E7" s="303"/>
      <c r="F7" s="278"/>
      <c r="G7" s="278"/>
      <c r="H7" s="278"/>
      <c r="I7" s="278"/>
    </row>
    <row r="8" spans="1:5" s="278" customFormat="1" ht="12.75" customHeight="1">
      <c r="A8" s="304"/>
      <c r="B8" s="304"/>
      <c r="C8" s="305"/>
      <c r="D8" s="305"/>
      <c r="E8" s="305" t="s">
        <v>178</v>
      </c>
    </row>
    <row r="9" spans="1:8" s="278" customFormat="1" ht="40.5" customHeight="1">
      <c r="A9" s="306" t="s">
        <v>2</v>
      </c>
      <c r="B9" s="307" t="s">
        <v>456</v>
      </c>
      <c r="C9" s="307" t="s">
        <v>100</v>
      </c>
      <c r="D9" s="307" t="s">
        <v>508</v>
      </c>
      <c r="E9" s="308" t="s">
        <v>181</v>
      </c>
      <c r="F9" s="275"/>
      <c r="G9" s="275"/>
      <c r="H9" s="275"/>
    </row>
    <row r="10" spans="1:8" s="278" customFormat="1" ht="12.75">
      <c r="A10" s="309" t="s">
        <v>509</v>
      </c>
      <c r="B10" s="309">
        <v>2</v>
      </c>
      <c r="C10" s="309">
        <v>3</v>
      </c>
      <c r="D10" s="309">
        <v>4</v>
      </c>
      <c r="E10" s="310">
        <v>5</v>
      </c>
      <c r="F10" s="275"/>
      <c r="G10" s="275"/>
      <c r="H10" s="275"/>
    </row>
    <row r="11" spans="1:6" s="275" customFormat="1" ht="12.75">
      <c r="A11" s="311" t="s">
        <v>510</v>
      </c>
      <c r="B11" s="312">
        <v>397365</v>
      </c>
      <c r="C11" s="312">
        <v>397151</v>
      </c>
      <c r="D11" s="313">
        <f aca="true" t="shared" si="0" ref="D11:D37">C11/B11*100</f>
        <v>99.95</v>
      </c>
      <c r="E11" s="314">
        <v>37666</v>
      </c>
      <c r="F11" s="274"/>
    </row>
    <row r="12" spans="1:7" ht="25.5">
      <c r="A12" s="315" t="s">
        <v>511</v>
      </c>
      <c r="B12" s="312">
        <v>266088</v>
      </c>
      <c r="C12" s="312">
        <v>264071</v>
      </c>
      <c r="D12" s="313">
        <f t="shared" si="0"/>
        <v>99.24</v>
      </c>
      <c r="E12" s="314">
        <v>24527</v>
      </c>
      <c r="F12" s="275"/>
      <c r="G12" s="275"/>
    </row>
    <row r="13" spans="1:5" s="275" customFormat="1" ht="12.75">
      <c r="A13" s="316" t="s">
        <v>512</v>
      </c>
      <c r="B13" s="312">
        <v>220712</v>
      </c>
      <c r="C13" s="312">
        <v>219841</v>
      </c>
      <c r="D13" s="313">
        <f t="shared" si="0"/>
        <v>99.61</v>
      </c>
      <c r="E13" s="314">
        <v>19924</v>
      </c>
    </row>
    <row r="14" spans="1:6" s="275" customFormat="1" ht="12.75">
      <c r="A14" s="317" t="s">
        <v>184</v>
      </c>
      <c r="B14" s="312">
        <v>219731</v>
      </c>
      <c r="C14" s="312">
        <v>218753</v>
      </c>
      <c r="D14" s="313">
        <f t="shared" si="0"/>
        <v>99.55</v>
      </c>
      <c r="E14" s="314">
        <v>19824</v>
      </c>
      <c r="F14" s="274"/>
    </row>
    <row r="15" spans="1:6" s="278" customFormat="1" ht="12">
      <c r="A15" s="318" t="s">
        <v>513</v>
      </c>
      <c r="B15" s="312">
        <v>174026</v>
      </c>
      <c r="C15" s="312">
        <v>172153</v>
      </c>
      <c r="D15" s="313">
        <f t="shared" si="0"/>
        <v>98.92</v>
      </c>
      <c r="E15" s="314">
        <v>15477</v>
      </c>
      <c r="F15" s="274"/>
    </row>
    <row r="16" spans="1:6" s="278" customFormat="1" ht="12">
      <c r="A16" s="318" t="s">
        <v>514</v>
      </c>
      <c r="B16" s="312">
        <v>20583</v>
      </c>
      <c r="C16" s="312">
        <v>20296</v>
      </c>
      <c r="D16" s="313">
        <f t="shared" si="0"/>
        <v>98.61</v>
      </c>
      <c r="E16" s="314">
        <v>1409</v>
      </c>
      <c r="F16" s="274"/>
    </row>
    <row r="17" spans="1:6" s="278" customFormat="1" ht="12">
      <c r="A17" s="318" t="s">
        <v>515</v>
      </c>
      <c r="B17" s="312">
        <v>23133</v>
      </c>
      <c r="C17" s="312">
        <v>24461</v>
      </c>
      <c r="D17" s="313">
        <f t="shared" si="0"/>
        <v>105.74</v>
      </c>
      <c r="E17" s="314">
        <v>2768</v>
      </c>
      <c r="F17" s="274"/>
    </row>
    <row r="18" spans="1:6" s="278" customFormat="1" ht="12">
      <c r="A18" s="318" t="s">
        <v>516</v>
      </c>
      <c r="B18" s="312">
        <v>1989</v>
      </c>
      <c r="C18" s="312">
        <v>1843</v>
      </c>
      <c r="D18" s="313">
        <f t="shared" si="0"/>
        <v>92.66</v>
      </c>
      <c r="E18" s="314">
        <v>170</v>
      </c>
      <c r="F18" s="274"/>
    </row>
    <row r="19" spans="1:6" s="275" customFormat="1" ht="12.75">
      <c r="A19" s="317" t="s">
        <v>186</v>
      </c>
      <c r="B19" s="312">
        <v>981</v>
      </c>
      <c r="C19" s="312">
        <v>1088</v>
      </c>
      <c r="D19" s="313">
        <f t="shared" si="0"/>
        <v>110.91</v>
      </c>
      <c r="E19" s="314">
        <v>100</v>
      </c>
      <c r="F19" s="274"/>
    </row>
    <row r="20" spans="1:5" ht="12">
      <c r="A20" s="318" t="s">
        <v>517</v>
      </c>
      <c r="B20" s="312">
        <v>981</v>
      </c>
      <c r="C20" s="312">
        <v>1088</v>
      </c>
      <c r="D20" s="313">
        <f t="shared" si="0"/>
        <v>110.91</v>
      </c>
      <c r="E20" s="314">
        <v>100</v>
      </c>
    </row>
    <row r="21" spans="1:5" s="275" customFormat="1" ht="12.75">
      <c r="A21" s="316" t="s">
        <v>518</v>
      </c>
      <c r="B21" s="312">
        <v>18858</v>
      </c>
      <c r="C21" s="312">
        <v>18304</v>
      </c>
      <c r="D21" s="313">
        <f t="shared" si="0"/>
        <v>97.06</v>
      </c>
      <c r="E21" s="314">
        <v>2146</v>
      </c>
    </row>
    <row r="22" spans="1:7" ht="12.75">
      <c r="A22" s="318" t="s">
        <v>519</v>
      </c>
      <c r="B22" s="312">
        <v>331</v>
      </c>
      <c r="C22" s="312">
        <v>347</v>
      </c>
      <c r="D22" s="313">
        <f t="shared" si="0"/>
        <v>104.83</v>
      </c>
      <c r="E22" s="314">
        <v>26</v>
      </c>
      <c r="F22" s="275"/>
      <c r="G22" s="275"/>
    </row>
    <row r="23" spans="1:7" ht="12.75">
      <c r="A23" s="318" t="s">
        <v>520</v>
      </c>
      <c r="B23" s="312">
        <v>3582</v>
      </c>
      <c r="C23" s="312">
        <v>3694</v>
      </c>
      <c r="D23" s="313">
        <f t="shared" si="0"/>
        <v>103.13</v>
      </c>
      <c r="E23" s="314">
        <v>439</v>
      </c>
      <c r="F23" s="275"/>
      <c r="G23" s="275"/>
    </row>
    <row r="24" spans="1:7" ht="12.75">
      <c r="A24" s="318" t="s">
        <v>521</v>
      </c>
      <c r="B24" s="312">
        <v>271</v>
      </c>
      <c r="C24" s="312">
        <v>279</v>
      </c>
      <c r="D24" s="313">
        <f t="shared" si="0"/>
        <v>102.95</v>
      </c>
      <c r="E24" s="314">
        <v>24</v>
      </c>
      <c r="F24" s="275"/>
      <c r="G24" s="275"/>
    </row>
    <row r="25" spans="1:7" ht="12.75">
      <c r="A25" s="318" t="s">
        <v>522</v>
      </c>
      <c r="B25" s="312">
        <v>14007</v>
      </c>
      <c r="C25" s="312">
        <v>13375</v>
      </c>
      <c r="D25" s="313">
        <f t="shared" si="0"/>
        <v>95.49</v>
      </c>
      <c r="E25" s="314">
        <v>1618</v>
      </c>
      <c r="F25" s="275"/>
      <c r="G25" s="275"/>
    </row>
    <row r="26" spans="1:7" ht="22.5">
      <c r="A26" s="319" t="s">
        <v>523</v>
      </c>
      <c r="B26" s="312">
        <v>583</v>
      </c>
      <c r="C26" s="312">
        <v>527</v>
      </c>
      <c r="D26" s="313">
        <f t="shared" si="0"/>
        <v>90.39</v>
      </c>
      <c r="E26" s="314">
        <v>28</v>
      </c>
      <c r="F26" s="275"/>
      <c r="G26" s="275"/>
    </row>
    <row r="27" spans="1:7" ht="12.75">
      <c r="A27" s="318" t="s">
        <v>524</v>
      </c>
      <c r="B27" s="312">
        <v>84</v>
      </c>
      <c r="C27" s="312">
        <v>82</v>
      </c>
      <c r="D27" s="313">
        <f t="shared" si="0"/>
        <v>97.62</v>
      </c>
      <c r="E27" s="314">
        <v>11</v>
      </c>
      <c r="F27" s="275"/>
      <c r="G27" s="275"/>
    </row>
    <row r="28" spans="1:7" ht="38.25">
      <c r="A28" s="320" t="s">
        <v>525</v>
      </c>
      <c r="B28" s="312">
        <v>26518</v>
      </c>
      <c r="C28" s="312">
        <v>25926</v>
      </c>
      <c r="D28" s="313">
        <f t="shared" si="0"/>
        <v>97.77</v>
      </c>
      <c r="E28" s="314">
        <v>2457</v>
      </c>
      <c r="F28" s="275"/>
      <c r="G28" s="275"/>
    </row>
    <row r="29" spans="1:7" ht="12.75">
      <c r="A29" s="316" t="s">
        <v>526</v>
      </c>
      <c r="B29" s="312">
        <v>131277</v>
      </c>
      <c r="C29" s="312">
        <v>133080</v>
      </c>
      <c r="D29" s="313">
        <f t="shared" si="0"/>
        <v>101.37</v>
      </c>
      <c r="E29" s="314">
        <v>13139</v>
      </c>
      <c r="F29" s="275"/>
      <c r="G29" s="275"/>
    </row>
    <row r="30" spans="1:7" ht="12.75">
      <c r="A30" s="321" t="s">
        <v>527</v>
      </c>
      <c r="B30" s="312">
        <v>6625</v>
      </c>
      <c r="C30" s="312">
        <v>6399</v>
      </c>
      <c r="D30" s="313">
        <f t="shared" si="0"/>
        <v>96.59</v>
      </c>
      <c r="E30" s="314">
        <v>1051</v>
      </c>
      <c r="F30" s="275"/>
      <c r="G30" s="275"/>
    </row>
    <row r="31" spans="1:7" ht="22.5">
      <c r="A31" s="319" t="s">
        <v>528</v>
      </c>
      <c r="B31" s="312">
        <v>5315</v>
      </c>
      <c r="C31" s="312">
        <v>5094</v>
      </c>
      <c r="D31" s="313">
        <f t="shared" si="0"/>
        <v>95.84</v>
      </c>
      <c r="E31" s="314">
        <v>883</v>
      </c>
      <c r="F31" s="275"/>
      <c r="G31" s="275"/>
    </row>
    <row r="32" spans="1:7" ht="22.5">
      <c r="A32" s="319" t="s">
        <v>529</v>
      </c>
      <c r="B32" s="312">
        <v>273</v>
      </c>
      <c r="C32" s="312">
        <v>265</v>
      </c>
      <c r="D32" s="313">
        <f t="shared" si="0"/>
        <v>97.07</v>
      </c>
      <c r="E32" s="314">
        <v>32</v>
      </c>
      <c r="F32" s="275"/>
      <c r="G32" s="275"/>
    </row>
    <row r="33" spans="1:7" ht="12.75">
      <c r="A33" s="318" t="s">
        <v>530</v>
      </c>
      <c r="B33" s="312">
        <v>1037</v>
      </c>
      <c r="C33" s="312">
        <v>1040</v>
      </c>
      <c r="D33" s="313">
        <f t="shared" si="0"/>
        <v>100.29</v>
      </c>
      <c r="E33" s="314">
        <v>136</v>
      </c>
      <c r="F33" s="275"/>
      <c r="G33" s="275"/>
    </row>
    <row r="34" spans="1:7" ht="12.75">
      <c r="A34" s="321" t="s">
        <v>531</v>
      </c>
      <c r="B34" s="312">
        <v>93405</v>
      </c>
      <c r="C34" s="312">
        <v>95384</v>
      </c>
      <c r="D34" s="313">
        <f t="shared" si="0"/>
        <v>102.12</v>
      </c>
      <c r="E34" s="314">
        <v>9520</v>
      </c>
      <c r="F34" s="275"/>
      <c r="G34" s="275"/>
    </row>
    <row r="35" spans="1:7" ht="12.75">
      <c r="A35" s="318" t="s">
        <v>532</v>
      </c>
      <c r="B35" s="312">
        <v>245</v>
      </c>
      <c r="C35" s="312">
        <v>254</v>
      </c>
      <c r="D35" s="313">
        <f t="shared" si="0"/>
        <v>103.67</v>
      </c>
      <c r="E35" s="314">
        <v>83</v>
      </c>
      <c r="F35" s="275"/>
      <c r="G35" s="275"/>
    </row>
    <row r="36" spans="1:5" ht="12">
      <c r="A36" s="318" t="s">
        <v>533</v>
      </c>
      <c r="B36" s="312">
        <v>65</v>
      </c>
      <c r="C36" s="312">
        <v>67</v>
      </c>
      <c r="D36" s="313">
        <f t="shared" si="0"/>
        <v>103.08</v>
      </c>
      <c r="E36" s="314">
        <v>24</v>
      </c>
    </row>
    <row r="37" spans="1:5" ht="12">
      <c r="A37" s="318" t="s">
        <v>534</v>
      </c>
      <c r="B37" s="312">
        <v>93160</v>
      </c>
      <c r="C37" s="312">
        <v>93203</v>
      </c>
      <c r="D37" s="313">
        <f t="shared" si="0"/>
        <v>100.05</v>
      </c>
      <c r="E37" s="314">
        <v>7510</v>
      </c>
    </row>
    <row r="38" spans="1:5" ht="22.5">
      <c r="A38" s="322" t="s">
        <v>535</v>
      </c>
      <c r="B38" s="312">
        <v>0</v>
      </c>
      <c r="C38" s="312">
        <v>1927</v>
      </c>
      <c r="D38" s="313"/>
      <c r="E38" s="314">
        <v>1927</v>
      </c>
    </row>
    <row r="39" spans="1:5" ht="22.5">
      <c r="A39" s="323" t="s">
        <v>536</v>
      </c>
      <c r="B39" s="312">
        <v>30154</v>
      </c>
      <c r="C39" s="312">
        <v>30154</v>
      </c>
      <c r="D39" s="313">
        <f>C39/B39*100</f>
        <v>100</v>
      </c>
      <c r="E39" s="314">
        <v>2511</v>
      </c>
    </row>
    <row r="40" spans="1:5" ht="12">
      <c r="A40" s="318" t="s">
        <v>532</v>
      </c>
      <c r="B40" s="312">
        <v>30154</v>
      </c>
      <c r="C40" s="312">
        <v>30154</v>
      </c>
      <c r="D40" s="313">
        <f>C40/B40*100</f>
        <v>100</v>
      </c>
      <c r="E40" s="314">
        <v>2511</v>
      </c>
    </row>
    <row r="41" spans="1:5" ht="12">
      <c r="A41" s="318" t="s">
        <v>537</v>
      </c>
      <c r="B41" s="312">
        <v>0</v>
      </c>
      <c r="C41" s="312">
        <v>0</v>
      </c>
      <c r="D41" s="313"/>
      <c r="E41" s="314">
        <v>0</v>
      </c>
    </row>
    <row r="42" spans="1:5" ht="22.5">
      <c r="A42" s="319" t="s">
        <v>538</v>
      </c>
      <c r="B42" s="312">
        <v>0</v>
      </c>
      <c r="C42" s="312">
        <v>0</v>
      </c>
      <c r="D42" s="313"/>
      <c r="E42" s="314">
        <v>0</v>
      </c>
    </row>
    <row r="43" spans="1:5" ht="12">
      <c r="A43" s="324" t="s">
        <v>539</v>
      </c>
      <c r="B43" s="325">
        <v>1093</v>
      </c>
      <c r="C43" s="325">
        <v>1143</v>
      </c>
      <c r="D43" s="326">
        <f>C43/B43*100</f>
        <v>104.57</v>
      </c>
      <c r="E43" s="327">
        <v>57</v>
      </c>
    </row>
    <row r="44" spans="1:5" ht="12">
      <c r="A44" s="328"/>
      <c r="B44" s="329"/>
      <c r="C44" s="329"/>
      <c r="D44" s="330"/>
      <c r="E44" s="331"/>
    </row>
    <row r="45" spans="1:5" ht="12.75">
      <c r="A45" s="328"/>
      <c r="B45" s="332"/>
      <c r="C45" s="332"/>
      <c r="D45" s="332"/>
      <c r="E45" s="331"/>
    </row>
    <row r="46" spans="1:5" ht="12.75">
      <c r="A46" s="328"/>
      <c r="B46" s="332"/>
      <c r="C46" s="332"/>
      <c r="D46" s="332"/>
      <c r="E46" s="331"/>
    </row>
    <row r="47" spans="1:5" ht="12.75">
      <c r="A47" s="328"/>
      <c r="B47" s="332"/>
      <c r="C47" s="332"/>
      <c r="D47" s="332"/>
      <c r="E47" s="331"/>
    </row>
    <row r="48" spans="1:4" s="330" customFormat="1" ht="12" hidden="1">
      <c r="A48" s="333"/>
      <c r="B48" s="331"/>
      <c r="C48" s="329"/>
      <c r="D48" s="329"/>
    </row>
    <row r="49" spans="1:5" s="336" customFormat="1" ht="15.75" customHeight="1">
      <c r="A49" s="334" t="s">
        <v>540</v>
      </c>
      <c r="B49" s="334"/>
      <c r="C49" s="335"/>
      <c r="D49" s="335"/>
      <c r="E49" s="293" t="s">
        <v>500</v>
      </c>
    </row>
    <row r="50" spans="1:4" ht="12.75">
      <c r="A50" s="332"/>
      <c r="B50" s="330"/>
      <c r="C50" s="330"/>
      <c r="D50" s="330"/>
    </row>
    <row r="51" spans="1:4" s="330" customFormat="1" ht="13.5" customHeight="1">
      <c r="A51" s="337"/>
      <c r="C51" s="338"/>
      <c r="D51" s="274"/>
    </row>
    <row r="52" spans="1:4" ht="12.75">
      <c r="A52" s="332"/>
      <c r="B52" s="330"/>
      <c r="C52" s="330"/>
      <c r="D52" s="330"/>
    </row>
    <row r="53" spans="1:4" s="330" customFormat="1" ht="11.25">
      <c r="A53" s="337"/>
      <c r="C53" s="338"/>
      <c r="D53" s="274"/>
    </row>
    <row r="54" spans="1:4" ht="13.5" customHeight="1">
      <c r="A54" s="332"/>
      <c r="B54" s="330"/>
      <c r="C54" s="330"/>
      <c r="D54" s="330"/>
    </row>
    <row r="55" spans="1:3" ht="12">
      <c r="A55" s="334"/>
      <c r="B55" s="339"/>
      <c r="C55" s="338"/>
    </row>
    <row r="56" spans="1:3" ht="12">
      <c r="A56" s="334"/>
      <c r="B56" s="339"/>
      <c r="C56" s="278"/>
    </row>
    <row r="58" spans="1:3" ht="12">
      <c r="A58" s="304"/>
      <c r="B58" s="339"/>
      <c r="C58" s="336"/>
    </row>
    <row r="59" spans="1:3" ht="12">
      <c r="A59" s="334"/>
      <c r="B59" s="339"/>
      <c r="C59" s="336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&amp;L&amp;"Arial,Regular"&amp;8          Valsts kase / Pārskatu departaments    
          15.01.00.
      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I66"/>
  <sheetViews>
    <sheetView showGridLines="0" showZeros="0" workbookViewId="0" topLeftCell="A27">
      <selection activeCell="E30" sqref="E30"/>
    </sheetView>
  </sheetViews>
  <sheetFormatPr defaultColWidth="9.140625" defaultRowHeight="12.75"/>
  <cols>
    <col min="1" max="1" width="41.00390625" style="302" customWidth="1"/>
    <col min="2" max="2" width="13.140625" style="363" customWidth="1"/>
    <col min="3" max="5" width="13.140625" style="274" customWidth="1"/>
    <col min="6" max="6" width="11.28125" style="274" customWidth="1"/>
    <col min="7" max="16384" width="8.00390625" style="274" customWidth="1"/>
  </cols>
  <sheetData>
    <row r="1" spans="1:6" ht="12.75">
      <c r="A1" s="296" t="s">
        <v>541</v>
      </c>
      <c r="B1" s="296"/>
      <c r="C1" s="272"/>
      <c r="D1" s="272"/>
      <c r="E1" s="272" t="s">
        <v>542</v>
      </c>
      <c r="F1" s="332" t="s">
        <v>113</v>
      </c>
    </row>
    <row r="2" spans="1:6" ht="12.75">
      <c r="A2" s="296"/>
      <c r="B2" s="296"/>
      <c r="C2" s="272"/>
      <c r="D2" s="272"/>
      <c r="E2" s="272"/>
      <c r="F2" s="332"/>
    </row>
    <row r="3" spans="1:6" ht="12.75">
      <c r="A3" s="296"/>
      <c r="B3" s="296"/>
      <c r="C3" s="272"/>
      <c r="D3" s="272"/>
      <c r="E3" s="272"/>
      <c r="F3" s="332"/>
    </row>
    <row r="4" spans="1:5" s="278" customFormat="1" ht="11.25">
      <c r="A4" s="340"/>
      <c r="B4" s="340"/>
      <c r="C4" s="305"/>
      <c r="D4" s="305"/>
      <c r="E4" s="305"/>
    </row>
    <row r="5" spans="1:6" ht="15.75">
      <c r="A5" s="298" t="s">
        <v>543</v>
      </c>
      <c r="B5" s="299"/>
      <c r="C5" s="300"/>
      <c r="D5" s="300"/>
      <c r="E5" s="300"/>
      <c r="F5" s="300"/>
    </row>
    <row r="6" spans="1:6" s="301" customFormat="1" ht="15.75">
      <c r="A6" s="298" t="s">
        <v>544</v>
      </c>
      <c r="B6" s="299"/>
      <c r="C6" s="300"/>
      <c r="D6" s="300"/>
      <c r="E6" s="300"/>
      <c r="F6" s="300"/>
    </row>
    <row r="7" spans="1:6" s="301" customFormat="1" ht="15">
      <c r="A7" s="302"/>
      <c r="B7" s="341"/>
      <c r="C7" s="303"/>
      <c r="D7" s="303"/>
      <c r="E7" s="303"/>
      <c r="F7" s="274"/>
    </row>
    <row r="8" spans="1:6" ht="11.25">
      <c r="A8" s="304"/>
      <c r="B8" s="342"/>
      <c r="C8" s="278"/>
      <c r="D8" s="305" t="s">
        <v>545</v>
      </c>
      <c r="E8" s="305"/>
      <c r="F8" s="343"/>
    </row>
    <row r="9" spans="1:5" s="278" customFormat="1" ht="43.5" customHeight="1">
      <c r="A9" s="344" t="s">
        <v>2</v>
      </c>
      <c r="B9" s="345" t="s">
        <v>456</v>
      </c>
      <c r="C9" s="345" t="s">
        <v>100</v>
      </c>
      <c r="D9" s="345" t="s">
        <v>508</v>
      </c>
      <c r="E9" s="346" t="s">
        <v>6</v>
      </c>
    </row>
    <row r="10" spans="1:5" ht="11.25">
      <c r="A10" s="347" t="s">
        <v>509</v>
      </c>
      <c r="B10" s="309" t="s">
        <v>546</v>
      </c>
      <c r="C10" s="309" t="s">
        <v>547</v>
      </c>
      <c r="D10" s="309" t="s">
        <v>548</v>
      </c>
      <c r="E10" s="310" t="s">
        <v>549</v>
      </c>
    </row>
    <row r="11" spans="1:5" ht="12.75">
      <c r="A11" s="348" t="s">
        <v>550</v>
      </c>
      <c r="B11" s="312">
        <f>B12+B30</f>
        <v>392157</v>
      </c>
      <c r="C11" s="312">
        <f>C12+C30</f>
        <v>408655</v>
      </c>
      <c r="D11" s="313">
        <f aca="true" t="shared" si="0" ref="D11:D36">C11/B11*100</f>
        <v>104.21</v>
      </c>
      <c r="E11" s="314">
        <f>E12+E30</f>
        <v>46707</v>
      </c>
    </row>
    <row r="12" spans="1:5" s="275" customFormat="1" ht="12.75">
      <c r="A12" s="349" t="s">
        <v>551</v>
      </c>
      <c r="B12" s="312">
        <v>361159</v>
      </c>
      <c r="C12" s="312">
        <v>378041</v>
      </c>
      <c r="D12" s="313">
        <f t="shared" si="0"/>
        <v>104.67</v>
      </c>
      <c r="E12" s="314">
        <v>43589</v>
      </c>
    </row>
    <row r="13" spans="1:5" s="336" customFormat="1" ht="12">
      <c r="A13" s="350" t="s">
        <v>552</v>
      </c>
      <c r="B13" s="312">
        <v>46839</v>
      </c>
      <c r="C13" s="312">
        <v>45849</v>
      </c>
      <c r="D13" s="313">
        <f t="shared" si="0"/>
        <v>97.89</v>
      </c>
      <c r="E13" s="314">
        <v>6502</v>
      </c>
    </row>
    <row r="14" spans="1:5" s="336" customFormat="1" ht="12">
      <c r="A14" s="350" t="s">
        <v>428</v>
      </c>
      <c r="B14" s="312">
        <v>160</v>
      </c>
      <c r="C14" s="312">
        <v>145</v>
      </c>
      <c r="D14" s="313">
        <f t="shared" si="0"/>
        <v>90.63</v>
      </c>
      <c r="E14" s="314">
        <v>9</v>
      </c>
    </row>
    <row r="15" spans="1:5" s="336" customFormat="1" ht="12">
      <c r="A15" s="350" t="s">
        <v>429</v>
      </c>
      <c r="B15" s="312">
        <v>6064</v>
      </c>
      <c r="C15" s="312">
        <v>5875</v>
      </c>
      <c r="D15" s="313">
        <f t="shared" si="0"/>
        <v>96.88</v>
      </c>
      <c r="E15" s="314">
        <v>572</v>
      </c>
    </row>
    <row r="16" spans="1:9" s="336" customFormat="1" ht="12">
      <c r="A16" s="350" t="s">
        <v>430</v>
      </c>
      <c r="B16" s="312">
        <v>182302</v>
      </c>
      <c r="C16" s="312">
        <v>182848</v>
      </c>
      <c r="D16" s="313">
        <f t="shared" si="0"/>
        <v>100.3</v>
      </c>
      <c r="E16" s="314">
        <v>19902</v>
      </c>
      <c r="I16" s="336" t="s">
        <v>113</v>
      </c>
    </row>
    <row r="17" spans="1:5" s="336" customFormat="1" ht="12">
      <c r="A17" s="350" t="s">
        <v>431</v>
      </c>
      <c r="B17" s="312">
        <v>4630</v>
      </c>
      <c r="C17" s="312">
        <v>6727</v>
      </c>
      <c r="D17" s="313">
        <f t="shared" si="0"/>
        <v>145.29</v>
      </c>
      <c r="E17" s="314">
        <v>523</v>
      </c>
    </row>
    <row r="18" spans="1:5" s="336" customFormat="1" ht="12">
      <c r="A18" s="350" t="s">
        <v>432</v>
      </c>
      <c r="B18" s="312">
        <v>32212</v>
      </c>
      <c r="C18" s="312">
        <v>32391</v>
      </c>
      <c r="D18" s="313">
        <f t="shared" si="0"/>
        <v>100.56</v>
      </c>
      <c r="E18" s="314">
        <v>3711</v>
      </c>
    </row>
    <row r="19" spans="1:5" s="336" customFormat="1" ht="12">
      <c r="A19" s="350" t="s">
        <v>433</v>
      </c>
      <c r="B19" s="312">
        <v>50243</v>
      </c>
      <c r="C19" s="312">
        <v>62070</v>
      </c>
      <c r="D19" s="313">
        <f t="shared" si="0"/>
        <v>123.54</v>
      </c>
      <c r="E19" s="314">
        <v>6999</v>
      </c>
    </row>
    <row r="20" spans="1:5" s="336" customFormat="1" ht="12">
      <c r="A20" s="350" t="s">
        <v>553</v>
      </c>
      <c r="B20" s="312">
        <v>21856</v>
      </c>
      <c r="C20" s="312">
        <v>23064</v>
      </c>
      <c r="D20" s="313">
        <f t="shared" si="0"/>
        <v>105.53</v>
      </c>
      <c r="E20" s="314">
        <v>2623</v>
      </c>
    </row>
    <row r="21" spans="1:5" s="336" customFormat="1" ht="12">
      <c r="A21" s="350" t="s">
        <v>435</v>
      </c>
      <c r="B21" s="312">
        <v>2964</v>
      </c>
      <c r="C21" s="312">
        <v>2397</v>
      </c>
      <c r="D21" s="313">
        <f t="shared" si="0"/>
        <v>80.87</v>
      </c>
      <c r="E21" s="314">
        <v>272</v>
      </c>
    </row>
    <row r="22" spans="1:5" s="336" customFormat="1" ht="12">
      <c r="A22" s="350" t="s">
        <v>554</v>
      </c>
      <c r="B22" s="312">
        <v>426</v>
      </c>
      <c r="C22" s="312">
        <v>410</v>
      </c>
      <c r="D22" s="313">
        <f t="shared" si="0"/>
        <v>96.24</v>
      </c>
      <c r="E22" s="314">
        <v>46</v>
      </c>
    </row>
    <row r="23" spans="1:5" s="336" customFormat="1" ht="22.5">
      <c r="A23" s="350" t="s">
        <v>437</v>
      </c>
      <c r="B23" s="312">
        <v>392</v>
      </c>
      <c r="C23" s="312">
        <v>392</v>
      </c>
      <c r="D23" s="313">
        <f t="shared" si="0"/>
        <v>100</v>
      </c>
      <c r="E23" s="314">
        <v>0</v>
      </c>
    </row>
    <row r="24" spans="1:5" s="336" customFormat="1" ht="12">
      <c r="A24" s="350" t="s">
        <v>555</v>
      </c>
      <c r="B24" s="312">
        <v>7606</v>
      </c>
      <c r="C24" s="312">
        <v>11423</v>
      </c>
      <c r="D24" s="313">
        <f t="shared" si="0"/>
        <v>150.18</v>
      </c>
      <c r="E24" s="314">
        <v>2221</v>
      </c>
    </row>
    <row r="25" spans="1:5" s="336" customFormat="1" ht="12">
      <c r="A25" s="350" t="s">
        <v>439</v>
      </c>
      <c r="B25" s="312">
        <v>917</v>
      </c>
      <c r="C25" s="312">
        <v>867</v>
      </c>
      <c r="D25" s="313">
        <f t="shared" si="0"/>
        <v>94.55</v>
      </c>
      <c r="E25" s="314">
        <v>54</v>
      </c>
    </row>
    <row r="26" spans="1:5" s="336" customFormat="1" ht="12">
      <c r="A26" s="350" t="s">
        <v>556</v>
      </c>
      <c r="B26" s="312">
        <v>2037</v>
      </c>
      <c r="C26" s="312">
        <v>1510</v>
      </c>
      <c r="D26" s="313">
        <f t="shared" si="0"/>
        <v>74.13</v>
      </c>
      <c r="E26" s="314">
        <v>-225</v>
      </c>
    </row>
    <row r="27" spans="1:5" s="336" customFormat="1" ht="12">
      <c r="A27" s="350" t="s">
        <v>557</v>
      </c>
      <c r="B27" s="312">
        <v>280</v>
      </c>
      <c r="C27" s="312">
        <v>262</v>
      </c>
      <c r="D27" s="313">
        <f t="shared" si="0"/>
        <v>93.57</v>
      </c>
      <c r="E27" s="314">
        <v>18</v>
      </c>
    </row>
    <row r="28" spans="1:5" s="336" customFormat="1" ht="12">
      <c r="A28" s="350" t="s">
        <v>558</v>
      </c>
      <c r="B28" s="312">
        <v>392</v>
      </c>
      <c r="C28" s="312">
        <v>19</v>
      </c>
      <c r="D28" s="313">
        <f t="shared" si="0"/>
        <v>4.85</v>
      </c>
      <c r="E28" s="314">
        <v>4</v>
      </c>
    </row>
    <row r="29" spans="1:5" s="336" customFormat="1" ht="12">
      <c r="A29" s="350" t="s">
        <v>559</v>
      </c>
      <c r="B29" s="312">
        <v>1839</v>
      </c>
      <c r="C29" s="312">
        <v>1792</v>
      </c>
      <c r="D29" s="313">
        <f t="shared" si="0"/>
        <v>97.44</v>
      </c>
      <c r="E29" s="314">
        <v>358</v>
      </c>
    </row>
    <row r="30" spans="1:5" s="336" customFormat="1" ht="12.75" customHeight="1">
      <c r="A30" s="349" t="s">
        <v>560</v>
      </c>
      <c r="B30" s="312">
        <v>30998</v>
      </c>
      <c r="C30" s="312">
        <v>30614</v>
      </c>
      <c r="D30" s="313">
        <f t="shared" si="0"/>
        <v>98.76</v>
      </c>
      <c r="E30" s="314">
        <v>3118</v>
      </c>
    </row>
    <row r="31" spans="1:5" s="336" customFormat="1" ht="12">
      <c r="A31" s="351" t="s">
        <v>527</v>
      </c>
      <c r="B31" s="312">
        <v>6947</v>
      </c>
      <c r="C31" s="312">
        <v>6563</v>
      </c>
      <c r="D31" s="313">
        <f t="shared" si="0"/>
        <v>94.47</v>
      </c>
      <c r="E31" s="314">
        <v>1018</v>
      </c>
    </row>
    <row r="32" spans="1:5" s="336" customFormat="1" ht="22.5">
      <c r="A32" s="352" t="s">
        <v>561</v>
      </c>
      <c r="B32" s="312">
        <v>5958</v>
      </c>
      <c r="C32" s="312">
        <v>5584</v>
      </c>
      <c r="D32" s="313">
        <f t="shared" si="0"/>
        <v>93.72</v>
      </c>
      <c r="E32" s="314">
        <v>892</v>
      </c>
    </row>
    <row r="33" spans="1:5" s="336" customFormat="1" ht="22.5">
      <c r="A33" s="352" t="s">
        <v>562</v>
      </c>
      <c r="B33" s="312">
        <v>357</v>
      </c>
      <c r="C33" s="312">
        <v>347</v>
      </c>
      <c r="D33" s="313">
        <f t="shared" si="0"/>
        <v>97.2</v>
      </c>
      <c r="E33" s="314">
        <v>40</v>
      </c>
    </row>
    <row r="34" spans="1:5" s="336" customFormat="1" ht="12">
      <c r="A34" s="352" t="s">
        <v>530</v>
      </c>
      <c r="B34" s="312">
        <v>632</v>
      </c>
      <c r="C34" s="312">
        <v>632</v>
      </c>
      <c r="D34" s="313">
        <f t="shared" si="0"/>
        <v>100</v>
      </c>
      <c r="E34" s="314">
        <v>86</v>
      </c>
    </row>
    <row r="35" spans="1:5" s="336" customFormat="1" ht="22.5">
      <c r="A35" s="351" t="s">
        <v>563</v>
      </c>
      <c r="B35" s="312">
        <v>24051</v>
      </c>
      <c r="C35" s="312">
        <v>24051</v>
      </c>
      <c r="D35" s="313">
        <f t="shared" si="0"/>
        <v>100</v>
      </c>
      <c r="E35" s="314">
        <v>2100</v>
      </c>
    </row>
    <row r="36" spans="1:5" s="336" customFormat="1" ht="12">
      <c r="A36" s="352" t="s">
        <v>564</v>
      </c>
      <c r="B36" s="312">
        <v>24051</v>
      </c>
      <c r="C36" s="312">
        <v>24051</v>
      </c>
      <c r="D36" s="353">
        <f t="shared" si="0"/>
        <v>100</v>
      </c>
      <c r="E36" s="314">
        <v>2100</v>
      </c>
    </row>
    <row r="37" spans="1:5" s="291" customFormat="1" ht="12">
      <c r="A37" s="354" t="s">
        <v>565</v>
      </c>
      <c r="B37" s="325"/>
      <c r="C37" s="325"/>
      <c r="D37" s="326"/>
      <c r="E37" s="327"/>
    </row>
    <row r="38" spans="1:5" s="291" customFormat="1" ht="12">
      <c r="A38" s="355"/>
      <c r="B38" s="356"/>
      <c r="C38" s="356"/>
      <c r="D38" s="356"/>
      <c r="E38" s="356"/>
    </row>
    <row r="39" spans="1:8" s="336" customFormat="1" ht="12">
      <c r="A39" s="278" t="s">
        <v>566</v>
      </c>
      <c r="C39" s="357">
        <v>0</v>
      </c>
      <c r="D39" s="336">
        <v>0</v>
      </c>
      <c r="E39" s="274"/>
      <c r="F39" s="274"/>
      <c r="G39" s="274"/>
      <c r="H39" s="274"/>
    </row>
    <row r="40" spans="1:8" s="336" customFormat="1" ht="12">
      <c r="A40" s="358"/>
      <c r="B40" s="359"/>
      <c r="C40" s="357"/>
      <c r="D40" s="356"/>
      <c r="E40" s="274"/>
      <c r="F40" s="274"/>
      <c r="G40" s="274"/>
      <c r="H40" s="274"/>
    </row>
    <row r="41" spans="1:8" s="336" customFormat="1" ht="12">
      <c r="A41" s="358"/>
      <c r="B41" s="359"/>
      <c r="C41" s="357"/>
      <c r="D41" s="356"/>
      <c r="E41" s="274"/>
      <c r="F41" s="274"/>
      <c r="G41" s="274"/>
      <c r="H41" s="274"/>
    </row>
    <row r="42" spans="1:8" s="336" customFormat="1" ht="12">
      <c r="A42" s="334"/>
      <c r="B42" s="357"/>
      <c r="C42" s="356"/>
      <c r="E42" s="274"/>
      <c r="F42" s="274"/>
      <c r="G42" s="274"/>
      <c r="H42" s="274"/>
    </row>
    <row r="43" spans="1:8" s="336" customFormat="1" ht="12">
      <c r="A43" s="334" t="s">
        <v>540</v>
      </c>
      <c r="B43" s="334"/>
      <c r="C43" s="291"/>
      <c r="D43" s="360"/>
      <c r="E43" s="361" t="s">
        <v>500</v>
      </c>
      <c r="F43" s="274"/>
      <c r="G43" s="274"/>
      <c r="H43" s="274"/>
    </row>
    <row r="44" spans="1:8" s="336" customFormat="1" ht="12">
      <c r="A44" s="334"/>
      <c r="B44" s="334"/>
      <c r="C44" s="362"/>
      <c r="D44" s="362"/>
      <c r="E44" s="274"/>
      <c r="F44" s="274"/>
      <c r="G44" s="274"/>
      <c r="H44" s="274"/>
    </row>
    <row r="45" spans="1:8" s="336" customFormat="1" ht="12">
      <c r="A45" s="334"/>
      <c r="B45" s="357"/>
      <c r="E45" s="274"/>
      <c r="F45" s="274"/>
      <c r="G45" s="274"/>
      <c r="H45" s="274"/>
    </row>
    <row r="46" spans="1:8" s="336" customFormat="1" ht="12">
      <c r="A46" s="334"/>
      <c r="B46" s="334"/>
      <c r="C46" s="362"/>
      <c r="D46" s="362"/>
      <c r="E46" s="274"/>
      <c r="F46" s="274"/>
      <c r="G46" s="274"/>
      <c r="H46" s="274"/>
    </row>
    <row r="47" spans="1:8" s="336" customFormat="1" ht="12">
      <c r="A47" s="334"/>
      <c r="B47" s="334"/>
      <c r="C47" s="362"/>
      <c r="E47" s="274"/>
      <c r="F47" s="274"/>
      <c r="G47" s="274"/>
      <c r="H47" s="274"/>
    </row>
    <row r="48" spans="1:4" ht="12">
      <c r="A48" s="334"/>
      <c r="B48" s="302"/>
      <c r="C48" s="339"/>
      <c r="D48" s="362"/>
    </row>
    <row r="66" spans="5:8" ht="11.25">
      <c r="E66" s="274">
        <v>0</v>
      </c>
      <c r="F66" s="274">
        <v>0</v>
      </c>
      <c r="G66" s="274">
        <v>0</v>
      </c>
      <c r="H66" s="274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&amp;L&amp;"Arial,Regular"&amp;8  Valsts kase / Pārskatu departaments
   15.01.00.
</oddFooter>
  </headerFooter>
  <rowBreaks count="1" manualBreakCount="1">
    <brk id="4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">
      <selection activeCell="E30" sqref="E30"/>
    </sheetView>
  </sheetViews>
  <sheetFormatPr defaultColWidth="9.140625" defaultRowHeight="12.75"/>
  <cols>
    <col min="1" max="1" width="40.57421875" style="302" customWidth="1"/>
    <col min="2" max="5" width="12.28125" style="274" customWidth="1"/>
    <col min="6" max="16384" width="8.00390625" style="274" customWidth="1"/>
  </cols>
  <sheetData>
    <row r="1" spans="1:5" s="278" customFormat="1" ht="12.75">
      <c r="A1" s="296" t="s">
        <v>567</v>
      </c>
      <c r="B1" s="272"/>
      <c r="C1" s="272"/>
      <c r="D1" s="272"/>
      <c r="E1" s="272" t="s">
        <v>568</v>
      </c>
    </row>
    <row r="2" spans="1:6" s="275" customFormat="1" ht="12.75">
      <c r="A2" s="296"/>
      <c r="B2" s="272"/>
      <c r="C2" s="272"/>
      <c r="D2" s="272"/>
      <c r="E2" s="364"/>
      <c r="F2" s="332"/>
    </row>
    <row r="3" spans="1:5" s="278" customFormat="1" ht="11.25">
      <c r="A3" s="304"/>
      <c r="D3" s="305"/>
      <c r="E3" s="305"/>
    </row>
    <row r="4" spans="1:5" s="301" customFormat="1" ht="15.75">
      <c r="A4" s="298" t="s">
        <v>569</v>
      </c>
      <c r="B4" s="300"/>
      <c r="C4" s="300"/>
      <c r="D4" s="300"/>
      <c r="E4" s="300"/>
    </row>
    <row r="5" spans="1:5" s="301" customFormat="1" ht="15.75">
      <c r="A5" s="298" t="s">
        <v>544</v>
      </c>
      <c r="B5" s="300"/>
      <c r="C5" s="300"/>
      <c r="D5" s="300"/>
      <c r="E5" s="300"/>
    </row>
    <row r="6" spans="1:4" ht="15">
      <c r="A6" s="365"/>
      <c r="B6" s="303"/>
      <c r="C6" s="303"/>
      <c r="D6" s="303"/>
    </row>
    <row r="7" spans="1:4" ht="15">
      <c r="A7" s="365"/>
      <c r="B7" s="303"/>
      <c r="C7" s="303"/>
      <c r="D7" s="303"/>
    </row>
    <row r="8" spans="1:5" s="278" customFormat="1" ht="11.25" customHeight="1">
      <c r="A8" s="304"/>
      <c r="C8" s="305" t="s">
        <v>570</v>
      </c>
      <c r="D8" s="305"/>
      <c r="E8" s="305"/>
    </row>
    <row r="9" spans="1:5" s="278" customFormat="1" ht="33.75" customHeight="1">
      <c r="A9" s="344" t="s">
        <v>2</v>
      </c>
      <c r="B9" s="345" t="s">
        <v>456</v>
      </c>
      <c r="C9" s="345" t="s">
        <v>100</v>
      </c>
      <c r="D9" s="345" t="s">
        <v>508</v>
      </c>
      <c r="E9" s="346" t="s">
        <v>6</v>
      </c>
    </row>
    <row r="10" spans="1:5" s="275" customFormat="1" ht="12.75" customHeight="1">
      <c r="A10" s="347" t="s">
        <v>509</v>
      </c>
      <c r="B10" s="309" t="s">
        <v>546</v>
      </c>
      <c r="C10" s="309" t="s">
        <v>547</v>
      </c>
      <c r="D10" s="309" t="s">
        <v>548</v>
      </c>
      <c r="E10" s="310" t="s">
        <v>549</v>
      </c>
    </row>
    <row r="11" spans="1:5" s="275" customFormat="1" ht="12.75" customHeight="1">
      <c r="A11" s="348" t="s">
        <v>264</v>
      </c>
      <c r="B11" s="312">
        <v>397365</v>
      </c>
      <c r="C11" s="312">
        <v>397151</v>
      </c>
      <c r="D11" s="313">
        <f aca="true" t="shared" si="0" ref="D11:D40">C11/B11*100</f>
        <v>99.95</v>
      </c>
      <c r="E11" s="314">
        <v>37666</v>
      </c>
    </row>
    <row r="12" spans="1:5" s="275" customFormat="1" ht="12.75">
      <c r="A12" s="348" t="s">
        <v>571</v>
      </c>
      <c r="B12" s="312">
        <f>B13+B32</f>
        <v>392319</v>
      </c>
      <c r="C12" s="312">
        <f>C13+C32</f>
        <v>407791</v>
      </c>
      <c r="D12" s="313">
        <f t="shared" si="0"/>
        <v>103.94</v>
      </c>
      <c r="E12" s="314">
        <f>E13+E32</f>
        <v>46897</v>
      </c>
    </row>
    <row r="13" spans="1:5" s="330" customFormat="1" ht="11.25" customHeight="1">
      <c r="A13" s="349" t="s">
        <v>269</v>
      </c>
      <c r="B13" s="312">
        <v>354006</v>
      </c>
      <c r="C13" s="312">
        <v>345680</v>
      </c>
      <c r="D13" s="313">
        <f t="shared" si="0"/>
        <v>97.65</v>
      </c>
      <c r="E13" s="314">
        <v>39058</v>
      </c>
    </row>
    <row r="14" spans="1:5" s="330" customFormat="1" ht="11.25" customHeight="1">
      <c r="A14" s="366" t="s">
        <v>270</v>
      </c>
      <c r="B14" s="312">
        <v>290496</v>
      </c>
      <c r="C14" s="312">
        <v>283878</v>
      </c>
      <c r="D14" s="313">
        <f t="shared" si="0"/>
        <v>97.72</v>
      </c>
      <c r="E14" s="314">
        <v>32678</v>
      </c>
    </row>
    <row r="15" spans="1:5" s="330" customFormat="1" ht="11.25" customHeight="1" hidden="1">
      <c r="A15" s="352" t="s">
        <v>572</v>
      </c>
      <c r="B15" s="312">
        <v>2109</v>
      </c>
      <c r="C15" s="312">
        <v>1481</v>
      </c>
      <c r="D15" s="313">
        <f t="shared" si="0"/>
        <v>70.22</v>
      </c>
      <c r="E15" s="314">
        <v>-1433</v>
      </c>
    </row>
    <row r="16" spans="1:5" ht="12">
      <c r="A16" s="352" t="s">
        <v>573</v>
      </c>
      <c r="B16" s="312">
        <v>140193</v>
      </c>
      <c r="C16" s="312">
        <v>139081</v>
      </c>
      <c r="D16" s="313">
        <f t="shared" si="0"/>
        <v>99.21</v>
      </c>
      <c r="E16" s="314">
        <v>16453</v>
      </c>
    </row>
    <row r="17" spans="1:5" ht="12">
      <c r="A17" s="352" t="s">
        <v>574</v>
      </c>
      <c r="B17" s="312">
        <v>39201</v>
      </c>
      <c r="C17" s="312">
        <v>38504</v>
      </c>
      <c r="D17" s="313">
        <f t="shared" si="0"/>
        <v>98.22</v>
      </c>
      <c r="E17" s="314">
        <v>4733</v>
      </c>
    </row>
    <row r="18" spans="1:5" ht="12" hidden="1">
      <c r="A18" s="352" t="s">
        <v>575</v>
      </c>
      <c r="B18" s="312">
        <v>1295</v>
      </c>
      <c r="C18" s="312">
        <v>1165</v>
      </c>
      <c r="D18" s="313">
        <f t="shared" si="0"/>
        <v>89.96</v>
      </c>
      <c r="E18" s="314">
        <v>71</v>
      </c>
    </row>
    <row r="19" spans="1:5" ht="12" hidden="1">
      <c r="A19" s="352" t="s">
        <v>576</v>
      </c>
      <c r="B19" s="312">
        <v>49917</v>
      </c>
      <c r="C19" s="312">
        <v>47761</v>
      </c>
      <c r="D19" s="313">
        <f t="shared" si="0"/>
        <v>95.68</v>
      </c>
      <c r="E19" s="314">
        <v>6004</v>
      </c>
    </row>
    <row r="20" spans="1:5" ht="12" hidden="1">
      <c r="A20" s="352" t="s">
        <v>577</v>
      </c>
      <c r="B20" s="312">
        <v>55657</v>
      </c>
      <c r="C20" s="312">
        <v>53882</v>
      </c>
      <c r="D20" s="313">
        <f t="shared" si="0"/>
        <v>96.81</v>
      </c>
      <c r="E20" s="314">
        <v>6523</v>
      </c>
    </row>
    <row r="21" spans="1:5" ht="12" hidden="1">
      <c r="A21" s="352" t="s">
        <v>578</v>
      </c>
      <c r="B21" s="312">
        <v>110445</v>
      </c>
      <c r="C21" s="312">
        <f>SUM(C14,C17,C18,C19,C20)</f>
        <v>425190</v>
      </c>
      <c r="D21" s="313">
        <f t="shared" si="0"/>
        <v>384.98</v>
      </c>
      <c r="E21" s="314">
        <v>8414</v>
      </c>
    </row>
    <row r="22" spans="1:5" ht="12">
      <c r="A22" s="352" t="s">
        <v>579</v>
      </c>
      <c r="B22" s="312">
        <v>111102</v>
      </c>
      <c r="C22" s="312">
        <v>106293</v>
      </c>
      <c r="D22" s="313">
        <f t="shared" si="0"/>
        <v>95.67</v>
      </c>
      <c r="E22" s="314">
        <v>11492</v>
      </c>
    </row>
    <row r="23" spans="1:5" ht="12">
      <c r="A23" s="367" t="s">
        <v>580</v>
      </c>
      <c r="B23" s="312">
        <v>105573</v>
      </c>
      <c r="C23" s="312">
        <v>101643</v>
      </c>
      <c r="D23" s="313">
        <f t="shared" si="0"/>
        <v>96.28</v>
      </c>
      <c r="E23" s="314">
        <v>12527</v>
      </c>
    </row>
    <row r="24" spans="1:5" ht="12">
      <c r="A24" s="367" t="s">
        <v>581</v>
      </c>
      <c r="B24" s="312">
        <v>5529</v>
      </c>
      <c r="C24" s="312">
        <v>4650</v>
      </c>
      <c r="D24" s="313">
        <f t="shared" si="0"/>
        <v>84.1</v>
      </c>
      <c r="E24" s="314">
        <v>327</v>
      </c>
    </row>
    <row r="25" spans="1:5" ht="12">
      <c r="A25" s="366" t="s">
        <v>582</v>
      </c>
      <c r="B25" s="312">
        <v>2358</v>
      </c>
      <c r="C25" s="312">
        <v>1809</v>
      </c>
      <c r="D25" s="313">
        <f t="shared" si="0"/>
        <v>76.72</v>
      </c>
      <c r="E25" s="314">
        <v>-207</v>
      </c>
    </row>
    <row r="26" spans="1:5" ht="12">
      <c r="A26" s="366" t="s">
        <v>281</v>
      </c>
      <c r="B26" s="312">
        <v>61152</v>
      </c>
      <c r="C26" s="312">
        <v>59993</v>
      </c>
      <c r="D26" s="313">
        <f t="shared" si="0"/>
        <v>98.1</v>
      </c>
      <c r="E26" s="314">
        <v>6587</v>
      </c>
    </row>
    <row r="27" spans="1:5" ht="12">
      <c r="A27" s="352" t="s">
        <v>583</v>
      </c>
      <c r="B27" s="312">
        <v>618</v>
      </c>
      <c r="C27" s="312">
        <v>600</v>
      </c>
      <c r="D27" s="313">
        <f t="shared" si="0"/>
        <v>97.09</v>
      </c>
      <c r="E27" s="314">
        <v>19</v>
      </c>
    </row>
    <row r="28" spans="1:5" ht="12">
      <c r="A28" s="352" t="s">
        <v>584</v>
      </c>
      <c r="B28" s="312">
        <v>4368</v>
      </c>
      <c r="C28" s="312">
        <v>4354</v>
      </c>
      <c r="D28" s="313">
        <f t="shared" si="0"/>
        <v>99.68</v>
      </c>
      <c r="E28" s="314">
        <v>400</v>
      </c>
    </row>
    <row r="29" spans="1:5" ht="12">
      <c r="A29" s="352" t="s">
        <v>585</v>
      </c>
      <c r="B29" s="312">
        <v>24372</v>
      </c>
      <c r="C29" s="312">
        <v>24322</v>
      </c>
      <c r="D29" s="313">
        <f t="shared" si="0"/>
        <v>99.79</v>
      </c>
      <c r="E29" s="314">
        <v>2258</v>
      </c>
    </row>
    <row r="30" spans="1:5" ht="12">
      <c r="A30" s="352" t="s">
        <v>586</v>
      </c>
      <c r="B30" s="312">
        <v>15996</v>
      </c>
      <c r="C30" s="312">
        <v>15364</v>
      </c>
      <c r="D30" s="313">
        <f t="shared" si="0"/>
        <v>96</v>
      </c>
      <c r="E30" s="314">
        <v>1187</v>
      </c>
    </row>
    <row r="31" spans="1:5" ht="12">
      <c r="A31" s="352" t="s">
        <v>587</v>
      </c>
      <c r="B31" s="312">
        <v>15798</v>
      </c>
      <c r="C31" s="312">
        <v>15353</v>
      </c>
      <c r="D31" s="313">
        <f t="shared" si="0"/>
        <v>97</v>
      </c>
      <c r="E31" s="314">
        <v>2723</v>
      </c>
    </row>
    <row r="32" spans="1:5" s="330" customFormat="1" ht="11.25" customHeight="1">
      <c r="A32" s="368" t="s">
        <v>588</v>
      </c>
      <c r="B32" s="312">
        <f>B33+B36</f>
        <v>38313</v>
      </c>
      <c r="C32" s="312">
        <f>C33+C36</f>
        <v>62111</v>
      </c>
      <c r="D32" s="313">
        <f t="shared" si="0"/>
        <v>162</v>
      </c>
      <c r="E32" s="314">
        <f>E33+E36</f>
        <v>7839</v>
      </c>
    </row>
    <row r="33" spans="1:6" s="330" customFormat="1" ht="11.25" customHeight="1">
      <c r="A33" s="352" t="s">
        <v>295</v>
      </c>
      <c r="B33" s="312">
        <v>21846</v>
      </c>
      <c r="C33" s="312">
        <v>20840</v>
      </c>
      <c r="D33" s="313">
        <f t="shared" si="0"/>
        <v>95</v>
      </c>
      <c r="E33" s="314">
        <v>2698</v>
      </c>
      <c r="F33" s="369"/>
    </row>
    <row r="34" spans="1:5" ht="12" hidden="1">
      <c r="A34" s="352" t="s">
        <v>295</v>
      </c>
      <c r="B34" s="312">
        <v>21301</v>
      </c>
      <c r="C34" s="312">
        <v>20497</v>
      </c>
      <c r="D34" s="313">
        <f t="shared" si="0"/>
        <v>96</v>
      </c>
      <c r="E34" s="314">
        <v>2684</v>
      </c>
    </row>
    <row r="35" spans="1:5" ht="12" hidden="1">
      <c r="A35" s="352" t="s">
        <v>589</v>
      </c>
      <c r="B35" s="312">
        <v>545</v>
      </c>
      <c r="C35" s="312">
        <v>344</v>
      </c>
      <c r="D35" s="313">
        <f t="shared" si="0"/>
        <v>63</v>
      </c>
      <c r="E35" s="314">
        <v>15</v>
      </c>
    </row>
    <row r="36" spans="1:5" ht="12">
      <c r="A36" s="352" t="s">
        <v>296</v>
      </c>
      <c r="B36" s="312">
        <v>16467</v>
      </c>
      <c r="C36" s="312">
        <v>41271</v>
      </c>
      <c r="D36" s="313">
        <f t="shared" si="0"/>
        <v>251</v>
      </c>
      <c r="E36" s="314">
        <v>5141</v>
      </c>
    </row>
    <row r="37" spans="1:5" s="330" customFormat="1" ht="11.25" customHeight="1">
      <c r="A37" s="349" t="s">
        <v>590</v>
      </c>
      <c r="B37" s="312">
        <f>B38-B39</f>
        <v>-162</v>
      </c>
      <c r="C37" s="312">
        <f>C38-C39</f>
        <v>864</v>
      </c>
      <c r="D37" s="313">
        <f t="shared" si="0"/>
        <v>-533</v>
      </c>
      <c r="E37" s="314">
        <f>E38-E39</f>
        <v>-190</v>
      </c>
    </row>
    <row r="38" spans="1:5" ht="12.75" customHeight="1">
      <c r="A38" s="352" t="s">
        <v>591</v>
      </c>
      <c r="B38" s="312">
        <v>611</v>
      </c>
      <c r="C38" s="312">
        <v>1707</v>
      </c>
      <c r="D38" s="313">
        <f t="shared" si="0"/>
        <v>279</v>
      </c>
      <c r="E38" s="314">
        <v>-30</v>
      </c>
    </row>
    <row r="39" spans="1:5" ht="12.75" customHeight="1">
      <c r="A39" s="354" t="s">
        <v>592</v>
      </c>
      <c r="B39" s="325">
        <v>773</v>
      </c>
      <c r="C39" s="325">
        <v>843</v>
      </c>
      <c r="D39" s="326">
        <f t="shared" si="0"/>
        <v>109</v>
      </c>
      <c r="E39" s="327">
        <v>160</v>
      </c>
    </row>
    <row r="40" spans="1:5" ht="12.75" customHeight="1">
      <c r="A40" s="370" t="s">
        <v>300</v>
      </c>
      <c r="B40" s="371">
        <f>B11-B12-B37</f>
        <v>5208</v>
      </c>
      <c r="C40" s="371">
        <f>C11-C12-C37</f>
        <v>-11504</v>
      </c>
      <c r="D40" s="372">
        <f t="shared" si="0"/>
        <v>-220.89</v>
      </c>
      <c r="E40" s="373">
        <f>E11-E12-E37</f>
        <v>-9041</v>
      </c>
    </row>
    <row r="41" spans="1:5" s="336" customFormat="1" ht="12">
      <c r="A41" s="374"/>
      <c r="B41" s="357"/>
      <c r="C41" s="357"/>
      <c r="D41" s="357"/>
      <c r="E41" s="357"/>
    </row>
    <row r="42" spans="1:5" s="336" customFormat="1" ht="12">
      <c r="A42" s="333"/>
      <c r="B42" s="357"/>
      <c r="C42" s="357"/>
      <c r="D42" s="357"/>
      <c r="E42" s="357"/>
    </row>
    <row r="43" spans="1:6" ht="12">
      <c r="A43" s="357"/>
      <c r="B43" s="357"/>
      <c r="C43" s="357"/>
      <c r="D43" s="357"/>
      <c r="E43" s="357"/>
      <c r="F43" s="339"/>
    </row>
    <row r="44" spans="1:5" s="336" customFormat="1" ht="12">
      <c r="A44" s="334" t="s">
        <v>540</v>
      </c>
      <c r="B44" s="334"/>
      <c r="C44" s="335"/>
      <c r="D44" s="335"/>
      <c r="E44" s="361" t="s">
        <v>500</v>
      </c>
    </row>
    <row r="45" s="336" customFormat="1" ht="12"/>
    <row r="46" spans="1:4" s="336" customFormat="1" ht="12">
      <c r="A46" s="357"/>
      <c r="B46" s="362"/>
      <c r="C46" s="362"/>
      <c r="D46" s="362"/>
    </row>
    <row r="47" spans="1:2" s="336" customFormat="1" ht="12">
      <c r="A47" s="357"/>
      <c r="B47" s="362"/>
    </row>
    <row r="48" spans="1:4" ht="12">
      <c r="A48" s="363"/>
      <c r="B48" s="339"/>
      <c r="D48" s="362"/>
    </row>
    <row r="49" spans="4:6" ht="12">
      <c r="D49" s="339"/>
      <c r="E49" s="362"/>
      <c r="F49" s="339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&amp;L&amp;"Arial,Regular"&amp;8           Valsts kase / Pārskatu departaments
           15.01.00.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showZeros="0" workbookViewId="0" topLeftCell="A18">
      <selection activeCell="E30" sqref="E30"/>
    </sheetView>
  </sheetViews>
  <sheetFormatPr defaultColWidth="9.140625" defaultRowHeight="12.75"/>
  <cols>
    <col min="1" max="1" width="42.7109375" style="274" customWidth="1"/>
    <col min="2" max="5" width="12.28125" style="274" customWidth="1"/>
    <col min="6" max="16384" width="8.00390625" style="274" customWidth="1"/>
  </cols>
  <sheetData>
    <row r="1" spans="1:5" s="278" customFormat="1" ht="12.75">
      <c r="A1" s="272" t="s">
        <v>567</v>
      </c>
      <c r="B1" s="272"/>
      <c r="C1" s="272"/>
      <c r="D1" s="272"/>
      <c r="E1" s="272" t="s">
        <v>593</v>
      </c>
    </row>
    <row r="2" spans="1:5" s="278" customFormat="1" ht="12.75">
      <c r="A2" s="272"/>
      <c r="B2" s="272"/>
      <c r="C2" s="272"/>
      <c r="D2" s="272"/>
      <c r="E2" s="272"/>
    </row>
    <row r="4" spans="1:5" s="301" customFormat="1" ht="15.75">
      <c r="A4" s="298" t="s">
        <v>594</v>
      </c>
      <c r="B4" s="300"/>
      <c r="C4" s="300"/>
      <c r="D4" s="300"/>
      <c r="E4" s="300"/>
    </row>
    <row r="5" spans="1:5" ht="15.75">
      <c r="A5" s="298" t="s">
        <v>544</v>
      </c>
      <c r="B5" s="303"/>
      <c r="C5" s="303"/>
      <c r="D5" s="303"/>
      <c r="E5" s="303"/>
    </row>
    <row r="6" spans="1:5" ht="11.25">
      <c r="A6" s="363"/>
      <c r="B6" s="303"/>
      <c r="C6" s="303"/>
      <c r="D6" s="303"/>
      <c r="E6" s="303"/>
    </row>
    <row r="7" spans="1:5" ht="11.25">
      <c r="A7" s="363"/>
      <c r="B7" s="303"/>
      <c r="C7" s="303"/>
      <c r="D7" s="303"/>
      <c r="E7" s="303"/>
    </row>
    <row r="8" spans="4:5" s="278" customFormat="1" ht="11.25">
      <c r="D8" s="305" t="s">
        <v>595</v>
      </c>
      <c r="E8" s="305"/>
    </row>
    <row r="9" spans="1:5" s="275" customFormat="1" ht="30.75" customHeight="1">
      <c r="A9" s="344" t="s">
        <v>2</v>
      </c>
      <c r="B9" s="345" t="s">
        <v>456</v>
      </c>
      <c r="C9" s="345" t="s">
        <v>100</v>
      </c>
      <c r="D9" s="345" t="s">
        <v>508</v>
      </c>
      <c r="E9" s="346" t="s">
        <v>181</v>
      </c>
    </row>
    <row r="10" spans="1:5" s="336" customFormat="1" ht="11.25" customHeight="1">
      <c r="A10" s="375">
        <v>1</v>
      </c>
      <c r="B10" s="376">
        <v>2</v>
      </c>
      <c r="C10" s="376">
        <v>3</v>
      </c>
      <c r="D10" s="377">
        <v>4</v>
      </c>
      <c r="E10" s="378" t="s">
        <v>549</v>
      </c>
    </row>
    <row r="11" spans="1:5" s="336" customFormat="1" ht="12.75">
      <c r="A11" s="379" t="s">
        <v>596</v>
      </c>
      <c r="B11" s="312">
        <v>47115</v>
      </c>
      <c r="C11" s="312">
        <v>45695</v>
      </c>
      <c r="D11" s="283">
        <f aca="true" t="shared" si="0" ref="D11:D24">C11/B11*100</f>
        <v>96.99</v>
      </c>
      <c r="E11" s="314">
        <v>5675</v>
      </c>
    </row>
    <row r="12" spans="1:5" ht="25.5">
      <c r="A12" s="379" t="s">
        <v>597</v>
      </c>
      <c r="B12" s="312">
        <v>40585</v>
      </c>
      <c r="C12" s="312">
        <v>39486</v>
      </c>
      <c r="D12" s="283">
        <f t="shared" si="0"/>
        <v>97.29</v>
      </c>
      <c r="E12" s="314">
        <v>5063</v>
      </c>
    </row>
    <row r="13" spans="1:5" ht="12">
      <c r="A13" s="380" t="s">
        <v>598</v>
      </c>
      <c r="B13" s="312">
        <v>6420</v>
      </c>
      <c r="C13" s="312">
        <v>8768</v>
      </c>
      <c r="D13" s="283">
        <f t="shared" si="0"/>
        <v>136.57</v>
      </c>
      <c r="E13" s="314">
        <v>2361</v>
      </c>
    </row>
    <row r="14" spans="1:5" ht="12">
      <c r="A14" s="380" t="s">
        <v>599</v>
      </c>
      <c r="B14" s="312">
        <v>2635</v>
      </c>
      <c r="C14" s="312">
        <v>2412</v>
      </c>
      <c r="D14" s="283">
        <f t="shared" si="0"/>
        <v>91.54</v>
      </c>
      <c r="E14" s="314">
        <v>197</v>
      </c>
    </row>
    <row r="15" spans="1:5" ht="12">
      <c r="A15" s="380" t="s">
        <v>600</v>
      </c>
      <c r="B15" s="312">
        <v>15912</v>
      </c>
      <c r="C15" s="312">
        <v>12857</v>
      </c>
      <c r="D15" s="283">
        <f t="shared" si="0"/>
        <v>80.8</v>
      </c>
      <c r="E15" s="314">
        <v>779</v>
      </c>
    </row>
    <row r="16" spans="1:5" ht="12">
      <c r="A16" s="380" t="s">
        <v>601</v>
      </c>
      <c r="B16" s="312">
        <v>15618</v>
      </c>
      <c r="C16" s="312">
        <v>15449</v>
      </c>
      <c r="D16" s="283">
        <f t="shared" si="0"/>
        <v>98.92</v>
      </c>
      <c r="E16" s="314">
        <v>1726</v>
      </c>
    </row>
    <row r="17" spans="1:5" ht="25.5">
      <c r="A17" s="381" t="s">
        <v>602</v>
      </c>
      <c r="B17" s="312">
        <v>6530</v>
      </c>
      <c r="C17" s="312">
        <v>6209</v>
      </c>
      <c r="D17" s="283">
        <f t="shared" si="0"/>
        <v>95.08</v>
      </c>
      <c r="E17" s="314">
        <v>612</v>
      </c>
    </row>
    <row r="18" spans="1:7" s="336" customFormat="1" ht="12.75">
      <c r="A18" s="379" t="s">
        <v>603</v>
      </c>
      <c r="B18" s="312">
        <v>55860</v>
      </c>
      <c r="C18" s="312">
        <v>48575</v>
      </c>
      <c r="D18" s="283">
        <f t="shared" si="0"/>
        <v>86.96</v>
      </c>
      <c r="E18" s="314">
        <v>4451</v>
      </c>
      <c r="F18" s="274"/>
      <c r="G18" s="274"/>
    </row>
    <row r="19" spans="1:5" ht="25.5">
      <c r="A19" s="381" t="s">
        <v>604</v>
      </c>
      <c r="B19" s="312">
        <v>48758</v>
      </c>
      <c r="C19" s="312">
        <v>42391</v>
      </c>
      <c r="D19" s="283">
        <f t="shared" si="0"/>
        <v>86.94</v>
      </c>
      <c r="E19" s="314">
        <v>3809</v>
      </c>
    </row>
    <row r="20" spans="1:5" ht="12">
      <c r="A20" s="380" t="s">
        <v>598</v>
      </c>
      <c r="B20" s="312">
        <v>8705</v>
      </c>
      <c r="C20" s="312">
        <v>8017</v>
      </c>
      <c r="D20" s="283">
        <f t="shared" si="0"/>
        <v>92.1</v>
      </c>
      <c r="E20" s="314">
        <v>986</v>
      </c>
    </row>
    <row r="21" spans="1:5" ht="12">
      <c r="A21" s="380" t="s">
        <v>599</v>
      </c>
      <c r="B21" s="312">
        <v>3106</v>
      </c>
      <c r="C21" s="312">
        <v>2503</v>
      </c>
      <c r="D21" s="283">
        <f t="shared" si="0"/>
        <v>80.59</v>
      </c>
      <c r="E21" s="314">
        <v>314</v>
      </c>
    </row>
    <row r="22" spans="1:5" ht="12">
      <c r="A22" s="380" t="s">
        <v>600</v>
      </c>
      <c r="B22" s="312">
        <v>19985</v>
      </c>
      <c r="C22" s="312">
        <v>15757</v>
      </c>
      <c r="D22" s="283">
        <f t="shared" si="0"/>
        <v>78.84</v>
      </c>
      <c r="E22" s="314">
        <v>1185</v>
      </c>
    </row>
    <row r="23" spans="1:5" ht="12">
      <c r="A23" s="380" t="s">
        <v>601</v>
      </c>
      <c r="B23" s="312">
        <v>16962</v>
      </c>
      <c r="C23" s="312">
        <v>16114</v>
      </c>
      <c r="D23" s="283">
        <f t="shared" si="0"/>
        <v>95</v>
      </c>
      <c r="E23" s="314">
        <v>1324</v>
      </c>
    </row>
    <row r="24" spans="1:5" ht="25.5">
      <c r="A24" s="382" t="s">
        <v>605</v>
      </c>
      <c r="B24" s="325">
        <v>7102</v>
      </c>
      <c r="C24" s="325">
        <v>6184</v>
      </c>
      <c r="D24" s="383">
        <f t="shared" si="0"/>
        <v>87.07</v>
      </c>
      <c r="E24" s="327">
        <v>642</v>
      </c>
    </row>
    <row r="25" spans="1:5" ht="12.75">
      <c r="A25" s="384"/>
      <c r="B25" s="356"/>
      <c r="C25" s="356"/>
      <c r="D25" s="385"/>
      <c r="E25" s="356"/>
    </row>
    <row r="26" ht="11.25">
      <c r="A26" s="278" t="s">
        <v>606</v>
      </c>
    </row>
    <row r="27" spans="1:5" s="280" customFormat="1" ht="11.25">
      <c r="A27" s="363"/>
      <c r="B27" s="274"/>
      <c r="C27" s="274"/>
      <c r="D27" s="274"/>
      <c r="E27" s="274"/>
    </row>
    <row r="28" spans="1:5" s="336" customFormat="1" ht="12">
      <c r="A28" s="363"/>
      <c r="B28" s="274"/>
      <c r="C28" s="274"/>
      <c r="D28" s="274"/>
      <c r="E28" s="274"/>
    </row>
    <row r="29" spans="1:5" s="336" customFormat="1" ht="12">
      <c r="A29" s="363"/>
      <c r="B29" s="280"/>
      <c r="C29" s="362"/>
      <c r="D29" s="280"/>
      <c r="E29" s="280"/>
    </row>
    <row r="30" spans="1:5" ht="12">
      <c r="A30" s="334"/>
      <c r="E30" s="361"/>
    </row>
    <row r="31" spans="1:5" ht="12">
      <c r="A31" s="334" t="s">
        <v>540</v>
      </c>
      <c r="B31" s="334"/>
      <c r="C31" s="335"/>
      <c r="D31" s="335"/>
      <c r="E31" s="361" t="s">
        <v>500</v>
      </c>
    </row>
    <row r="32" spans="1:5" ht="12">
      <c r="A32" s="334"/>
      <c r="B32" s="334"/>
      <c r="E32" s="361"/>
    </row>
    <row r="33" ht="11.25">
      <c r="A33" s="304"/>
    </row>
    <row r="34" ht="11.25">
      <c r="A34" s="304"/>
    </row>
    <row r="35" s="275" customFormat="1" ht="12" customHeight="1">
      <c r="A35" s="332"/>
    </row>
    <row r="36" s="275" customFormat="1" ht="12" customHeight="1">
      <c r="A36" s="332"/>
    </row>
    <row r="37" ht="12.75">
      <c r="A37" s="332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        Valsts kase / Pārskatu departaments
         15.01.00.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E30" sqref="E30"/>
    </sheetView>
  </sheetViews>
  <sheetFormatPr defaultColWidth="9.140625" defaultRowHeight="12.75"/>
  <cols>
    <col min="1" max="1" width="39.7109375" style="274" customWidth="1"/>
    <col min="2" max="5" width="12.7109375" style="274" customWidth="1"/>
    <col min="6" max="16384" width="8.00390625" style="274" customWidth="1"/>
  </cols>
  <sheetData>
    <row r="1" spans="1:5" s="278" customFormat="1" ht="12.75">
      <c r="A1" s="272" t="s">
        <v>607</v>
      </c>
      <c r="B1" s="272"/>
      <c r="C1" s="272"/>
      <c r="D1" s="272"/>
      <c r="E1" s="272" t="s">
        <v>608</v>
      </c>
    </row>
    <row r="2" spans="1:5" s="278" customFormat="1" ht="12.75">
      <c r="A2" s="272"/>
      <c r="B2" s="272"/>
      <c r="C2" s="272"/>
      <c r="D2" s="272"/>
      <c r="E2" s="273"/>
    </row>
    <row r="3" spans="4:5" ht="11.25">
      <c r="D3" s="303"/>
      <c r="E3" s="303"/>
    </row>
    <row r="4" spans="1:5" s="301" customFormat="1" ht="15.75">
      <c r="A4" s="298" t="s">
        <v>609</v>
      </c>
      <c r="B4" s="303"/>
      <c r="C4" s="303"/>
      <c r="D4" s="303"/>
      <c r="E4" s="303"/>
    </row>
    <row r="5" spans="1:5" ht="15.75">
      <c r="A5" s="298" t="s">
        <v>544</v>
      </c>
      <c r="B5" s="303"/>
      <c r="C5" s="303"/>
      <c r="D5" s="303"/>
      <c r="E5" s="303"/>
    </row>
    <row r="6" spans="1:5" ht="11.25">
      <c r="A6" s="363"/>
      <c r="B6" s="303"/>
      <c r="C6" s="303"/>
      <c r="D6" s="303"/>
      <c r="E6" s="303"/>
    </row>
    <row r="7" spans="1:5" ht="11.25">
      <c r="A7" s="363"/>
      <c r="B7" s="303"/>
      <c r="C7" s="303"/>
      <c r="D7" s="303"/>
      <c r="E7" s="303"/>
    </row>
    <row r="8" spans="2:81" s="278" customFormat="1" ht="15">
      <c r="B8" s="305"/>
      <c r="C8" s="305"/>
      <c r="D8" s="386" t="s">
        <v>610</v>
      </c>
      <c r="E8" s="387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</row>
    <row r="9" spans="1:254" s="275" customFormat="1" ht="33.75" customHeight="1">
      <c r="A9" s="344" t="s">
        <v>2</v>
      </c>
      <c r="B9" s="345" t="s">
        <v>456</v>
      </c>
      <c r="C9" s="345" t="s">
        <v>100</v>
      </c>
      <c r="D9" s="345" t="s">
        <v>508</v>
      </c>
      <c r="E9" s="346" t="s">
        <v>181</v>
      </c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345"/>
      <c r="CE9" s="346"/>
      <c r="CF9" s="344"/>
      <c r="CG9" s="345"/>
      <c r="CH9" s="345"/>
      <c r="CI9" s="345"/>
      <c r="CJ9" s="346"/>
      <c r="CK9" s="344"/>
      <c r="CL9" s="345"/>
      <c r="CM9" s="345"/>
      <c r="CN9" s="345"/>
      <c r="CO9" s="346"/>
      <c r="CP9" s="344"/>
      <c r="CQ9" s="345"/>
      <c r="CR9" s="345"/>
      <c r="CS9" s="345"/>
      <c r="CT9" s="346"/>
      <c r="CU9" s="344"/>
      <c r="CV9" s="345"/>
      <c r="CW9" s="345"/>
      <c r="CX9" s="345"/>
      <c r="CY9" s="346"/>
      <c r="CZ9" s="344"/>
      <c r="DA9" s="345"/>
      <c r="DB9" s="345"/>
      <c r="DC9" s="345"/>
      <c r="DD9" s="346"/>
      <c r="DE9" s="344"/>
      <c r="DF9" s="345"/>
      <c r="DG9" s="345"/>
      <c r="DH9" s="345"/>
      <c r="DI9" s="346"/>
      <c r="DJ9" s="344"/>
      <c r="DK9" s="345"/>
      <c r="DL9" s="345"/>
      <c r="DM9" s="345"/>
      <c r="DN9" s="346"/>
      <c r="DO9" s="344"/>
      <c r="DP9" s="345"/>
      <c r="DQ9" s="345"/>
      <c r="DR9" s="345"/>
      <c r="DS9" s="346"/>
      <c r="DT9" s="344"/>
      <c r="DU9" s="345"/>
      <c r="DV9" s="345"/>
      <c r="DW9" s="345"/>
      <c r="DX9" s="346"/>
      <c r="DY9" s="344"/>
      <c r="DZ9" s="345"/>
      <c r="EA9" s="345"/>
      <c r="EB9" s="345"/>
      <c r="EC9" s="346"/>
      <c r="ED9" s="344"/>
      <c r="EE9" s="345"/>
      <c r="EF9" s="345"/>
      <c r="EG9" s="345"/>
      <c r="EH9" s="346"/>
      <c r="EI9" s="344"/>
      <c r="EJ9" s="345"/>
      <c r="EK9" s="345"/>
      <c r="EL9" s="345"/>
      <c r="EM9" s="346"/>
      <c r="EN9" s="344"/>
      <c r="EO9" s="345"/>
      <c r="EP9" s="345"/>
      <c r="EQ9" s="345"/>
      <c r="ER9" s="346"/>
      <c r="ES9" s="344"/>
      <c r="ET9" s="345"/>
      <c r="EU9" s="345"/>
      <c r="EV9" s="345"/>
      <c r="EW9" s="346"/>
      <c r="EX9" s="344"/>
      <c r="EY9" s="345"/>
      <c r="EZ9" s="345"/>
      <c r="FA9" s="345"/>
      <c r="FB9" s="346"/>
      <c r="FC9" s="344"/>
      <c r="FD9" s="345"/>
      <c r="FE9" s="345"/>
      <c r="FF9" s="345"/>
      <c r="FG9" s="346"/>
      <c r="FH9" s="344"/>
      <c r="FI9" s="345"/>
      <c r="FJ9" s="345"/>
      <c r="FK9" s="345"/>
      <c r="FL9" s="346"/>
      <c r="FM9" s="344"/>
      <c r="FN9" s="345"/>
      <c r="FO9" s="345"/>
      <c r="FP9" s="345"/>
      <c r="FQ9" s="346"/>
      <c r="FR9" s="344"/>
      <c r="FS9" s="345"/>
      <c r="FT9" s="345"/>
      <c r="FU9" s="345"/>
      <c r="FV9" s="346"/>
      <c r="FW9" s="344"/>
      <c r="FX9" s="345"/>
      <c r="FY9" s="345"/>
      <c r="FZ9" s="345"/>
      <c r="GA9" s="346"/>
      <c r="GB9" s="344"/>
      <c r="GC9" s="345"/>
      <c r="GD9" s="345"/>
      <c r="GE9" s="345"/>
      <c r="GF9" s="346"/>
      <c r="GG9" s="344"/>
      <c r="GH9" s="345"/>
      <c r="GI9" s="345"/>
      <c r="GJ9" s="345"/>
      <c r="GK9" s="346"/>
      <c r="GL9" s="344"/>
      <c r="GM9" s="345"/>
      <c r="GN9" s="345"/>
      <c r="GO9" s="345"/>
      <c r="GP9" s="346"/>
      <c r="GQ9" s="344"/>
      <c r="GR9" s="345"/>
      <c r="GS9" s="345"/>
      <c r="GT9" s="345"/>
      <c r="GU9" s="346"/>
      <c r="GV9" s="344"/>
      <c r="GW9" s="345"/>
      <c r="GX9" s="345"/>
      <c r="GY9" s="345"/>
      <c r="GZ9" s="346"/>
      <c r="HA9" s="344"/>
      <c r="HB9" s="345"/>
      <c r="HC9" s="345"/>
      <c r="HD9" s="345"/>
      <c r="HE9" s="346"/>
      <c r="HF9" s="344"/>
      <c r="HG9" s="345"/>
      <c r="HH9" s="345"/>
      <c r="HI9" s="345"/>
      <c r="HJ9" s="346"/>
      <c r="HK9" s="344"/>
      <c r="HL9" s="345"/>
      <c r="HM9" s="345"/>
      <c r="HN9" s="345"/>
      <c r="HO9" s="346"/>
      <c r="HP9" s="344"/>
      <c r="HQ9" s="345"/>
      <c r="HR9" s="345"/>
      <c r="HS9" s="345"/>
      <c r="HT9" s="346"/>
      <c r="HU9" s="344"/>
      <c r="HV9" s="345"/>
      <c r="HW9" s="345"/>
      <c r="HX9" s="345"/>
      <c r="HY9" s="346"/>
      <c r="HZ9" s="344"/>
      <c r="IA9" s="345"/>
      <c r="IB9" s="345"/>
      <c r="IC9" s="345"/>
      <c r="ID9" s="346"/>
      <c r="IE9" s="344"/>
      <c r="IF9" s="345"/>
      <c r="IG9" s="345"/>
      <c r="IH9" s="345"/>
      <c r="II9" s="346"/>
      <c r="IJ9" s="344"/>
      <c r="IK9" s="345"/>
      <c r="IL9" s="345"/>
      <c r="IM9" s="345"/>
      <c r="IN9" s="346"/>
      <c r="IO9" s="344"/>
      <c r="IP9" s="345"/>
      <c r="IQ9" s="345"/>
      <c r="IR9" s="345"/>
      <c r="IS9" s="346"/>
      <c r="IT9" s="344"/>
    </row>
    <row r="10" spans="1:5" ht="11.25">
      <c r="A10" s="375">
        <v>1</v>
      </c>
      <c r="B10" s="376">
        <v>2</v>
      </c>
      <c r="C10" s="376">
        <v>3</v>
      </c>
      <c r="D10" s="377">
        <v>4</v>
      </c>
      <c r="E10" s="378">
        <v>5</v>
      </c>
    </row>
    <row r="11" spans="1:5" s="275" customFormat="1" ht="12.75" customHeight="1">
      <c r="A11" s="348" t="s">
        <v>264</v>
      </c>
      <c r="B11" s="312">
        <v>47115</v>
      </c>
      <c r="C11" s="312">
        <v>45695</v>
      </c>
      <c r="D11" s="283">
        <f aca="true" t="shared" si="0" ref="D11:D40">C11/B11*100</f>
        <v>96.99</v>
      </c>
      <c r="E11" s="314">
        <v>5675</v>
      </c>
    </row>
    <row r="12" spans="1:5" s="275" customFormat="1" ht="12.75">
      <c r="A12" s="348" t="s">
        <v>571</v>
      </c>
      <c r="B12" s="312">
        <f>B13+B32</f>
        <v>54307</v>
      </c>
      <c r="C12" s="312">
        <f>C13+C32</f>
        <v>47045</v>
      </c>
      <c r="D12" s="283">
        <f t="shared" si="0"/>
        <v>86.63</v>
      </c>
      <c r="E12" s="314">
        <f>E13+E32</f>
        <v>5072</v>
      </c>
    </row>
    <row r="13" spans="1:5" s="330" customFormat="1" ht="11.25" customHeight="1">
      <c r="A13" s="349" t="s">
        <v>269</v>
      </c>
      <c r="B13" s="312">
        <v>40118</v>
      </c>
      <c r="C13" s="312">
        <v>34417</v>
      </c>
      <c r="D13" s="283">
        <f t="shared" si="0"/>
        <v>85.79</v>
      </c>
      <c r="E13" s="314">
        <v>3715</v>
      </c>
    </row>
    <row r="14" spans="1:5" s="330" customFormat="1" ht="11.25" customHeight="1">
      <c r="A14" s="366" t="s">
        <v>270</v>
      </c>
      <c r="B14" s="312">
        <v>30349</v>
      </c>
      <c r="C14" s="312">
        <v>25225</v>
      </c>
      <c r="D14" s="283">
        <f t="shared" si="0"/>
        <v>83.12</v>
      </c>
      <c r="E14" s="314">
        <v>2938</v>
      </c>
    </row>
    <row r="15" spans="1:5" s="330" customFormat="1" ht="11.25" customHeight="1" hidden="1">
      <c r="A15" s="352" t="s">
        <v>572</v>
      </c>
      <c r="B15" s="312">
        <v>394</v>
      </c>
      <c r="C15" s="312">
        <v>4</v>
      </c>
      <c r="D15" s="283">
        <f t="shared" si="0"/>
        <v>1.02</v>
      </c>
      <c r="E15" s="314">
        <v>-25</v>
      </c>
    </row>
    <row r="16" spans="1:5" ht="12">
      <c r="A16" s="352" t="s">
        <v>573</v>
      </c>
      <c r="B16" s="312">
        <v>2951</v>
      </c>
      <c r="C16" s="312">
        <v>2708</v>
      </c>
      <c r="D16" s="283">
        <f t="shared" si="0"/>
        <v>91.77</v>
      </c>
      <c r="E16" s="314">
        <v>408</v>
      </c>
    </row>
    <row r="17" spans="1:5" ht="12">
      <c r="A17" s="352" t="s">
        <v>574</v>
      </c>
      <c r="B17" s="312">
        <v>811</v>
      </c>
      <c r="C17" s="312">
        <v>687</v>
      </c>
      <c r="D17" s="283">
        <f t="shared" si="0"/>
        <v>84.71</v>
      </c>
      <c r="E17" s="314">
        <v>100</v>
      </c>
    </row>
    <row r="18" spans="1:5" ht="12" hidden="1">
      <c r="A18" s="352" t="s">
        <v>575</v>
      </c>
      <c r="B18" s="312">
        <v>276</v>
      </c>
      <c r="C18" s="312">
        <v>219</v>
      </c>
      <c r="D18" s="283">
        <f t="shared" si="0"/>
        <v>79.35</v>
      </c>
      <c r="E18" s="314">
        <v>34</v>
      </c>
    </row>
    <row r="19" spans="1:5" ht="12" hidden="1">
      <c r="A19" s="352" t="s">
        <v>576</v>
      </c>
      <c r="B19" s="312">
        <v>22507</v>
      </c>
      <c r="C19" s="312">
        <v>18987</v>
      </c>
      <c r="D19" s="283">
        <f t="shared" si="0"/>
        <v>84.36</v>
      </c>
      <c r="E19" s="314">
        <v>1957</v>
      </c>
    </row>
    <row r="20" spans="1:5" ht="12" hidden="1">
      <c r="A20" s="352" t="s">
        <v>577</v>
      </c>
      <c r="B20" s="312">
        <v>3332</v>
      </c>
      <c r="C20" s="312">
        <v>2536</v>
      </c>
      <c r="D20" s="283">
        <f t="shared" si="0"/>
        <v>76.11</v>
      </c>
      <c r="E20" s="314">
        <v>442</v>
      </c>
    </row>
    <row r="21" spans="1:5" ht="12" hidden="1">
      <c r="A21" s="352" t="s">
        <v>578</v>
      </c>
      <c r="B21" s="312">
        <v>78</v>
      </c>
      <c r="C21" s="312">
        <v>84</v>
      </c>
      <c r="D21" s="283">
        <f t="shared" si="0"/>
        <v>107.69</v>
      </c>
      <c r="E21" s="314">
        <v>21</v>
      </c>
    </row>
    <row r="22" spans="1:5" ht="12">
      <c r="A22" s="352" t="s">
        <v>579</v>
      </c>
      <c r="B22" s="312">
        <f>SUM(B15,B18,B19,B20,B21)</f>
        <v>26587</v>
      </c>
      <c r="C22" s="312">
        <v>21830</v>
      </c>
      <c r="D22" s="283">
        <f t="shared" si="0"/>
        <v>82.11</v>
      </c>
      <c r="E22" s="314">
        <v>2430</v>
      </c>
    </row>
    <row r="23" spans="1:5" ht="12">
      <c r="A23" s="367" t="s">
        <v>580</v>
      </c>
      <c r="B23" s="312">
        <f>SUM(B19,B20)</f>
        <v>25839</v>
      </c>
      <c r="C23" s="312">
        <v>21523</v>
      </c>
      <c r="D23" s="283">
        <f t="shared" si="0"/>
        <v>83.3</v>
      </c>
      <c r="E23" s="314">
        <v>2398</v>
      </c>
    </row>
    <row r="24" spans="1:5" ht="12">
      <c r="A24" s="367" t="s">
        <v>611</v>
      </c>
      <c r="B24" s="312">
        <f>SUM(B15,B18,B21)</f>
        <v>748</v>
      </c>
      <c r="C24" s="312">
        <v>307</v>
      </c>
      <c r="D24" s="283">
        <f t="shared" si="0"/>
        <v>41.04</v>
      </c>
      <c r="E24" s="314">
        <v>32</v>
      </c>
    </row>
    <row r="25" spans="1:5" ht="12">
      <c r="A25" s="366" t="s">
        <v>582</v>
      </c>
      <c r="B25" s="312">
        <v>36</v>
      </c>
      <c r="C25" s="312">
        <v>35</v>
      </c>
      <c r="D25" s="283">
        <f t="shared" si="0"/>
        <v>97.22</v>
      </c>
      <c r="E25" s="314">
        <v>4</v>
      </c>
    </row>
    <row r="26" spans="1:5" ht="12">
      <c r="A26" s="366" t="s">
        <v>281</v>
      </c>
      <c r="B26" s="312">
        <v>9733</v>
      </c>
      <c r="C26" s="312">
        <v>9157</v>
      </c>
      <c r="D26" s="283">
        <f t="shared" si="0"/>
        <v>94.08</v>
      </c>
      <c r="E26" s="314">
        <v>773</v>
      </c>
    </row>
    <row r="27" spans="1:5" ht="12">
      <c r="A27" s="352" t="s">
        <v>583</v>
      </c>
      <c r="B27" s="312">
        <v>142</v>
      </c>
      <c r="C27" s="312">
        <v>130</v>
      </c>
      <c r="D27" s="283">
        <f t="shared" si="0"/>
        <v>91.55</v>
      </c>
      <c r="E27" s="314">
        <v>0</v>
      </c>
    </row>
    <row r="28" spans="1:5" ht="12">
      <c r="A28" s="352" t="s">
        <v>584</v>
      </c>
      <c r="B28" s="312">
        <v>103</v>
      </c>
      <c r="C28" s="312">
        <v>94</v>
      </c>
      <c r="D28" s="283">
        <f t="shared" si="0"/>
        <v>91.26</v>
      </c>
      <c r="E28" s="314">
        <v>18</v>
      </c>
    </row>
    <row r="29" spans="1:5" ht="12">
      <c r="A29" s="352" t="s">
        <v>585</v>
      </c>
      <c r="B29" s="312">
        <v>498</v>
      </c>
      <c r="C29" s="312">
        <v>489</v>
      </c>
      <c r="D29" s="283">
        <f t="shared" si="0"/>
        <v>98.19</v>
      </c>
      <c r="E29" s="314">
        <v>-332</v>
      </c>
    </row>
    <row r="30" spans="1:5" ht="12">
      <c r="A30" s="352" t="s">
        <v>586</v>
      </c>
      <c r="B30" s="312">
        <v>6469</v>
      </c>
      <c r="C30" s="312">
        <v>5935</v>
      </c>
      <c r="D30" s="283">
        <f t="shared" si="0"/>
        <v>91.75</v>
      </c>
      <c r="E30" s="314">
        <v>751</v>
      </c>
    </row>
    <row r="31" spans="1:5" ht="12">
      <c r="A31" s="352" t="s">
        <v>587</v>
      </c>
      <c r="B31" s="312">
        <v>2521</v>
      </c>
      <c r="C31" s="312">
        <v>2509</v>
      </c>
      <c r="D31" s="283">
        <f t="shared" si="0"/>
        <v>99.52</v>
      </c>
      <c r="E31" s="314">
        <v>336</v>
      </c>
    </row>
    <row r="32" spans="1:7" s="330" customFormat="1" ht="11.25" customHeight="1">
      <c r="A32" s="349" t="s">
        <v>588</v>
      </c>
      <c r="B32" s="312">
        <f>B33+B36</f>
        <v>14189</v>
      </c>
      <c r="C32" s="312">
        <f>C33+C36</f>
        <v>12628</v>
      </c>
      <c r="D32" s="283">
        <f t="shared" si="0"/>
        <v>89</v>
      </c>
      <c r="E32" s="314">
        <f>E33+E36</f>
        <v>1357</v>
      </c>
      <c r="G32" s="274"/>
    </row>
    <row r="33" spans="1:7" s="330" customFormat="1" ht="11.25" customHeight="1">
      <c r="A33" s="352" t="s">
        <v>295</v>
      </c>
      <c r="B33" s="312">
        <v>12222</v>
      </c>
      <c r="C33" s="312">
        <v>10735</v>
      </c>
      <c r="D33" s="283">
        <f t="shared" si="0"/>
        <v>87.83</v>
      </c>
      <c r="E33" s="314">
        <v>1166</v>
      </c>
      <c r="F33" s="274"/>
      <c r="G33" s="274"/>
    </row>
    <row r="34" spans="1:5" ht="12" hidden="1">
      <c r="A34" s="352" t="s">
        <v>295</v>
      </c>
      <c r="B34" s="312">
        <v>1093</v>
      </c>
      <c r="C34" s="312">
        <v>1143</v>
      </c>
      <c r="D34" s="283">
        <f t="shared" si="0"/>
        <v>104.57</v>
      </c>
      <c r="E34" s="314">
        <v>57</v>
      </c>
    </row>
    <row r="35" spans="1:5" ht="12" hidden="1">
      <c r="A35" s="352" t="s">
        <v>589</v>
      </c>
      <c r="B35" s="312">
        <v>392157</v>
      </c>
      <c r="C35" s="312">
        <v>408655</v>
      </c>
      <c r="D35" s="283">
        <f t="shared" si="0"/>
        <v>104.21</v>
      </c>
      <c r="E35" s="314">
        <v>46707</v>
      </c>
    </row>
    <row r="36" spans="1:5" ht="12">
      <c r="A36" s="352" t="s">
        <v>296</v>
      </c>
      <c r="B36" s="312">
        <v>1967</v>
      </c>
      <c r="C36" s="312">
        <v>1893</v>
      </c>
      <c r="D36" s="283">
        <f t="shared" si="0"/>
        <v>96.24</v>
      </c>
      <c r="E36" s="314">
        <v>191</v>
      </c>
    </row>
    <row r="37" spans="1:7" s="330" customFormat="1" ht="11.25" customHeight="1">
      <c r="A37" s="349" t="s">
        <v>590</v>
      </c>
      <c r="B37" s="312">
        <f>B38-B39</f>
        <v>1553</v>
      </c>
      <c r="C37" s="312">
        <f>C38-C39</f>
        <v>1530</v>
      </c>
      <c r="D37" s="283">
        <f t="shared" si="0"/>
        <v>98.52</v>
      </c>
      <c r="E37" s="314">
        <f>E38-E39</f>
        <v>-621</v>
      </c>
      <c r="G37" s="274"/>
    </row>
    <row r="38" spans="1:5" ht="12.75" customHeight="1">
      <c r="A38" s="352" t="s">
        <v>591</v>
      </c>
      <c r="B38" s="312">
        <v>3842</v>
      </c>
      <c r="C38" s="312">
        <v>3843</v>
      </c>
      <c r="D38" s="283">
        <f t="shared" si="0"/>
        <v>100.03</v>
      </c>
      <c r="E38" s="314">
        <v>-1649</v>
      </c>
    </row>
    <row r="39" spans="1:5" ht="12.75" customHeight="1">
      <c r="A39" s="354" t="s">
        <v>592</v>
      </c>
      <c r="B39" s="325">
        <v>2289</v>
      </c>
      <c r="C39" s="325">
        <v>2313</v>
      </c>
      <c r="D39" s="383">
        <f t="shared" si="0"/>
        <v>101.05</v>
      </c>
      <c r="E39" s="327">
        <v>-1028</v>
      </c>
    </row>
    <row r="40" spans="1:5" ht="12.75" customHeight="1">
      <c r="A40" s="388" t="s">
        <v>300</v>
      </c>
      <c r="B40" s="389">
        <f>B11-B12-B37</f>
        <v>-8745</v>
      </c>
      <c r="C40" s="389">
        <f>C11-C12-C37</f>
        <v>-2880</v>
      </c>
      <c r="D40" s="390">
        <f t="shared" si="0"/>
        <v>32.93</v>
      </c>
      <c r="E40" s="391">
        <f>E11-E12-E37</f>
        <v>1224</v>
      </c>
    </row>
    <row r="41" spans="1:4" ht="12">
      <c r="A41" s="337"/>
      <c r="B41" s="356"/>
      <c r="C41" s="356"/>
      <c r="D41" s="392"/>
    </row>
    <row r="42" ht="11.25">
      <c r="A42" s="363"/>
    </row>
    <row r="43" spans="1:7" s="336" customFormat="1" ht="12">
      <c r="A43" s="363"/>
      <c r="B43" s="274"/>
      <c r="C43" s="274"/>
      <c r="D43" s="274"/>
      <c r="E43" s="274"/>
      <c r="F43" s="274"/>
      <c r="G43" s="274"/>
    </row>
    <row r="44" spans="1:7" s="336" customFormat="1" ht="12">
      <c r="A44" s="337"/>
      <c r="B44" s="274"/>
      <c r="C44" s="274"/>
      <c r="D44" s="274"/>
      <c r="E44" s="274"/>
      <c r="F44" s="274"/>
      <c r="G44" s="274"/>
    </row>
    <row r="45" spans="1:254" s="275" customFormat="1" ht="12.75">
      <c r="A45" s="334" t="s">
        <v>540</v>
      </c>
      <c r="B45" s="334"/>
      <c r="C45" s="335"/>
      <c r="D45" s="393"/>
      <c r="E45" s="361" t="s">
        <v>500</v>
      </c>
      <c r="F45" s="274"/>
      <c r="G45" s="274"/>
      <c r="H45" s="362"/>
      <c r="I45" s="394"/>
      <c r="J45" s="394"/>
      <c r="K45" s="395"/>
      <c r="L45" s="274"/>
      <c r="M45" s="334"/>
      <c r="N45" s="334"/>
      <c r="O45" s="336"/>
      <c r="P45" s="336"/>
      <c r="Q45" s="336"/>
      <c r="R45" s="336"/>
      <c r="S45" s="274"/>
      <c r="T45" s="334"/>
      <c r="U45" s="334"/>
      <c r="V45" s="362"/>
      <c r="W45" s="360"/>
      <c r="X45" s="360"/>
      <c r="Y45" s="395"/>
      <c r="Z45" s="274"/>
      <c r="AA45" s="334"/>
      <c r="AB45" s="334"/>
      <c r="AC45" s="362"/>
      <c r="AD45" s="360"/>
      <c r="AE45" s="360"/>
      <c r="AF45" s="395"/>
      <c r="AG45" s="274"/>
      <c r="AH45" s="334"/>
      <c r="AI45" s="334"/>
      <c r="AJ45" s="362"/>
      <c r="AK45" s="360"/>
      <c r="AL45" s="360"/>
      <c r="AM45" s="395"/>
      <c r="AN45" s="274"/>
      <c r="AO45" s="334"/>
      <c r="AP45" s="334"/>
      <c r="AQ45" s="362"/>
      <c r="AR45" s="360"/>
      <c r="AS45" s="360"/>
      <c r="AT45" s="395"/>
      <c r="AU45" s="274"/>
      <c r="AV45" s="334"/>
      <c r="AW45" s="334"/>
      <c r="AX45" s="362"/>
      <c r="AY45" s="360"/>
      <c r="AZ45" s="360"/>
      <c r="BA45" s="395"/>
      <c r="BB45" s="274"/>
      <c r="BC45" s="334"/>
      <c r="BD45" s="334"/>
      <c r="BE45" s="362"/>
      <c r="BF45" s="360"/>
      <c r="BG45" s="360"/>
      <c r="BH45" s="395"/>
      <c r="BI45" s="274"/>
      <c r="BJ45" s="334"/>
      <c r="BK45" s="334"/>
      <c r="BL45" s="362"/>
      <c r="BM45" s="360"/>
      <c r="BN45" s="360"/>
      <c r="BO45" s="395"/>
      <c r="BP45" s="274"/>
      <c r="BQ45" s="334"/>
      <c r="BR45" s="334"/>
      <c r="BS45" s="362"/>
      <c r="BT45" s="360"/>
      <c r="BU45" s="360"/>
      <c r="BV45" s="395"/>
      <c r="BW45" s="274"/>
      <c r="BX45" s="334"/>
      <c r="BY45" s="334"/>
      <c r="BZ45" s="362"/>
      <c r="CA45" s="360"/>
      <c r="CB45" s="360"/>
      <c r="CC45" s="395"/>
      <c r="CD45" s="274"/>
      <c r="CE45" s="334"/>
      <c r="CF45" s="334"/>
      <c r="CG45" s="362"/>
      <c r="CH45" s="360"/>
      <c r="CI45" s="360"/>
      <c r="CJ45" s="395"/>
      <c r="CK45" s="274"/>
      <c r="CL45" s="334"/>
      <c r="CM45" s="334"/>
      <c r="CN45" s="362"/>
      <c r="CO45" s="360"/>
      <c r="CP45" s="360"/>
      <c r="CQ45" s="395"/>
      <c r="CR45" s="274"/>
      <c r="CS45" s="334"/>
      <c r="CT45" s="334"/>
      <c r="CU45" s="362"/>
      <c r="CV45" s="360"/>
      <c r="CW45" s="360"/>
      <c r="CX45" s="395"/>
      <c r="CY45" s="274"/>
      <c r="CZ45" s="334"/>
      <c r="DA45" s="334"/>
      <c r="DB45" s="362"/>
      <c r="DC45" s="360"/>
      <c r="DD45" s="360"/>
      <c r="DE45" s="395"/>
      <c r="DF45" s="274"/>
      <c r="DG45" s="334"/>
      <c r="DH45" s="334"/>
      <c r="DI45" s="362"/>
      <c r="DJ45" s="360"/>
      <c r="DK45" s="360"/>
      <c r="DL45" s="395"/>
      <c r="DM45" s="274"/>
      <c r="DN45" s="334"/>
      <c r="DO45" s="334"/>
      <c r="DP45" s="362"/>
      <c r="DQ45" s="360"/>
      <c r="DR45" s="360"/>
      <c r="DS45" s="395"/>
      <c r="DT45" s="274"/>
      <c r="DU45" s="334"/>
      <c r="DV45" s="334"/>
      <c r="DW45" s="362"/>
      <c r="DX45" s="360"/>
      <c r="DY45" s="360"/>
      <c r="DZ45" s="395"/>
      <c r="EA45" s="274"/>
      <c r="EB45" s="334"/>
      <c r="EC45" s="334"/>
      <c r="ED45" s="362"/>
      <c r="EE45" s="360"/>
      <c r="EF45" s="360"/>
      <c r="EG45" s="395"/>
      <c r="EH45" s="274"/>
      <c r="EI45" s="334"/>
      <c r="EJ45" s="334"/>
      <c r="EK45" s="362"/>
      <c r="EL45" s="360"/>
      <c r="EM45" s="360"/>
      <c r="EN45" s="395"/>
      <c r="EO45" s="274"/>
      <c r="EP45" s="334"/>
      <c r="EQ45" s="334"/>
      <c r="ER45" s="362"/>
      <c r="ES45" s="360"/>
      <c r="ET45" s="360"/>
      <c r="EU45" s="395"/>
      <c r="EV45" s="274"/>
      <c r="EW45" s="334"/>
      <c r="EX45" s="334"/>
      <c r="EY45" s="362"/>
      <c r="EZ45" s="360"/>
      <c r="FA45" s="360"/>
      <c r="FB45" s="395"/>
      <c r="FC45" s="274"/>
      <c r="FD45" s="334"/>
      <c r="FE45" s="334"/>
      <c r="FF45" s="362"/>
      <c r="FG45" s="360"/>
      <c r="FH45" s="360"/>
      <c r="FI45" s="395"/>
      <c r="FJ45" s="274"/>
      <c r="FK45" s="334"/>
      <c r="FL45" s="334"/>
      <c r="FM45" s="362"/>
      <c r="FN45" s="360"/>
      <c r="FO45" s="360"/>
      <c r="FP45" s="395"/>
      <c r="FQ45" s="274"/>
      <c r="FR45" s="334"/>
      <c r="FS45" s="334"/>
      <c r="FT45" s="362"/>
      <c r="FU45" s="360"/>
      <c r="FV45" s="360"/>
      <c r="FW45" s="395"/>
      <c r="FX45" s="274"/>
      <c r="FY45" s="334"/>
      <c r="FZ45" s="334"/>
      <c r="GA45" s="362"/>
      <c r="GB45" s="360"/>
      <c r="GC45" s="360"/>
      <c r="GD45" s="395"/>
      <c r="GE45" s="274"/>
      <c r="GF45" s="334"/>
      <c r="GG45" s="334"/>
      <c r="GH45" s="362"/>
      <c r="GI45" s="360"/>
      <c r="GJ45" s="360"/>
      <c r="GK45" s="395"/>
      <c r="GL45" s="274"/>
      <c r="GM45" s="334"/>
      <c r="GN45" s="334"/>
      <c r="GO45" s="362"/>
      <c r="GP45" s="360"/>
      <c r="GQ45" s="360"/>
      <c r="GR45" s="395"/>
      <c r="GS45" s="274"/>
      <c r="GT45" s="334"/>
      <c r="GU45" s="334"/>
      <c r="GV45" s="362"/>
      <c r="GW45" s="360"/>
      <c r="GX45" s="360"/>
      <c r="GY45" s="395"/>
      <c r="GZ45" s="274"/>
      <c r="HA45" s="334"/>
      <c r="HB45" s="334"/>
      <c r="HC45" s="362"/>
      <c r="HD45" s="360"/>
      <c r="HE45" s="360"/>
      <c r="HF45" s="395"/>
      <c r="HG45" s="274"/>
      <c r="HH45" s="334"/>
      <c r="HI45" s="334"/>
      <c r="HJ45" s="362"/>
      <c r="HK45" s="360"/>
      <c r="HL45" s="360"/>
      <c r="HM45" s="395"/>
      <c r="HN45" s="274"/>
      <c r="HO45" s="334"/>
      <c r="HP45" s="334"/>
      <c r="HQ45" s="362"/>
      <c r="HR45" s="360"/>
      <c r="HS45" s="360"/>
      <c r="HT45" s="395"/>
      <c r="HU45" s="274"/>
      <c r="HV45" s="334"/>
      <c r="HW45" s="334"/>
      <c r="HX45" s="362"/>
      <c r="HY45" s="360"/>
      <c r="HZ45" s="360"/>
      <c r="IA45" s="395"/>
      <c r="IB45" s="274"/>
      <c r="IC45" s="334"/>
      <c r="ID45" s="334"/>
      <c r="IE45" s="362"/>
      <c r="IF45" s="360"/>
      <c r="IG45" s="360"/>
      <c r="IH45" s="395"/>
      <c r="II45" s="274"/>
      <c r="IJ45" s="334"/>
      <c r="IK45" s="334"/>
      <c r="IL45" s="362"/>
      <c r="IM45" s="360"/>
      <c r="IN45" s="360"/>
      <c r="IO45" s="395"/>
      <c r="IP45" s="274"/>
      <c r="IQ45" s="334"/>
      <c r="IR45" s="334"/>
      <c r="IS45" s="362"/>
      <c r="IT45" s="360"/>
    </row>
    <row r="46" spans="2:253" s="334" customFormat="1" ht="16.5" customHeight="1">
      <c r="B46" s="329"/>
      <c r="C46" s="329"/>
      <c r="D46" s="274"/>
      <c r="E46" s="274"/>
      <c r="F46" s="274"/>
      <c r="G46" s="274"/>
      <c r="H46" s="362"/>
      <c r="I46" s="336"/>
      <c r="J46" s="362"/>
      <c r="K46" s="362"/>
      <c r="M46" s="336"/>
      <c r="O46" s="362"/>
      <c r="P46" s="336"/>
      <c r="Q46" s="362"/>
      <c r="R46" s="362"/>
      <c r="T46" s="336"/>
      <c r="V46" s="362"/>
      <c r="W46" s="336"/>
      <c r="X46" s="362"/>
      <c r="Y46" s="362"/>
      <c r="AA46" s="336"/>
      <c r="AC46" s="362"/>
      <c r="AD46" s="336"/>
      <c r="AE46" s="362"/>
      <c r="AF46" s="362"/>
      <c r="AH46" s="336"/>
      <c r="AJ46" s="362"/>
      <c r="AK46" s="336"/>
      <c r="AL46" s="362"/>
      <c r="AM46" s="362"/>
      <c r="AO46" s="336"/>
      <c r="AQ46" s="362"/>
      <c r="AR46" s="336"/>
      <c r="AS46" s="362"/>
      <c r="AT46" s="362"/>
      <c r="AV46" s="336"/>
      <c r="AX46" s="362"/>
      <c r="AY46" s="336"/>
      <c r="AZ46" s="362"/>
      <c r="BA46" s="362"/>
      <c r="BC46" s="336"/>
      <c r="BE46" s="362"/>
      <c r="BF46" s="336"/>
      <c r="BG46" s="362"/>
      <c r="BH46" s="362"/>
      <c r="BJ46" s="336"/>
      <c r="BL46" s="362"/>
      <c r="BM46" s="336"/>
      <c r="BN46" s="362"/>
      <c r="BO46" s="362"/>
      <c r="BQ46" s="336"/>
      <c r="BS46" s="362"/>
      <c r="BT46" s="336"/>
      <c r="BU46" s="362"/>
      <c r="BV46" s="362"/>
      <c r="BX46" s="336"/>
      <c r="BZ46" s="362"/>
      <c r="CA46" s="336"/>
      <c r="CB46" s="362"/>
      <c r="CC46" s="362"/>
      <c r="CE46" s="336"/>
      <c r="CG46" s="362"/>
      <c r="CH46" s="336"/>
      <c r="CI46" s="362"/>
      <c r="CJ46" s="362"/>
      <c r="CL46" s="336"/>
      <c r="CN46" s="362"/>
      <c r="CO46" s="336"/>
      <c r="CP46" s="362"/>
      <c r="CQ46" s="362"/>
      <c r="CS46" s="336"/>
      <c r="CU46" s="362"/>
      <c r="CV46" s="336"/>
      <c r="CW46" s="362"/>
      <c r="CX46" s="362"/>
      <c r="CZ46" s="336"/>
      <c r="DB46" s="362"/>
      <c r="DC46" s="336"/>
      <c r="DD46" s="362"/>
      <c r="DE46" s="362"/>
      <c r="DG46" s="336"/>
      <c r="DI46" s="362"/>
      <c r="DJ46" s="336"/>
      <c r="DK46" s="362"/>
      <c r="DL46" s="362"/>
      <c r="DN46" s="336"/>
      <c r="DP46" s="362"/>
      <c r="DQ46" s="336"/>
      <c r="DR46" s="362"/>
      <c r="DS46" s="362"/>
      <c r="DU46" s="336"/>
      <c r="DW46" s="362"/>
      <c r="DX46" s="336"/>
      <c r="DY46" s="362"/>
      <c r="DZ46" s="362"/>
      <c r="EB46" s="336"/>
      <c r="ED46" s="362"/>
      <c r="EE46" s="336"/>
      <c r="EF46" s="362"/>
      <c r="EG46" s="362"/>
      <c r="EI46" s="336"/>
      <c r="EK46" s="362"/>
      <c r="EL46" s="336"/>
      <c r="EM46" s="362"/>
      <c r="EN46" s="362"/>
      <c r="EP46" s="336"/>
      <c r="ER46" s="362"/>
      <c r="ES46" s="336"/>
      <c r="ET46" s="362"/>
      <c r="EU46" s="362"/>
      <c r="EW46" s="336"/>
      <c r="EY46" s="362"/>
      <c r="EZ46" s="336"/>
      <c r="FA46" s="362"/>
      <c r="FB46" s="362"/>
      <c r="FD46" s="336"/>
      <c r="FF46" s="362"/>
      <c r="FG46" s="336"/>
      <c r="FH46" s="362"/>
      <c r="FI46" s="362"/>
      <c r="FK46" s="336"/>
      <c r="FM46" s="362"/>
      <c r="FN46" s="336"/>
      <c r="FO46" s="362"/>
      <c r="FP46" s="362"/>
      <c r="FR46" s="336"/>
      <c r="FT46" s="362"/>
      <c r="FU46" s="336"/>
      <c r="FV46" s="362"/>
      <c r="FW46" s="362"/>
      <c r="FY46" s="336"/>
      <c r="GA46" s="362"/>
      <c r="GB46" s="336"/>
      <c r="GC46" s="362"/>
      <c r="GD46" s="362"/>
      <c r="GF46" s="336"/>
      <c r="GH46" s="362"/>
      <c r="GI46" s="336"/>
      <c r="GJ46" s="362"/>
      <c r="GK46" s="362"/>
      <c r="GM46" s="336"/>
      <c r="GO46" s="362"/>
      <c r="GP46" s="336"/>
      <c r="GQ46" s="362"/>
      <c r="GR46" s="362"/>
      <c r="GT46" s="336"/>
      <c r="GV46" s="362"/>
      <c r="GW46" s="336"/>
      <c r="GX46" s="362"/>
      <c r="GY46" s="362"/>
      <c r="HA46" s="336"/>
      <c r="HC46" s="362"/>
      <c r="HD46" s="336"/>
      <c r="HE46" s="362"/>
      <c r="HF46" s="362"/>
      <c r="HH46" s="336"/>
      <c r="HJ46" s="362"/>
      <c r="HK46" s="336"/>
      <c r="HL46" s="362"/>
      <c r="HM46" s="362"/>
      <c r="HO46" s="336"/>
      <c r="HQ46" s="362"/>
      <c r="HR46" s="336"/>
      <c r="HS46" s="362"/>
      <c r="HT46" s="362"/>
      <c r="HV46" s="336"/>
      <c r="HX46" s="362"/>
      <c r="HY46" s="336"/>
      <c r="HZ46" s="362"/>
      <c r="IA46" s="362"/>
      <c r="IC46" s="336"/>
      <c r="IE46" s="362"/>
      <c r="IF46" s="336"/>
      <c r="IG46" s="362"/>
      <c r="IH46" s="362"/>
      <c r="IJ46" s="336"/>
      <c r="IL46" s="362"/>
      <c r="IM46" s="336"/>
      <c r="IN46" s="362"/>
      <c r="IO46" s="362"/>
      <c r="IQ46" s="336"/>
      <c r="IS46" s="362"/>
    </row>
    <row r="47" spans="1:7" s="336" customFormat="1" ht="12.75">
      <c r="A47" s="363"/>
      <c r="B47" s="396"/>
      <c r="C47" s="396"/>
      <c r="D47" s="274"/>
      <c r="E47" s="274"/>
      <c r="F47" s="274"/>
      <c r="G47" s="274"/>
    </row>
    <row r="48" spans="1:7" s="275" customFormat="1" ht="12.75">
      <c r="A48" s="397"/>
      <c r="D48" s="274"/>
      <c r="E48" s="274"/>
      <c r="F48" s="274"/>
      <c r="G48" s="274"/>
    </row>
    <row r="49" spans="1:7" s="275" customFormat="1" ht="12.75">
      <c r="A49" s="332"/>
      <c r="B49" s="332"/>
      <c r="C49" s="332"/>
      <c r="D49" s="274"/>
      <c r="E49" s="274"/>
      <c r="F49" s="274"/>
      <c r="G49" s="274"/>
    </row>
    <row r="57" spans="4:7" ht="11.25">
      <c r="D57" s="274">
        <v>0</v>
      </c>
      <c r="E57" s="274">
        <v>0</v>
      </c>
      <c r="F57" s="274">
        <v>0</v>
      </c>
      <c r="G57" s="274">
        <v>0</v>
      </c>
    </row>
    <row r="58" spans="4:7" ht="11.25">
      <c r="D58" s="274">
        <v>0</v>
      </c>
      <c r="E58" s="274">
        <v>0</v>
      </c>
      <c r="F58" s="274">
        <v>0</v>
      </c>
      <c r="G58" s="274">
        <v>0</v>
      </c>
    </row>
    <row r="59" spans="4:7" ht="11.25">
      <c r="D59" s="274">
        <v>0</v>
      </c>
      <c r="E59" s="274">
        <v>0</v>
      </c>
      <c r="F59" s="274">
        <v>0</v>
      </c>
      <c r="G59" s="274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Valsts kase / Pārskatu departaments
 15.01.00.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A49">
      <selection activeCell="E30" sqref="E30"/>
    </sheetView>
  </sheetViews>
  <sheetFormatPr defaultColWidth="9.140625" defaultRowHeight="12.75"/>
  <cols>
    <col min="1" max="1" width="17.7109375" style="295" customWidth="1"/>
    <col min="2" max="2" width="8.8515625" style="274" customWidth="1"/>
    <col min="3" max="3" width="8.421875" style="274" customWidth="1"/>
    <col min="4" max="4" width="8.8515625" style="274" customWidth="1"/>
    <col min="5" max="5" width="8.57421875" style="274" customWidth="1"/>
    <col min="6" max="6" width="6.8515625" style="274" customWidth="1"/>
    <col min="7" max="7" width="8.421875" style="274" customWidth="1"/>
    <col min="8" max="8" width="11.28125" style="274" customWidth="1"/>
    <col min="9" max="9" width="10.140625" style="274" customWidth="1"/>
    <col min="10" max="10" width="8.57421875" style="274" customWidth="1"/>
    <col min="11" max="11" width="8.00390625" style="274" customWidth="1"/>
    <col min="12" max="13" width="7.57421875" style="274" customWidth="1"/>
    <col min="14" max="14" width="7.140625" style="274" customWidth="1"/>
    <col min="15" max="16" width="9.28125" style="274" customWidth="1"/>
    <col min="17" max="16384" width="8.00390625" style="274" customWidth="1"/>
  </cols>
  <sheetData>
    <row r="1" spans="1:16" ht="12.75">
      <c r="A1" s="290"/>
      <c r="B1" s="275"/>
      <c r="C1" s="275"/>
      <c r="D1" s="275"/>
      <c r="E1" s="275"/>
      <c r="F1" s="275" t="s">
        <v>612</v>
      </c>
      <c r="G1" s="275"/>
      <c r="H1" s="275"/>
      <c r="I1" s="275"/>
      <c r="J1" s="275"/>
      <c r="K1" s="275"/>
      <c r="L1" s="275"/>
      <c r="M1" s="275"/>
      <c r="N1" s="272"/>
      <c r="O1" s="272"/>
      <c r="P1" s="272" t="s">
        <v>613</v>
      </c>
    </row>
    <row r="2" spans="14:15" ht="12">
      <c r="N2" s="398"/>
      <c r="O2" s="303"/>
    </row>
    <row r="3" spans="1:16" s="275" customFormat="1" ht="12.75">
      <c r="A3" s="290"/>
      <c r="N3" s="272"/>
      <c r="O3" s="272"/>
      <c r="P3" s="272"/>
    </row>
    <row r="4" spans="1:16" s="301" customFormat="1" ht="15.75">
      <c r="A4" s="399" t="s">
        <v>614</v>
      </c>
      <c r="B4" s="3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spans="1:16" s="401" customFormat="1" ht="15.75">
      <c r="A5" s="276" t="s">
        <v>544</v>
      </c>
      <c r="B5" s="276"/>
      <c r="C5" s="276"/>
      <c r="D5" s="276"/>
      <c r="E5" s="400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1:16" s="401" customFormat="1" ht="15.75">
      <c r="A6" s="276"/>
      <c r="B6" s="276"/>
      <c r="C6" s="276"/>
      <c r="D6" s="276"/>
      <c r="E6" s="400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s="278" customFormat="1" ht="11.25">
      <c r="A7" s="40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 t="s">
        <v>615</v>
      </c>
      <c r="N7" s="305"/>
      <c r="O7" s="387"/>
      <c r="P7" s="305"/>
    </row>
    <row r="8" spans="1:16" s="275" customFormat="1" ht="12.75">
      <c r="A8" s="403"/>
      <c r="B8" s="404" t="s">
        <v>317</v>
      </c>
      <c r="C8" s="404"/>
      <c r="D8" s="404"/>
      <c r="E8" s="405" t="s">
        <v>616</v>
      </c>
      <c r="F8" s="404"/>
      <c r="G8" s="404"/>
      <c r="H8" s="406"/>
      <c r="I8" s="406"/>
      <c r="J8" s="407" t="s">
        <v>617</v>
      </c>
      <c r="K8" s="404"/>
      <c r="L8" s="404"/>
      <c r="M8" s="408"/>
      <c r="N8" s="404"/>
      <c r="O8" s="409"/>
      <c r="P8" s="410"/>
    </row>
    <row r="9" spans="1:16" ht="11.25">
      <c r="A9" s="411"/>
      <c r="B9" s="343"/>
      <c r="C9" s="412"/>
      <c r="D9" s="412"/>
      <c r="E9" s="412"/>
      <c r="F9" s="412"/>
      <c r="G9" s="412"/>
      <c r="H9" s="412"/>
      <c r="I9" s="412"/>
      <c r="J9" s="412"/>
      <c r="K9" s="412"/>
      <c r="L9" s="413" t="s">
        <v>618</v>
      </c>
      <c r="M9" s="413"/>
      <c r="N9" s="343"/>
      <c r="O9" s="412"/>
      <c r="P9" s="414"/>
    </row>
    <row r="10" spans="1:16" s="421" customFormat="1" ht="45">
      <c r="A10" s="415" t="s">
        <v>619</v>
      </c>
      <c r="B10" s="416" t="s">
        <v>620</v>
      </c>
      <c r="C10" s="417" t="s">
        <v>621</v>
      </c>
      <c r="D10" s="418" t="s">
        <v>622</v>
      </c>
      <c r="E10" s="418" t="s">
        <v>623</v>
      </c>
      <c r="F10" s="418" t="s">
        <v>624</v>
      </c>
      <c r="G10" s="418" t="s">
        <v>625</v>
      </c>
      <c r="H10" s="418" t="s">
        <v>626</v>
      </c>
      <c r="I10" s="418" t="s">
        <v>627</v>
      </c>
      <c r="J10" s="418" t="s">
        <v>27</v>
      </c>
      <c r="K10" s="418" t="s">
        <v>628</v>
      </c>
      <c r="L10" s="418" t="s">
        <v>629</v>
      </c>
      <c r="M10" s="418" t="s">
        <v>630</v>
      </c>
      <c r="N10" s="418" t="s">
        <v>631</v>
      </c>
      <c r="O10" s="419" t="s">
        <v>39</v>
      </c>
      <c r="P10" s="420" t="s">
        <v>632</v>
      </c>
    </row>
    <row r="11" spans="1:16" s="278" customFormat="1" ht="11.25">
      <c r="A11" s="422">
        <v>1</v>
      </c>
      <c r="B11" s="423">
        <v>2</v>
      </c>
      <c r="C11" s="423">
        <v>3</v>
      </c>
      <c r="D11" s="423">
        <v>4</v>
      </c>
      <c r="E11" s="423">
        <v>5</v>
      </c>
      <c r="F11" s="423">
        <v>6</v>
      </c>
      <c r="G11" s="423">
        <v>7</v>
      </c>
      <c r="H11" s="423">
        <v>8</v>
      </c>
      <c r="I11" s="423">
        <v>9</v>
      </c>
      <c r="J11" s="423">
        <v>10</v>
      </c>
      <c r="K11" s="423">
        <v>11</v>
      </c>
      <c r="L11" s="423">
        <v>12</v>
      </c>
      <c r="M11" s="423">
        <v>13</v>
      </c>
      <c r="N11" s="423">
        <v>14</v>
      </c>
      <c r="O11" s="423">
        <v>15</v>
      </c>
      <c r="P11" s="424">
        <v>16</v>
      </c>
    </row>
    <row r="12" spans="1:16" ht="12.75">
      <c r="A12" s="425" t="s">
        <v>633</v>
      </c>
      <c r="B12" s="426"/>
      <c r="C12" s="426"/>
      <c r="D12" s="426"/>
      <c r="E12" s="426"/>
      <c r="F12" s="426"/>
      <c r="G12" s="426"/>
      <c r="H12" s="426"/>
      <c r="I12" s="426"/>
      <c r="J12" s="426">
        <v>0</v>
      </c>
      <c r="K12" s="426"/>
      <c r="L12" s="426"/>
      <c r="M12" s="426"/>
      <c r="N12" s="426"/>
      <c r="O12" s="426"/>
      <c r="P12" s="427">
        <v>0</v>
      </c>
    </row>
    <row r="13" spans="1:16" ht="12">
      <c r="A13" s="428" t="s">
        <v>634</v>
      </c>
      <c r="B13" s="429">
        <v>115395710</v>
      </c>
      <c r="C13" s="429">
        <v>21670904</v>
      </c>
      <c r="D13" s="429">
        <v>137066614</v>
      </c>
      <c r="E13" s="429">
        <v>127018946</v>
      </c>
      <c r="F13" s="429">
        <v>17250896</v>
      </c>
      <c r="G13" s="429">
        <v>144269842</v>
      </c>
      <c r="H13" s="429">
        <v>-7203228</v>
      </c>
      <c r="I13" s="429">
        <v>7203228</v>
      </c>
      <c r="J13" s="429">
        <v>3000000</v>
      </c>
      <c r="K13" s="429">
        <v>-277069</v>
      </c>
      <c r="L13" s="429">
        <v>6214381</v>
      </c>
      <c r="M13" s="429">
        <v>6491450</v>
      </c>
      <c r="N13" s="429">
        <v>7300000</v>
      </c>
      <c r="O13" s="429">
        <v>-3829171</v>
      </c>
      <c r="P13" s="430">
        <v>1009468</v>
      </c>
    </row>
    <row r="14" spans="1:16" ht="12">
      <c r="A14" s="431" t="s">
        <v>635</v>
      </c>
      <c r="B14" s="429">
        <v>9799173</v>
      </c>
      <c r="C14" s="429">
        <v>3984774</v>
      </c>
      <c r="D14" s="429">
        <v>13783947</v>
      </c>
      <c r="E14" s="429">
        <v>14399762</v>
      </c>
      <c r="F14" s="429">
        <v>24367</v>
      </c>
      <c r="G14" s="429">
        <v>14424129</v>
      </c>
      <c r="H14" s="429">
        <v>-640182</v>
      </c>
      <c r="I14" s="429">
        <v>640182</v>
      </c>
      <c r="J14" s="429">
        <v>288200</v>
      </c>
      <c r="K14" s="429">
        <v>391395</v>
      </c>
      <c r="L14" s="429">
        <v>461910</v>
      </c>
      <c r="M14" s="429">
        <v>70515</v>
      </c>
      <c r="N14" s="429">
        <v>-40000</v>
      </c>
      <c r="O14" s="429">
        <v>0</v>
      </c>
      <c r="P14" s="430">
        <v>0</v>
      </c>
    </row>
    <row r="15" spans="1:16" ht="12">
      <c r="A15" s="431" t="s">
        <v>636</v>
      </c>
      <c r="B15" s="429">
        <v>6170120</v>
      </c>
      <c r="C15" s="429">
        <v>3059064</v>
      </c>
      <c r="D15" s="429">
        <v>9229184</v>
      </c>
      <c r="E15" s="429">
        <v>8943219</v>
      </c>
      <c r="F15" s="429">
        <v>209205</v>
      </c>
      <c r="G15" s="429">
        <v>9152424</v>
      </c>
      <c r="H15" s="429">
        <v>76760</v>
      </c>
      <c r="I15" s="429">
        <v>-76760</v>
      </c>
      <c r="J15" s="429">
        <v>-1039000</v>
      </c>
      <c r="K15" s="429">
        <v>20137</v>
      </c>
      <c r="L15" s="429">
        <v>64369</v>
      </c>
      <c r="M15" s="429">
        <v>44232</v>
      </c>
      <c r="N15" s="429">
        <v>0</v>
      </c>
      <c r="O15" s="429">
        <v>227442</v>
      </c>
      <c r="P15" s="430">
        <v>714661</v>
      </c>
    </row>
    <row r="16" spans="1:16" ht="12">
      <c r="A16" s="431" t="s">
        <v>637</v>
      </c>
      <c r="B16" s="429">
        <v>6088143</v>
      </c>
      <c r="C16" s="429">
        <v>1633009</v>
      </c>
      <c r="D16" s="429">
        <v>7721152</v>
      </c>
      <c r="E16" s="429">
        <v>8803935</v>
      </c>
      <c r="F16" s="429">
        <v>133575</v>
      </c>
      <c r="G16" s="429">
        <v>8937510</v>
      </c>
      <c r="H16" s="429">
        <v>-1216358</v>
      </c>
      <c r="I16" s="429">
        <v>1216358</v>
      </c>
      <c r="J16" s="429">
        <v>1077000</v>
      </c>
      <c r="K16" s="429">
        <v>139358</v>
      </c>
      <c r="L16" s="429">
        <v>205452</v>
      </c>
      <c r="M16" s="429">
        <v>66094</v>
      </c>
      <c r="N16" s="429">
        <v>0</v>
      </c>
      <c r="O16" s="429">
        <v>0</v>
      </c>
      <c r="P16" s="430">
        <v>0</v>
      </c>
    </row>
    <row r="17" spans="1:16" ht="12">
      <c r="A17" s="431" t="s">
        <v>638</v>
      </c>
      <c r="B17" s="429">
        <v>9322312</v>
      </c>
      <c r="C17" s="429">
        <v>3502152</v>
      </c>
      <c r="D17" s="429">
        <v>12824464</v>
      </c>
      <c r="E17" s="429">
        <v>12489600</v>
      </c>
      <c r="F17" s="429">
        <v>300473</v>
      </c>
      <c r="G17" s="429">
        <v>12790073</v>
      </c>
      <c r="H17" s="429">
        <v>34391</v>
      </c>
      <c r="I17" s="429">
        <v>-34391</v>
      </c>
      <c r="J17" s="429">
        <v>-26891</v>
      </c>
      <c r="K17" s="429">
        <v>-7500</v>
      </c>
      <c r="L17" s="429">
        <v>408121</v>
      </c>
      <c r="M17" s="429">
        <v>415621</v>
      </c>
      <c r="N17" s="429">
        <v>0</v>
      </c>
      <c r="O17" s="429">
        <v>0</v>
      </c>
      <c r="P17" s="430">
        <v>0</v>
      </c>
    </row>
    <row r="18" spans="1:16" ht="12">
      <c r="A18" s="431" t="s">
        <v>639</v>
      </c>
      <c r="B18" s="429">
        <v>3590650</v>
      </c>
      <c r="C18" s="429">
        <v>1629555</v>
      </c>
      <c r="D18" s="429">
        <v>5220205</v>
      </c>
      <c r="E18" s="429">
        <v>5133101</v>
      </c>
      <c r="F18" s="429">
        <v>10220</v>
      </c>
      <c r="G18" s="429">
        <v>5143321</v>
      </c>
      <c r="H18" s="429">
        <v>76884</v>
      </c>
      <c r="I18" s="429">
        <v>-76884</v>
      </c>
      <c r="J18" s="429">
        <v>-65000</v>
      </c>
      <c r="K18" s="429">
        <v>-11884</v>
      </c>
      <c r="L18" s="429">
        <v>78705</v>
      </c>
      <c r="M18" s="429">
        <v>90589</v>
      </c>
      <c r="N18" s="429">
        <v>0</v>
      </c>
      <c r="O18" s="429">
        <v>0</v>
      </c>
      <c r="P18" s="430">
        <v>0</v>
      </c>
    </row>
    <row r="19" spans="1:16" ht="12">
      <c r="A19" s="431" t="s">
        <v>640</v>
      </c>
      <c r="B19" s="429">
        <v>11841196</v>
      </c>
      <c r="C19" s="429">
        <v>1563994</v>
      </c>
      <c r="D19" s="429">
        <v>13405190</v>
      </c>
      <c r="E19" s="429">
        <v>10398048</v>
      </c>
      <c r="F19" s="429">
        <v>2665079</v>
      </c>
      <c r="G19" s="429">
        <v>13063127</v>
      </c>
      <c r="H19" s="429">
        <v>342063</v>
      </c>
      <c r="I19" s="429">
        <v>-342063</v>
      </c>
      <c r="J19" s="429">
        <v>0</v>
      </c>
      <c r="K19" s="429">
        <v>-342063</v>
      </c>
      <c r="L19" s="429">
        <v>630911</v>
      </c>
      <c r="M19" s="429">
        <v>972974</v>
      </c>
      <c r="N19" s="429">
        <v>0</v>
      </c>
      <c r="O19" s="429">
        <v>0</v>
      </c>
      <c r="P19" s="430">
        <v>0</v>
      </c>
    </row>
    <row r="20" spans="1:16" ht="12.75">
      <c r="A20" s="425" t="s">
        <v>641</v>
      </c>
      <c r="B20" s="429">
        <f aca="true" t="shared" si="0" ref="B20:P20">SUM(B13:B19)</f>
        <v>162207000</v>
      </c>
      <c r="C20" s="429">
        <f t="shared" si="0"/>
        <v>37043000</v>
      </c>
      <c r="D20" s="429">
        <f t="shared" si="0"/>
        <v>199251000</v>
      </c>
      <c r="E20" s="429">
        <f t="shared" si="0"/>
        <v>187187000</v>
      </c>
      <c r="F20" s="429">
        <f t="shared" si="0"/>
        <v>20594000</v>
      </c>
      <c r="G20" s="429">
        <f t="shared" si="0"/>
        <v>207780000</v>
      </c>
      <c r="H20" s="429">
        <f t="shared" si="0"/>
        <v>-8530000</v>
      </c>
      <c r="I20" s="429">
        <f t="shared" si="0"/>
        <v>8530000</v>
      </c>
      <c r="J20" s="429">
        <f t="shared" si="0"/>
        <v>3234000</v>
      </c>
      <c r="K20" s="429">
        <f t="shared" si="0"/>
        <v>-88000</v>
      </c>
      <c r="L20" s="429">
        <f t="shared" si="0"/>
        <v>8064000</v>
      </c>
      <c r="M20" s="429">
        <f t="shared" si="0"/>
        <v>8151000</v>
      </c>
      <c r="N20" s="429">
        <f t="shared" si="0"/>
        <v>7260000</v>
      </c>
      <c r="O20" s="429">
        <f t="shared" si="0"/>
        <v>-3602000</v>
      </c>
      <c r="P20" s="430">
        <f t="shared" si="0"/>
        <v>1724000</v>
      </c>
    </row>
    <row r="21" spans="1:16" s="432" customFormat="1" ht="12.75">
      <c r="A21" s="425" t="s">
        <v>642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30"/>
    </row>
    <row r="22" spans="1:16" ht="12">
      <c r="A22" s="431" t="s">
        <v>643</v>
      </c>
      <c r="B22" s="429">
        <v>3670099</v>
      </c>
      <c r="C22" s="429">
        <v>3550968</v>
      </c>
      <c r="D22" s="429">
        <v>7221067</v>
      </c>
      <c r="E22" s="429">
        <v>6605377</v>
      </c>
      <c r="F22" s="429">
        <v>425472</v>
      </c>
      <c r="G22" s="429">
        <v>7030849</v>
      </c>
      <c r="H22" s="429">
        <v>190218</v>
      </c>
      <c r="I22" s="429">
        <v>-190218</v>
      </c>
      <c r="J22" s="429">
        <v>-67120</v>
      </c>
      <c r="K22" s="429">
        <v>-262241</v>
      </c>
      <c r="L22" s="429">
        <v>255676</v>
      </c>
      <c r="M22" s="429">
        <v>517917</v>
      </c>
      <c r="N22" s="429">
        <v>3734</v>
      </c>
      <c r="O22" s="429">
        <v>139000</v>
      </c>
      <c r="P22" s="430">
        <v>-3591</v>
      </c>
    </row>
    <row r="23" spans="1:16" ht="12">
      <c r="A23" s="431" t="s">
        <v>644</v>
      </c>
      <c r="B23" s="429">
        <v>1807129</v>
      </c>
      <c r="C23" s="429">
        <v>2464809</v>
      </c>
      <c r="D23" s="429">
        <v>4271938</v>
      </c>
      <c r="E23" s="429">
        <v>4312729</v>
      </c>
      <c r="F23" s="429">
        <v>91347</v>
      </c>
      <c r="G23" s="429">
        <v>4404076</v>
      </c>
      <c r="H23" s="429">
        <v>-132138</v>
      </c>
      <c r="I23" s="429">
        <v>132138</v>
      </c>
      <c r="J23" s="429">
        <v>136950</v>
      </c>
      <c r="K23" s="429">
        <v>-54</v>
      </c>
      <c r="L23" s="429">
        <v>80897</v>
      </c>
      <c r="M23" s="429">
        <v>80951</v>
      </c>
      <c r="N23" s="429">
        <v>0</v>
      </c>
      <c r="O23" s="429">
        <v>-2910</v>
      </c>
      <c r="P23" s="430">
        <v>-1848</v>
      </c>
    </row>
    <row r="24" spans="1:16" ht="12">
      <c r="A24" s="431" t="s">
        <v>645</v>
      </c>
      <c r="B24" s="429">
        <v>1820146</v>
      </c>
      <c r="C24" s="429">
        <v>2997604</v>
      </c>
      <c r="D24" s="429">
        <v>4817750</v>
      </c>
      <c r="E24" s="429">
        <v>4815400</v>
      </c>
      <c r="F24" s="429">
        <v>154410</v>
      </c>
      <c r="G24" s="429">
        <v>4969810</v>
      </c>
      <c r="H24" s="429">
        <v>-152060</v>
      </c>
      <c r="I24" s="429">
        <v>152060</v>
      </c>
      <c r="J24" s="429">
        <v>135000</v>
      </c>
      <c r="K24" s="429">
        <v>18576</v>
      </c>
      <c r="L24" s="429">
        <v>116960</v>
      </c>
      <c r="M24" s="429">
        <v>98384</v>
      </c>
      <c r="N24" s="429">
        <v>0</v>
      </c>
      <c r="O24" s="429">
        <v>-1516</v>
      </c>
      <c r="P24" s="430">
        <v>0</v>
      </c>
    </row>
    <row r="25" spans="1:16" ht="12">
      <c r="A25" s="431" t="s">
        <v>646</v>
      </c>
      <c r="B25" s="429">
        <v>3866008</v>
      </c>
      <c r="C25" s="429">
        <v>4030000</v>
      </c>
      <c r="D25" s="429">
        <v>7895259</v>
      </c>
      <c r="E25" s="429">
        <v>7464004</v>
      </c>
      <c r="F25" s="429">
        <v>452003</v>
      </c>
      <c r="G25" s="429">
        <v>7916007</v>
      </c>
      <c r="H25" s="429">
        <v>-20748</v>
      </c>
      <c r="I25" s="429">
        <v>20748</v>
      </c>
      <c r="J25" s="429">
        <v>69433</v>
      </c>
      <c r="K25" s="429">
        <v>-65423</v>
      </c>
      <c r="L25" s="429">
        <v>168381</v>
      </c>
      <c r="M25" s="429">
        <v>233804</v>
      </c>
      <c r="N25" s="429">
        <v>5500</v>
      </c>
      <c r="O25" s="429">
        <v>22410</v>
      </c>
      <c r="P25" s="430">
        <v>-11172</v>
      </c>
    </row>
    <row r="26" spans="1:16" ht="12">
      <c r="A26" s="431" t="s">
        <v>647</v>
      </c>
      <c r="B26" s="429">
        <v>5584212</v>
      </c>
      <c r="C26" s="429">
        <v>5218286</v>
      </c>
      <c r="D26" s="429">
        <v>10802498</v>
      </c>
      <c r="E26" s="429">
        <v>10595308</v>
      </c>
      <c r="F26" s="429">
        <v>337414</v>
      </c>
      <c r="G26" s="429">
        <v>10932722</v>
      </c>
      <c r="H26" s="429">
        <v>-130224</v>
      </c>
      <c r="I26" s="429">
        <v>130224</v>
      </c>
      <c r="J26" s="429">
        <v>3900</v>
      </c>
      <c r="K26" s="429">
        <v>93300</v>
      </c>
      <c r="L26" s="429">
        <v>278037</v>
      </c>
      <c r="M26" s="429">
        <v>184737</v>
      </c>
      <c r="N26" s="429">
        <v>51056</v>
      </c>
      <c r="O26" s="429">
        <v>0</v>
      </c>
      <c r="P26" s="430">
        <v>-18032</v>
      </c>
    </row>
    <row r="27" spans="1:16" ht="12">
      <c r="A27" s="431" t="s">
        <v>648</v>
      </c>
      <c r="B27" s="429">
        <v>3096610</v>
      </c>
      <c r="C27" s="429">
        <v>3503170</v>
      </c>
      <c r="D27" s="429">
        <v>6599780</v>
      </c>
      <c r="E27" s="429">
        <v>6438042</v>
      </c>
      <c r="F27" s="429">
        <v>364990</v>
      </c>
      <c r="G27" s="429">
        <v>6803032</v>
      </c>
      <c r="H27" s="429">
        <v>-203252</v>
      </c>
      <c r="I27" s="429">
        <v>203252</v>
      </c>
      <c r="J27" s="429">
        <v>208564</v>
      </c>
      <c r="K27" s="429">
        <v>-37245</v>
      </c>
      <c r="L27" s="429">
        <v>182974</v>
      </c>
      <c r="M27" s="429">
        <v>220219</v>
      </c>
      <c r="N27" s="429">
        <v>20499</v>
      </c>
      <c r="O27" s="429">
        <v>24177</v>
      </c>
      <c r="P27" s="430">
        <v>-12743</v>
      </c>
    </row>
    <row r="28" spans="1:16" ht="12">
      <c r="A28" s="431" t="s">
        <v>649</v>
      </c>
      <c r="B28" s="429">
        <v>3147980</v>
      </c>
      <c r="C28" s="429">
        <v>2855703</v>
      </c>
      <c r="D28" s="429">
        <v>6003683</v>
      </c>
      <c r="E28" s="429">
        <v>5700312</v>
      </c>
      <c r="F28" s="429">
        <v>310315</v>
      </c>
      <c r="G28" s="429">
        <v>6010627</v>
      </c>
      <c r="H28" s="429">
        <v>-6944</v>
      </c>
      <c r="I28" s="429">
        <v>6944</v>
      </c>
      <c r="J28" s="429">
        <v>-16570</v>
      </c>
      <c r="K28" s="429">
        <v>29233</v>
      </c>
      <c r="L28" s="429">
        <v>190834</v>
      </c>
      <c r="M28" s="429">
        <v>161601</v>
      </c>
      <c r="N28" s="429">
        <v>0</v>
      </c>
      <c r="O28" s="429">
        <v>0</v>
      </c>
      <c r="P28" s="430">
        <v>-5719</v>
      </c>
    </row>
    <row r="29" spans="1:16" ht="12">
      <c r="A29" s="431" t="s">
        <v>650</v>
      </c>
      <c r="B29" s="429">
        <v>2165007</v>
      </c>
      <c r="C29" s="429">
        <v>2193621</v>
      </c>
      <c r="D29" s="429">
        <v>4358628</v>
      </c>
      <c r="E29" s="429">
        <v>3949881</v>
      </c>
      <c r="F29" s="429">
        <v>135992</v>
      </c>
      <c r="G29" s="429">
        <v>4085873</v>
      </c>
      <c r="H29" s="429">
        <v>272755</v>
      </c>
      <c r="I29" s="429">
        <v>-272755</v>
      </c>
      <c r="J29" s="429">
        <v>-6053</v>
      </c>
      <c r="K29" s="429">
        <v>-239322</v>
      </c>
      <c r="L29" s="429">
        <v>46901</v>
      </c>
      <c r="M29" s="429">
        <v>286223</v>
      </c>
      <c r="N29" s="429">
        <v>0</v>
      </c>
      <c r="O29" s="429">
        <v>0</v>
      </c>
      <c r="P29" s="430">
        <v>-27380</v>
      </c>
    </row>
    <row r="30" spans="1:16" ht="12">
      <c r="A30" s="431" t="s">
        <v>651</v>
      </c>
      <c r="B30" s="429">
        <v>2695173</v>
      </c>
      <c r="C30" s="429">
        <v>2784134</v>
      </c>
      <c r="D30" s="429">
        <v>5479307</v>
      </c>
      <c r="E30" s="429">
        <v>5220950</v>
      </c>
      <c r="F30" s="429">
        <v>318954</v>
      </c>
      <c r="G30" s="429">
        <v>5539904</v>
      </c>
      <c r="H30" s="429">
        <v>-60597</v>
      </c>
      <c r="I30" s="429">
        <v>60597</v>
      </c>
      <c r="J30" s="429">
        <v>-57444</v>
      </c>
      <c r="K30" s="429">
        <v>3524</v>
      </c>
      <c r="L30" s="429">
        <v>83636</v>
      </c>
      <c r="M30" s="429">
        <v>80112</v>
      </c>
      <c r="N30" s="429">
        <v>111517</v>
      </c>
      <c r="O30" s="429">
        <v>3000</v>
      </c>
      <c r="P30" s="430">
        <v>0</v>
      </c>
    </row>
    <row r="31" spans="1:16" ht="12">
      <c r="A31" s="431" t="s">
        <v>652</v>
      </c>
      <c r="B31" s="429">
        <v>3503944</v>
      </c>
      <c r="C31" s="429">
        <v>4555559</v>
      </c>
      <c r="D31" s="429">
        <v>8059503</v>
      </c>
      <c r="E31" s="429">
        <v>8424835</v>
      </c>
      <c r="F31" s="429">
        <v>207744</v>
      </c>
      <c r="G31" s="429">
        <v>8632579</v>
      </c>
      <c r="H31" s="429">
        <v>-573076</v>
      </c>
      <c r="I31" s="429">
        <v>573076</v>
      </c>
      <c r="J31" s="429">
        <v>849058</v>
      </c>
      <c r="K31" s="429">
        <v>-311613</v>
      </c>
      <c r="L31" s="429">
        <v>207287</v>
      </c>
      <c r="M31" s="429">
        <v>518900</v>
      </c>
      <c r="N31" s="429">
        <v>0</v>
      </c>
      <c r="O31" s="429">
        <v>9620</v>
      </c>
      <c r="P31" s="430">
        <v>26011</v>
      </c>
    </row>
    <row r="32" spans="1:16" ht="12">
      <c r="A32" s="431" t="s">
        <v>653</v>
      </c>
      <c r="B32" s="429">
        <v>2014851</v>
      </c>
      <c r="C32" s="429">
        <v>3019867</v>
      </c>
      <c r="D32" s="429">
        <v>5034718</v>
      </c>
      <c r="E32" s="429">
        <v>5172337</v>
      </c>
      <c r="F32" s="429">
        <v>168635</v>
      </c>
      <c r="G32" s="429">
        <v>5340972</v>
      </c>
      <c r="H32" s="429">
        <v>-306254</v>
      </c>
      <c r="I32" s="429">
        <v>306254</v>
      </c>
      <c r="J32" s="429">
        <v>246094</v>
      </c>
      <c r="K32" s="429">
        <v>56060</v>
      </c>
      <c r="L32" s="429">
        <v>134900</v>
      </c>
      <c r="M32" s="429">
        <v>78840</v>
      </c>
      <c r="N32" s="429">
        <v>0</v>
      </c>
      <c r="O32" s="429">
        <v>4100</v>
      </c>
      <c r="P32" s="430">
        <v>0</v>
      </c>
    </row>
    <row r="33" spans="1:16" ht="12">
      <c r="A33" s="431" t="s">
        <v>654</v>
      </c>
      <c r="B33" s="429">
        <v>3486426</v>
      </c>
      <c r="C33" s="429">
        <v>4511005</v>
      </c>
      <c r="D33" s="429">
        <v>7997431</v>
      </c>
      <c r="E33" s="429">
        <v>7616988</v>
      </c>
      <c r="F33" s="429">
        <v>191370</v>
      </c>
      <c r="G33" s="429">
        <v>7808358</v>
      </c>
      <c r="H33" s="429">
        <v>189073</v>
      </c>
      <c r="I33" s="429">
        <v>-189073</v>
      </c>
      <c r="J33" s="429">
        <v>24090</v>
      </c>
      <c r="K33" s="429">
        <v>-167508</v>
      </c>
      <c r="L33" s="429">
        <v>126121</v>
      </c>
      <c r="M33" s="429">
        <v>293629</v>
      </c>
      <c r="N33" s="429">
        <v>0</v>
      </c>
      <c r="O33" s="429">
        <v>0</v>
      </c>
      <c r="P33" s="430">
        <v>-45655</v>
      </c>
    </row>
    <row r="34" spans="1:16" ht="12">
      <c r="A34" s="431" t="s">
        <v>655</v>
      </c>
      <c r="B34" s="429">
        <v>3351596</v>
      </c>
      <c r="C34" s="429">
        <v>3807236</v>
      </c>
      <c r="D34" s="429">
        <v>7158832</v>
      </c>
      <c r="E34" s="429">
        <v>7159487</v>
      </c>
      <c r="F34" s="429">
        <v>176273</v>
      </c>
      <c r="G34" s="429">
        <v>7335760</v>
      </c>
      <c r="H34" s="429">
        <v>-176928</v>
      </c>
      <c r="I34" s="429">
        <v>176928</v>
      </c>
      <c r="J34" s="429">
        <v>129619</v>
      </c>
      <c r="K34" s="429">
        <v>-76889</v>
      </c>
      <c r="L34" s="429">
        <v>86262</v>
      </c>
      <c r="M34" s="429">
        <v>163151</v>
      </c>
      <c r="N34" s="429">
        <v>0</v>
      </c>
      <c r="O34" s="429">
        <v>95146</v>
      </c>
      <c r="P34" s="430">
        <v>29052</v>
      </c>
    </row>
    <row r="35" spans="1:16" ht="12">
      <c r="A35" s="431" t="s">
        <v>656</v>
      </c>
      <c r="B35" s="429">
        <v>3499335</v>
      </c>
      <c r="C35" s="429">
        <v>3636260</v>
      </c>
      <c r="D35" s="429">
        <v>7135595</v>
      </c>
      <c r="E35" s="429">
        <v>7056853</v>
      </c>
      <c r="F35" s="429">
        <v>508203</v>
      </c>
      <c r="G35" s="429">
        <v>7565056</v>
      </c>
      <c r="H35" s="429">
        <v>-429461</v>
      </c>
      <c r="I35" s="429">
        <v>429461</v>
      </c>
      <c r="J35" s="429">
        <v>442231</v>
      </c>
      <c r="K35" s="429">
        <v>-11973</v>
      </c>
      <c r="L35" s="429">
        <v>266029</v>
      </c>
      <c r="M35" s="429">
        <v>278002</v>
      </c>
      <c r="N35" s="429">
        <v>0</v>
      </c>
      <c r="O35" s="429">
        <v>0</v>
      </c>
      <c r="P35" s="430">
        <v>-797</v>
      </c>
    </row>
    <row r="36" spans="1:16" ht="12">
      <c r="A36" s="431" t="s">
        <v>657</v>
      </c>
      <c r="B36" s="429">
        <v>1943796</v>
      </c>
      <c r="C36" s="429">
        <v>3108523</v>
      </c>
      <c r="D36" s="429">
        <v>5052319</v>
      </c>
      <c r="E36" s="429">
        <v>5152114</v>
      </c>
      <c r="F36" s="429">
        <v>229000</v>
      </c>
      <c r="G36" s="429">
        <v>5381621</v>
      </c>
      <c r="H36" s="429">
        <v>-329302</v>
      </c>
      <c r="I36" s="429">
        <v>329302</v>
      </c>
      <c r="J36" s="429">
        <v>330886</v>
      </c>
      <c r="K36" s="429">
        <v>-34296</v>
      </c>
      <c r="L36" s="429">
        <v>233423</v>
      </c>
      <c r="M36" s="429">
        <v>267719</v>
      </c>
      <c r="N36" s="429">
        <v>0</v>
      </c>
      <c r="O36" s="429">
        <v>18157</v>
      </c>
      <c r="P36" s="430">
        <v>14555</v>
      </c>
    </row>
    <row r="37" spans="1:16" ht="12">
      <c r="A37" s="431" t="s">
        <v>658</v>
      </c>
      <c r="B37" s="429">
        <v>3492850</v>
      </c>
      <c r="C37" s="429">
        <v>3842412</v>
      </c>
      <c r="D37" s="429">
        <v>7335262</v>
      </c>
      <c r="E37" s="429">
        <v>7045912</v>
      </c>
      <c r="F37" s="429">
        <v>324525</v>
      </c>
      <c r="G37" s="429">
        <v>7371000</v>
      </c>
      <c r="H37" s="429">
        <v>-35175</v>
      </c>
      <c r="I37" s="429">
        <v>35175</v>
      </c>
      <c r="J37" s="429">
        <v>19409</v>
      </c>
      <c r="K37" s="429">
        <v>5</v>
      </c>
      <c r="L37" s="429">
        <v>213643</v>
      </c>
      <c r="M37" s="429">
        <v>213638</v>
      </c>
      <c r="N37" s="429">
        <v>-2774</v>
      </c>
      <c r="O37" s="429">
        <v>18535</v>
      </c>
      <c r="P37" s="430">
        <v>0</v>
      </c>
    </row>
    <row r="38" spans="1:16" ht="12">
      <c r="A38" s="431" t="s">
        <v>659</v>
      </c>
      <c r="B38" s="429">
        <v>5267883</v>
      </c>
      <c r="C38" s="429">
        <v>3730570</v>
      </c>
      <c r="D38" s="429">
        <v>8998453</v>
      </c>
      <c r="E38" s="429">
        <v>8412554</v>
      </c>
      <c r="F38" s="429">
        <v>372881</v>
      </c>
      <c r="G38" s="429">
        <v>8785435</v>
      </c>
      <c r="H38" s="429">
        <v>213018</v>
      </c>
      <c r="I38" s="429">
        <v>-213018</v>
      </c>
      <c r="J38" s="429">
        <v>-228875</v>
      </c>
      <c r="K38" s="429">
        <v>26888</v>
      </c>
      <c r="L38" s="429">
        <v>373291</v>
      </c>
      <c r="M38" s="429">
        <v>346403</v>
      </c>
      <c r="N38" s="429">
        <v>-8072</v>
      </c>
      <c r="O38" s="429">
        <v>5000</v>
      </c>
      <c r="P38" s="430">
        <v>-7209</v>
      </c>
    </row>
    <row r="39" spans="1:16" ht="12">
      <c r="A39" s="431" t="s">
        <v>660</v>
      </c>
      <c r="B39" s="429">
        <v>1725702</v>
      </c>
      <c r="C39" s="429">
        <v>4192651</v>
      </c>
      <c r="D39" s="429">
        <v>5918353</v>
      </c>
      <c r="E39" s="429">
        <v>6016573</v>
      </c>
      <c r="F39" s="429">
        <v>155126</v>
      </c>
      <c r="G39" s="429">
        <v>6171699</v>
      </c>
      <c r="H39" s="429">
        <v>-253346</v>
      </c>
      <c r="I39" s="429">
        <v>253346</v>
      </c>
      <c r="J39" s="429">
        <v>14286</v>
      </c>
      <c r="K39" s="429">
        <v>37295</v>
      </c>
      <c r="L39" s="429">
        <v>170581</v>
      </c>
      <c r="M39" s="429">
        <v>133286</v>
      </c>
      <c r="N39" s="429">
        <v>-2297</v>
      </c>
      <c r="O39" s="429">
        <v>136075</v>
      </c>
      <c r="P39" s="430">
        <v>67987</v>
      </c>
    </row>
    <row r="40" spans="1:16" ht="12">
      <c r="A40" s="431" t="s">
        <v>661</v>
      </c>
      <c r="B40" s="429">
        <v>1910602</v>
      </c>
      <c r="C40" s="429">
        <v>4017314</v>
      </c>
      <c r="D40" s="429">
        <v>5927916</v>
      </c>
      <c r="E40" s="429">
        <v>5708979</v>
      </c>
      <c r="F40" s="429">
        <v>260348</v>
      </c>
      <c r="G40" s="429">
        <v>5969327</v>
      </c>
      <c r="H40" s="429">
        <v>-41411</v>
      </c>
      <c r="I40" s="429">
        <v>41411</v>
      </c>
      <c r="J40" s="429">
        <v>66216</v>
      </c>
      <c r="K40" s="429">
        <v>-22404</v>
      </c>
      <c r="L40" s="429">
        <v>130735</v>
      </c>
      <c r="M40" s="429">
        <v>153139</v>
      </c>
      <c r="N40" s="429">
        <v>-2401</v>
      </c>
      <c r="O40" s="429">
        <v>0</v>
      </c>
      <c r="P40" s="430">
        <v>0</v>
      </c>
    </row>
    <row r="41" spans="1:16" ht="12">
      <c r="A41" s="431" t="s">
        <v>662</v>
      </c>
      <c r="B41" s="429">
        <v>18439249</v>
      </c>
      <c r="C41" s="429">
        <v>7465330</v>
      </c>
      <c r="D41" s="429">
        <v>25904579</v>
      </c>
      <c r="E41" s="429">
        <v>22982113</v>
      </c>
      <c r="F41" s="429">
        <v>3119570</v>
      </c>
      <c r="G41" s="429">
        <v>26101683</v>
      </c>
      <c r="H41" s="429">
        <v>-197104</v>
      </c>
      <c r="I41" s="429">
        <v>197104</v>
      </c>
      <c r="J41" s="429">
        <v>66161</v>
      </c>
      <c r="K41" s="429">
        <v>-44490</v>
      </c>
      <c r="L41" s="429">
        <v>1178478</v>
      </c>
      <c r="M41" s="429">
        <v>1222968</v>
      </c>
      <c r="N41" s="429">
        <v>-52500</v>
      </c>
      <c r="O41" s="429">
        <v>-25540</v>
      </c>
      <c r="P41" s="430">
        <v>253473</v>
      </c>
    </row>
    <row r="42" spans="1:16" ht="12">
      <c r="A42" s="431" t="s">
        <v>663</v>
      </c>
      <c r="B42" s="429">
        <v>3388619</v>
      </c>
      <c r="C42" s="429">
        <v>3476084</v>
      </c>
      <c r="D42" s="429">
        <v>6864703</v>
      </c>
      <c r="E42" s="429">
        <v>6630217</v>
      </c>
      <c r="F42" s="429">
        <v>173694</v>
      </c>
      <c r="G42" s="429">
        <v>6803911</v>
      </c>
      <c r="H42" s="429">
        <v>60792</v>
      </c>
      <c r="I42" s="429">
        <v>-60792</v>
      </c>
      <c r="J42" s="429">
        <v>35425</v>
      </c>
      <c r="K42" s="429">
        <v>7555</v>
      </c>
      <c r="L42" s="429">
        <v>184591</v>
      </c>
      <c r="M42" s="429">
        <v>177036</v>
      </c>
      <c r="N42" s="429">
        <v>0</v>
      </c>
      <c r="O42" s="429">
        <v>0</v>
      </c>
      <c r="P42" s="430">
        <v>-103772</v>
      </c>
    </row>
    <row r="43" spans="1:16" ht="12">
      <c r="A43" s="431" t="s">
        <v>664</v>
      </c>
      <c r="B43" s="429">
        <v>4317014</v>
      </c>
      <c r="C43" s="429">
        <v>3974096</v>
      </c>
      <c r="D43" s="429">
        <v>8291110</v>
      </c>
      <c r="E43" s="429">
        <v>8073123</v>
      </c>
      <c r="F43" s="429">
        <v>301871</v>
      </c>
      <c r="G43" s="429">
        <v>8374994</v>
      </c>
      <c r="H43" s="429">
        <v>-83884</v>
      </c>
      <c r="I43" s="429">
        <v>83884</v>
      </c>
      <c r="J43" s="429">
        <v>-34540</v>
      </c>
      <c r="K43" s="429">
        <v>3668</v>
      </c>
      <c r="L43" s="429">
        <v>373141</v>
      </c>
      <c r="M43" s="429">
        <v>370000</v>
      </c>
      <c r="N43" s="429">
        <v>1415</v>
      </c>
      <c r="O43" s="429">
        <v>144335</v>
      </c>
      <c r="P43" s="430">
        <v>-30994</v>
      </c>
    </row>
    <row r="44" spans="1:16" ht="12">
      <c r="A44" s="431" t="s">
        <v>665</v>
      </c>
      <c r="B44" s="429">
        <v>4861513</v>
      </c>
      <c r="C44" s="429">
        <v>4619753</v>
      </c>
      <c r="D44" s="429">
        <v>9481266</v>
      </c>
      <c r="E44" s="429">
        <v>10317679</v>
      </c>
      <c r="F44" s="429">
        <v>224090</v>
      </c>
      <c r="G44" s="429">
        <v>10541769</v>
      </c>
      <c r="H44" s="429">
        <v>-1060503</v>
      </c>
      <c r="I44" s="429">
        <v>1060503</v>
      </c>
      <c r="J44" s="429">
        <v>840165</v>
      </c>
      <c r="K44" s="429">
        <v>63797</v>
      </c>
      <c r="L44" s="429">
        <v>444384</v>
      </c>
      <c r="M44" s="429">
        <v>380587</v>
      </c>
      <c r="N44" s="429">
        <v>-5854</v>
      </c>
      <c r="O44" s="429">
        <v>-2500</v>
      </c>
      <c r="P44" s="430">
        <v>164895</v>
      </c>
    </row>
    <row r="45" spans="1:16" ht="12">
      <c r="A45" s="431" t="s">
        <v>666</v>
      </c>
      <c r="B45" s="429">
        <v>2950745</v>
      </c>
      <c r="C45" s="429">
        <v>2727009</v>
      </c>
      <c r="D45" s="429">
        <v>5677754</v>
      </c>
      <c r="E45" s="429">
        <v>5503641</v>
      </c>
      <c r="F45" s="429">
        <v>250602</v>
      </c>
      <c r="G45" s="429">
        <v>5754243</v>
      </c>
      <c r="H45" s="429">
        <v>-76489</v>
      </c>
      <c r="I45" s="429">
        <v>76489</v>
      </c>
      <c r="J45" s="429">
        <v>103010</v>
      </c>
      <c r="K45" s="429">
        <v>9954</v>
      </c>
      <c r="L45" s="429">
        <v>139839</v>
      </c>
      <c r="M45" s="429">
        <v>129885</v>
      </c>
      <c r="N45" s="429">
        <v>28000</v>
      </c>
      <c r="O45" s="429">
        <v>6424</v>
      </c>
      <c r="P45" s="430">
        <v>-70899</v>
      </c>
    </row>
    <row r="46" spans="1:16" ht="12">
      <c r="A46" s="431" t="s">
        <v>667</v>
      </c>
      <c r="B46" s="429">
        <v>8380396</v>
      </c>
      <c r="C46" s="429">
        <v>4799478</v>
      </c>
      <c r="D46" s="429">
        <v>13179874</v>
      </c>
      <c r="E46" s="429">
        <v>12160808</v>
      </c>
      <c r="F46" s="429">
        <v>636600</v>
      </c>
      <c r="G46" s="429">
        <v>12797408</v>
      </c>
      <c r="H46" s="429">
        <v>382466</v>
      </c>
      <c r="I46" s="429">
        <v>-382466</v>
      </c>
      <c r="J46" s="429">
        <v>-691500</v>
      </c>
      <c r="K46" s="429">
        <v>78293</v>
      </c>
      <c r="L46" s="429">
        <v>275398</v>
      </c>
      <c r="M46" s="429">
        <v>197105</v>
      </c>
      <c r="N46" s="429">
        <v>301951</v>
      </c>
      <c r="O46" s="429">
        <v>51408</v>
      </c>
      <c r="P46" s="430">
        <v>-122618</v>
      </c>
    </row>
    <row r="47" spans="1:16" ht="12">
      <c r="A47" s="431" t="s">
        <v>668</v>
      </c>
      <c r="B47" s="429">
        <v>1476670</v>
      </c>
      <c r="C47" s="429">
        <v>955670</v>
      </c>
      <c r="D47" s="429">
        <v>2432340</v>
      </c>
      <c r="E47" s="429">
        <v>2317304</v>
      </c>
      <c r="F47" s="429">
        <v>128729</v>
      </c>
      <c r="G47" s="429">
        <v>2446033</v>
      </c>
      <c r="H47" s="429">
        <v>-13693</v>
      </c>
      <c r="I47" s="429">
        <v>13693</v>
      </c>
      <c r="J47" s="429">
        <v>-9500</v>
      </c>
      <c r="K47" s="429">
        <v>23193</v>
      </c>
      <c r="L47" s="429">
        <v>84789</v>
      </c>
      <c r="M47" s="429">
        <v>61596</v>
      </c>
      <c r="N47" s="429">
        <v>0</v>
      </c>
      <c r="O47" s="429">
        <v>0</v>
      </c>
      <c r="P47" s="430">
        <v>0</v>
      </c>
    </row>
    <row r="48" spans="1:16" ht="12.75">
      <c r="A48" s="425" t="s">
        <v>669</v>
      </c>
      <c r="B48" s="429">
        <f aca="true" t="shared" si="1" ref="B48:P48">SUM(B22:B47)</f>
        <v>101864000</v>
      </c>
      <c r="C48" s="429">
        <f t="shared" si="1"/>
        <v>96037000</v>
      </c>
      <c r="D48" s="429">
        <f t="shared" si="1"/>
        <v>197900000</v>
      </c>
      <c r="E48" s="429">
        <f t="shared" si="1"/>
        <v>190854000</v>
      </c>
      <c r="F48" s="429">
        <f t="shared" si="1"/>
        <v>10020000</v>
      </c>
      <c r="G48" s="429">
        <f t="shared" si="1"/>
        <v>200875000</v>
      </c>
      <c r="H48" s="429">
        <f t="shared" si="1"/>
        <v>-2974000</v>
      </c>
      <c r="I48" s="429">
        <f t="shared" si="1"/>
        <v>2974000</v>
      </c>
      <c r="J48" s="429">
        <f t="shared" si="1"/>
        <v>2609000</v>
      </c>
      <c r="K48" s="429">
        <f t="shared" si="1"/>
        <v>-822000</v>
      </c>
      <c r="L48" s="429">
        <f t="shared" si="1"/>
        <v>6027000</v>
      </c>
      <c r="M48" s="429">
        <f t="shared" si="1"/>
        <v>6850000</v>
      </c>
      <c r="N48" s="429">
        <f t="shared" si="1"/>
        <v>450000</v>
      </c>
      <c r="O48" s="429">
        <f t="shared" si="1"/>
        <v>645000</v>
      </c>
      <c r="P48" s="430">
        <f t="shared" si="1"/>
        <v>94000</v>
      </c>
    </row>
    <row r="49" spans="1:16" ht="12.75">
      <c r="A49" s="433" t="s">
        <v>670</v>
      </c>
      <c r="B49" s="434">
        <f aca="true" t="shared" si="2" ref="B49:P49">B48+B20</f>
        <v>264071000</v>
      </c>
      <c r="C49" s="434">
        <f t="shared" si="2"/>
        <v>133080000</v>
      </c>
      <c r="D49" s="434">
        <f t="shared" si="2"/>
        <v>397151000</v>
      </c>
      <c r="E49" s="434">
        <f t="shared" si="2"/>
        <v>378041000</v>
      </c>
      <c r="F49" s="434">
        <f t="shared" si="2"/>
        <v>30614000</v>
      </c>
      <c r="G49" s="434">
        <f t="shared" si="2"/>
        <v>408655000</v>
      </c>
      <c r="H49" s="434">
        <f t="shared" si="2"/>
        <v>-11504000</v>
      </c>
      <c r="I49" s="434">
        <f t="shared" si="2"/>
        <v>11504000</v>
      </c>
      <c r="J49" s="434">
        <f t="shared" si="2"/>
        <v>5843000</v>
      </c>
      <c r="K49" s="434">
        <f t="shared" si="2"/>
        <v>-910000</v>
      </c>
      <c r="L49" s="434">
        <f t="shared" si="2"/>
        <v>14091000</v>
      </c>
      <c r="M49" s="434">
        <f t="shared" si="2"/>
        <v>15001000</v>
      </c>
      <c r="N49" s="434">
        <f t="shared" si="2"/>
        <v>7710000</v>
      </c>
      <c r="O49" s="434">
        <f t="shared" si="2"/>
        <v>-2957000</v>
      </c>
      <c r="P49" s="435">
        <f t="shared" si="2"/>
        <v>1818000</v>
      </c>
    </row>
    <row r="50" spans="1:7" s="437" customFormat="1" ht="12">
      <c r="A50" s="436"/>
      <c r="G50" s="437" t="s">
        <v>113</v>
      </c>
    </row>
    <row r="51" s="437" customFormat="1" ht="12">
      <c r="A51" s="436" t="s">
        <v>671</v>
      </c>
    </row>
    <row r="52" spans="1:11" s="437" customFormat="1" ht="12">
      <c r="A52" s="438"/>
      <c r="B52" s="361"/>
      <c r="C52" s="361"/>
      <c r="D52" s="361"/>
      <c r="E52" s="361"/>
      <c r="F52" s="361"/>
      <c r="G52" s="361"/>
      <c r="H52" s="361"/>
      <c r="I52" s="361"/>
      <c r="J52" s="361"/>
      <c r="K52" s="361"/>
    </row>
    <row r="53" s="437" customFormat="1" ht="12">
      <c r="A53" s="394"/>
    </row>
    <row r="54" spans="1:12" s="437" customFormat="1" ht="12">
      <c r="A54" s="439"/>
      <c r="B54" s="439"/>
      <c r="C54" s="336"/>
      <c r="D54" s="336"/>
      <c r="E54" s="336"/>
      <c r="F54" s="336"/>
      <c r="H54" s="440"/>
      <c r="I54" s="440"/>
      <c r="J54" s="440"/>
      <c r="K54" s="440"/>
      <c r="L54" s="440"/>
    </row>
    <row r="55" s="442" customFormat="1" ht="11.25">
      <c r="A55" s="441"/>
    </row>
    <row r="58" spans="1:11" s="336" customFormat="1" ht="11.25" customHeight="1">
      <c r="A58" s="443" t="s">
        <v>672</v>
      </c>
      <c r="H58" s="336" t="s">
        <v>673</v>
      </c>
      <c r="K58" s="336" t="s">
        <v>500</v>
      </c>
    </row>
    <row r="59" ht="11.25">
      <c r="A59" s="339"/>
    </row>
    <row r="67" s="278" customFormat="1" ht="11.25">
      <c r="A67" s="343" t="s">
        <v>501</v>
      </c>
    </row>
    <row r="68" ht="11.25">
      <c r="A68" s="294" t="s">
        <v>502</v>
      </c>
    </row>
  </sheetData>
  <printOptions/>
  <pageMargins left="0.25" right="0.25" top="0.6" bottom="0.86" header="0.22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A49">
      <selection activeCell="E30" sqref="E30"/>
    </sheetView>
  </sheetViews>
  <sheetFormatPr defaultColWidth="9.140625" defaultRowHeight="12.75"/>
  <cols>
    <col min="1" max="1" width="20.421875" style="295" customWidth="1"/>
    <col min="2" max="2" width="9.7109375" style="274" customWidth="1"/>
    <col min="3" max="3" width="9.57421875" style="274" customWidth="1"/>
    <col min="4" max="4" width="14.8515625" style="274" customWidth="1"/>
    <col min="5" max="9" width="10.57421875" style="274" customWidth="1"/>
    <col min="10" max="10" width="11.8515625" style="274" customWidth="1"/>
    <col min="11" max="12" width="11.00390625" style="274" customWidth="1"/>
    <col min="13" max="16" width="7.140625" style="274" customWidth="1"/>
    <col min="17" max="16384" width="8.00390625" style="274" customWidth="1"/>
  </cols>
  <sheetData>
    <row r="1" spans="1:12" s="278" customFormat="1" ht="12.75">
      <c r="A1" s="272" t="s">
        <v>674</v>
      </c>
      <c r="B1" s="272"/>
      <c r="C1" s="272"/>
      <c r="D1" s="272"/>
      <c r="E1" s="272"/>
      <c r="F1" s="272"/>
      <c r="G1" s="272"/>
      <c r="H1" s="272"/>
      <c r="I1" s="272"/>
      <c r="J1" s="272"/>
      <c r="K1" s="305"/>
      <c r="L1" s="396" t="s">
        <v>675</v>
      </c>
    </row>
    <row r="2" spans="1:12" s="278" customFormat="1" ht="12.7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305"/>
      <c r="L2" s="396"/>
    </row>
    <row r="3" spans="1:12" s="275" customFormat="1" ht="12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396"/>
    </row>
    <row r="4" spans="1:16" s="401" customFormat="1" ht="15.75">
      <c r="A4" s="276" t="s">
        <v>676</v>
      </c>
      <c r="B4" s="276"/>
      <c r="C4" s="276"/>
      <c r="D4" s="300"/>
      <c r="E4" s="276"/>
      <c r="F4" s="276"/>
      <c r="G4" s="276"/>
      <c r="H4" s="276"/>
      <c r="I4" s="276"/>
      <c r="J4" s="276"/>
      <c r="K4" s="276"/>
      <c r="L4" s="276"/>
      <c r="M4" s="444"/>
      <c r="N4" s="444"/>
      <c r="O4" s="444"/>
      <c r="P4" s="444"/>
    </row>
    <row r="5" spans="1:16" s="401" customFormat="1" ht="15.75">
      <c r="A5" s="276" t="s">
        <v>544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444"/>
      <c r="N5" s="444"/>
      <c r="O5" s="444"/>
      <c r="P5" s="444"/>
    </row>
    <row r="6" spans="1:16" ht="12.75">
      <c r="A6" s="445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</row>
    <row r="7" spans="1:16" s="278" customFormat="1" ht="11.25">
      <c r="A7" s="402"/>
      <c r="B7" s="305"/>
      <c r="C7" s="305"/>
      <c r="D7" s="305"/>
      <c r="E7" s="305"/>
      <c r="F7" s="305"/>
      <c r="G7" s="305"/>
      <c r="H7" s="305"/>
      <c r="I7" s="305"/>
      <c r="J7" s="305"/>
      <c r="K7" s="305" t="s">
        <v>677</v>
      </c>
      <c r="L7" s="305"/>
      <c r="N7" s="305"/>
      <c r="O7" s="305"/>
      <c r="P7" s="305"/>
    </row>
    <row r="8" spans="1:16" s="275" customFormat="1" ht="12.75">
      <c r="A8" s="446"/>
      <c r="B8" s="447"/>
      <c r="C8" s="447"/>
      <c r="D8" s="448"/>
      <c r="E8" s="448"/>
      <c r="F8" s="449" t="s">
        <v>678</v>
      </c>
      <c r="G8" s="409"/>
      <c r="H8" s="409"/>
      <c r="I8" s="450"/>
      <c r="J8" s="409"/>
      <c r="K8" s="409"/>
      <c r="L8" s="451"/>
      <c r="N8" s="272"/>
      <c r="O8" s="272"/>
      <c r="P8" s="272"/>
    </row>
    <row r="9" spans="1:12" s="339" customFormat="1" ht="11.25">
      <c r="A9" s="452"/>
      <c r="B9" s="453"/>
      <c r="C9" s="453"/>
      <c r="D9" s="412"/>
      <c r="E9" s="412"/>
      <c r="F9" s="412"/>
      <c r="G9" s="412"/>
      <c r="H9" s="454" t="s">
        <v>618</v>
      </c>
      <c r="I9" s="455"/>
      <c r="J9" s="412"/>
      <c r="K9" s="412"/>
      <c r="L9" s="456"/>
    </row>
    <row r="10" spans="1:16" ht="45">
      <c r="A10" s="452" t="s">
        <v>679</v>
      </c>
      <c r="B10" s="457" t="s">
        <v>680</v>
      </c>
      <c r="C10" s="457" t="s">
        <v>681</v>
      </c>
      <c r="D10" s="457" t="s">
        <v>682</v>
      </c>
      <c r="E10" s="457" t="s">
        <v>683</v>
      </c>
      <c r="F10" s="457" t="s">
        <v>27</v>
      </c>
      <c r="G10" s="457" t="s">
        <v>684</v>
      </c>
      <c r="H10" s="457" t="s">
        <v>629</v>
      </c>
      <c r="I10" s="457" t="s">
        <v>630</v>
      </c>
      <c r="J10" s="457" t="s">
        <v>37</v>
      </c>
      <c r="K10" s="457" t="s">
        <v>39</v>
      </c>
      <c r="L10" s="458" t="s">
        <v>685</v>
      </c>
      <c r="M10" s="362"/>
      <c r="N10" s="303"/>
      <c r="O10" s="303"/>
      <c r="P10" s="303"/>
    </row>
    <row r="11" spans="1:16" s="278" customFormat="1" ht="11.25">
      <c r="A11" s="459">
        <v>1</v>
      </c>
      <c r="B11" s="460">
        <v>2</v>
      </c>
      <c r="C11" s="460">
        <v>3</v>
      </c>
      <c r="D11" s="460">
        <v>4</v>
      </c>
      <c r="E11" s="460">
        <v>5</v>
      </c>
      <c r="F11" s="460">
        <v>6</v>
      </c>
      <c r="G11" s="460">
        <v>7</v>
      </c>
      <c r="H11" s="460">
        <v>8</v>
      </c>
      <c r="I11" s="460">
        <v>9</v>
      </c>
      <c r="J11" s="460">
        <v>10</v>
      </c>
      <c r="K11" s="460">
        <v>11</v>
      </c>
      <c r="L11" s="461">
        <v>12</v>
      </c>
      <c r="M11" s="343"/>
      <c r="N11" s="305"/>
      <c r="O11" s="305"/>
      <c r="P11" s="305"/>
    </row>
    <row r="12" spans="1:13" ht="12">
      <c r="A12" s="462" t="s">
        <v>634</v>
      </c>
      <c r="B12" s="429">
        <v>10382730</v>
      </c>
      <c r="C12" s="429">
        <v>9761593</v>
      </c>
      <c r="D12" s="429">
        <v>621137</v>
      </c>
      <c r="E12" s="429">
        <v>-621137</v>
      </c>
      <c r="F12" s="429">
        <v>0</v>
      </c>
      <c r="G12" s="429">
        <v>-621137</v>
      </c>
      <c r="H12" s="429">
        <v>3600041</v>
      </c>
      <c r="I12" s="429">
        <v>4221178</v>
      </c>
      <c r="J12" s="429">
        <v>0</v>
      </c>
      <c r="K12" s="429">
        <v>0</v>
      </c>
      <c r="L12" s="430">
        <v>0</v>
      </c>
      <c r="M12" s="463"/>
    </row>
    <row r="13" spans="1:13" ht="12">
      <c r="A13" s="462" t="s">
        <v>635</v>
      </c>
      <c r="B13" s="429">
        <v>1763268</v>
      </c>
      <c r="C13" s="429">
        <v>1725741</v>
      </c>
      <c r="D13" s="429">
        <v>37527</v>
      </c>
      <c r="E13" s="429">
        <v>-37527</v>
      </c>
      <c r="F13" s="429">
        <v>0</v>
      </c>
      <c r="G13" s="429">
        <v>-37527</v>
      </c>
      <c r="H13" s="429">
        <v>36619</v>
      </c>
      <c r="I13" s="429">
        <v>74146</v>
      </c>
      <c r="J13" s="429">
        <v>0</v>
      </c>
      <c r="K13" s="429">
        <v>0</v>
      </c>
      <c r="L13" s="430">
        <v>0</v>
      </c>
      <c r="M13" s="463"/>
    </row>
    <row r="14" spans="1:13" ht="12">
      <c r="A14" s="462" t="s">
        <v>636</v>
      </c>
      <c r="B14" s="429">
        <v>1047085</v>
      </c>
      <c r="C14" s="429">
        <v>1203221</v>
      </c>
      <c r="D14" s="429">
        <v>-156136</v>
      </c>
      <c r="E14" s="429">
        <v>156136</v>
      </c>
      <c r="F14" s="429">
        <v>0</v>
      </c>
      <c r="G14" s="429">
        <v>156136</v>
      </c>
      <c r="H14" s="429">
        <v>263775</v>
      </c>
      <c r="I14" s="429">
        <v>107639</v>
      </c>
      <c r="J14" s="429">
        <v>0</v>
      </c>
      <c r="K14" s="429">
        <v>0</v>
      </c>
      <c r="L14" s="430">
        <v>0</v>
      </c>
      <c r="M14" s="463">
        <v>0</v>
      </c>
    </row>
    <row r="15" spans="1:13" ht="12">
      <c r="A15" s="462" t="s">
        <v>637</v>
      </c>
      <c r="B15" s="429">
        <v>2244249</v>
      </c>
      <c r="C15" s="429">
        <v>2440205</v>
      </c>
      <c r="D15" s="429">
        <v>-195956</v>
      </c>
      <c r="E15" s="429">
        <v>195956</v>
      </c>
      <c r="F15" s="429">
        <v>0</v>
      </c>
      <c r="G15" s="429">
        <v>195956</v>
      </c>
      <c r="H15" s="429">
        <v>344938</v>
      </c>
      <c r="I15" s="429">
        <v>148982</v>
      </c>
      <c r="J15" s="429">
        <v>0</v>
      </c>
      <c r="K15" s="429">
        <v>0</v>
      </c>
      <c r="L15" s="430">
        <v>0</v>
      </c>
      <c r="M15" s="463">
        <v>0</v>
      </c>
    </row>
    <row r="16" spans="1:13" ht="12">
      <c r="A16" s="462" t="s">
        <v>638</v>
      </c>
      <c r="B16" s="429">
        <v>1365000</v>
      </c>
      <c r="C16" s="429">
        <v>1203723</v>
      </c>
      <c r="D16" s="429">
        <v>161277</v>
      </c>
      <c r="E16" s="429">
        <v>-161277</v>
      </c>
      <c r="F16" s="429">
        <v>0</v>
      </c>
      <c r="G16" s="429">
        <v>-161277</v>
      </c>
      <c r="H16" s="429">
        <v>150617</v>
      </c>
      <c r="I16" s="429">
        <v>311894</v>
      </c>
      <c r="J16" s="429">
        <v>0</v>
      </c>
      <c r="K16" s="429">
        <v>0</v>
      </c>
      <c r="L16" s="430">
        <v>0</v>
      </c>
      <c r="M16" s="463">
        <v>0</v>
      </c>
    </row>
    <row r="17" spans="1:13" ht="12">
      <c r="A17" s="462" t="s">
        <v>639</v>
      </c>
      <c r="B17" s="429">
        <v>355886</v>
      </c>
      <c r="C17" s="429">
        <v>337977</v>
      </c>
      <c r="D17" s="429">
        <v>17909</v>
      </c>
      <c r="E17" s="429">
        <v>-17909</v>
      </c>
      <c r="F17" s="429">
        <v>0</v>
      </c>
      <c r="G17" s="429">
        <v>-17909</v>
      </c>
      <c r="H17" s="429">
        <v>38765</v>
      </c>
      <c r="I17" s="429">
        <v>56674</v>
      </c>
      <c r="J17" s="429">
        <v>0</v>
      </c>
      <c r="K17" s="429">
        <v>0</v>
      </c>
      <c r="L17" s="430">
        <v>0</v>
      </c>
      <c r="M17" s="463">
        <v>0</v>
      </c>
    </row>
    <row r="18" spans="1:13" ht="12">
      <c r="A18" s="462" t="s">
        <v>640</v>
      </c>
      <c r="B18" s="429">
        <v>6854892</v>
      </c>
      <c r="C18" s="429">
        <v>7444669</v>
      </c>
      <c r="D18" s="429">
        <v>-589777</v>
      </c>
      <c r="E18" s="429">
        <v>589777</v>
      </c>
      <c r="F18" s="429">
        <v>0</v>
      </c>
      <c r="G18" s="429">
        <v>589777</v>
      </c>
      <c r="H18" s="429">
        <v>2268757</v>
      </c>
      <c r="I18" s="429">
        <v>1678980</v>
      </c>
      <c r="J18" s="429">
        <v>0</v>
      </c>
      <c r="K18" s="429">
        <v>0</v>
      </c>
      <c r="L18" s="430">
        <v>0</v>
      </c>
      <c r="M18" s="442">
        <v>0</v>
      </c>
    </row>
    <row r="19" spans="1:16" s="466" customFormat="1" ht="12.75">
      <c r="A19" s="464" t="s">
        <v>641</v>
      </c>
      <c r="B19" s="429">
        <f aca="true" t="shared" si="0" ref="B19:L19">SUM(B12:B18)</f>
        <v>24013000</v>
      </c>
      <c r="C19" s="429">
        <f t="shared" si="0"/>
        <v>24117000</v>
      </c>
      <c r="D19" s="429">
        <f t="shared" si="0"/>
        <v>-104000</v>
      </c>
      <c r="E19" s="429">
        <f t="shared" si="0"/>
        <v>104000</v>
      </c>
      <c r="F19" s="429">
        <f t="shared" si="0"/>
        <v>0</v>
      </c>
      <c r="G19" s="429">
        <f t="shared" si="0"/>
        <v>104000</v>
      </c>
      <c r="H19" s="429">
        <f t="shared" si="0"/>
        <v>6704000</v>
      </c>
      <c r="I19" s="429">
        <f t="shared" si="0"/>
        <v>6599000</v>
      </c>
      <c r="J19" s="429">
        <f t="shared" si="0"/>
        <v>0</v>
      </c>
      <c r="K19" s="429">
        <f t="shared" si="0"/>
        <v>0</v>
      </c>
      <c r="L19" s="430">
        <f t="shared" si="0"/>
        <v>0</v>
      </c>
      <c r="M19" s="465">
        <v>0</v>
      </c>
      <c r="N19" s="465"/>
      <c r="O19" s="465"/>
      <c r="P19" s="465"/>
    </row>
    <row r="20" spans="1:13" ht="12">
      <c r="A20" s="462" t="s">
        <v>643</v>
      </c>
      <c r="B20" s="429">
        <v>484041</v>
      </c>
      <c r="C20" s="429">
        <v>547627</v>
      </c>
      <c r="D20" s="429">
        <v>-63586</v>
      </c>
      <c r="E20" s="429">
        <v>63586</v>
      </c>
      <c r="F20" s="429">
        <v>0</v>
      </c>
      <c r="G20" s="429">
        <v>63586</v>
      </c>
      <c r="H20" s="429">
        <v>177557</v>
      </c>
      <c r="I20" s="429">
        <v>113971</v>
      </c>
      <c r="J20" s="429">
        <v>0</v>
      </c>
      <c r="K20" s="429">
        <v>0</v>
      </c>
      <c r="L20" s="430">
        <v>0</v>
      </c>
      <c r="M20" s="463">
        <v>0</v>
      </c>
    </row>
    <row r="21" spans="1:13" ht="12">
      <c r="A21" s="462" t="s">
        <v>644</v>
      </c>
      <c r="B21" s="429">
        <v>521252</v>
      </c>
      <c r="C21" s="429">
        <v>599288</v>
      </c>
      <c r="D21" s="429">
        <v>-78036</v>
      </c>
      <c r="E21" s="429">
        <v>78036</v>
      </c>
      <c r="F21" s="429">
        <v>0</v>
      </c>
      <c r="G21" s="429">
        <v>57757</v>
      </c>
      <c r="H21" s="429">
        <v>207851</v>
      </c>
      <c r="I21" s="429">
        <v>150094</v>
      </c>
      <c r="J21" s="429">
        <v>0</v>
      </c>
      <c r="K21" s="429">
        <v>20279</v>
      </c>
      <c r="L21" s="430">
        <v>0</v>
      </c>
      <c r="M21" s="463"/>
    </row>
    <row r="22" spans="1:13" ht="12">
      <c r="A22" s="462" t="s">
        <v>645</v>
      </c>
      <c r="B22" s="429">
        <v>553785</v>
      </c>
      <c r="C22" s="429">
        <v>689486</v>
      </c>
      <c r="D22" s="429">
        <v>-135701</v>
      </c>
      <c r="E22" s="429">
        <v>135701</v>
      </c>
      <c r="F22" s="429">
        <v>0</v>
      </c>
      <c r="G22" s="429">
        <v>135701</v>
      </c>
      <c r="H22" s="429">
        <v>207209</v>
      </c>
      <c r="I22" s="429">
        <v>71508</v>
      </c>
      <c r="J22" s="429">
        <v>0</v>
      </c>
      <c r="K22" s="429">
        <v>0</v>
      </c>
      <c r="L22" s="430">
        <v>0</v>
      </c>
      <c r="M22" s="463"/>
    </row>
    <row r="23" spans="1:13" ht="12">
      <c r="A23" s="462" t="s">
        <v>646</v>
      </c>
      <c r="B23" s="429">
        <v>554194</v>
      </c>
      <c r="C23" s="429">
        <v>668612</v>
      </c>
      <c r="D23" s="429">
        <v>-114418</v>
      </c>
      <c r="E23" s="429">
        <v>114418</v>
      </c>
      <c r="F23" s="429">
        <v>0</v>
      </c>
      <c r="G23" s="429">
        <v>114418</v>
      </c>
      <c r="H23" s="429">
        <v>214081</v>
      </c>
      <c r="I23" s="429">
        <v>99663</v>
      </c>
      <c r="J23" s="429">
        <v>0</v>
      </c>
      <c r="K23" s="429">
        <v>0</v>
      </c>
      <c r="L23" s="430">
        <v>0</v>
      </c>
      <c r="M23" s="463"/>
    </row>
    <row r="24" spans="1:13" ht="12">
      <c r="A24" s="462" t="s">
        <v>647</v>
      </c>
      <c r="B24" s="429">
        <v>914404</v>
      </c>
      <c r="C24" s="429">
        <v>1090177</v>
      </c>
      <c r="D24" s="429">
        <v>-175773</v>
      </c>
      <c r="E24" s="429">
        <v>175773</v>
      </c>
      <c r="F24" s="429">
        <v>750</v>
      </c>
      <c r="G24" s="429">
        <v>175023</v>
      </c>
      <c r="H24" s="429">
        <v>300636</v>
      </c>
      <c r="I24" s="429">
        <v>125613</v>
      </c>
      <c r="J24" s="429">
        <v>0</v>
      </c>
      <c r="K24" s="429">
        <v>0</v>
      </c>
      <c r="L24" s="430">
        <v>0</v>
      </c>
      <c r="M24" s="463"/>
    </row>
    <row r="25" spans="1:13" ht="12">
      <c r="A25" s="462" t="s">
        <v>648</v>
      </c>
      <c r="B25" s="429">
        <v>815450</v>
      </c>
      <c r="C25" s="429">
        <v>909156</v>
      </c>
      <c r="D25" s="429">
        <v>-93706</v>
      </c>
      <c r="E25" s="429">
        <v>93706</v>
      </c>
      <c r="F25" s="429">
        <v>0</v>
      </c>
      <c r="G25" s="429">
        <v>93706</v>
      </c>
      <c r="H25" s="429">
        <v>173160</v>
      </c>
      <c r="I25" s="429">
        <v>79454</v>
      </c>
      <c r="J25" s="429">
        <v>0</v>
      </c>
      <c r="K25" s="429">
        <v>0</v>
      </c>
      <c r="L25" s="430">
        <v>0</v>
      </c>
      <c r="M25" s="463"/>
    </row>
    <row r="26" spans="1:13" ht="12">
      <c r="A26" s="462" t="s">
        <v>649</v>
      </c>
      <c r="B26" s="429">
        <v>543929</v>
      </c>
      <c r="C26" s="429">
        <v>733672</v>
      </c>
      <c r="D26" s="429">
        <v>-189743</v>
      </c>
      <c r="E26" s="429">
        <v>189743</v>
      </c>
      <c r="F26" s="429">
        <v>0</v>
      </c>
      <c r="G26" s="429">
        <v>189743</v>
      </c>
      <c r="H26" s="429">
        <v>250003</v>
      </c>
      <c r="I26" s="429">
        <v>60260</v>
      </c>
      <c r="J26" s="429">
        <v>0</v>
      </c>
      <c r="K26" s="429">
        <v>0</v>
      </c>
      <c r="L26" s="430">
        <v>0</v>
      </c>
      <c r="M26" s="463"/>
    </row>
    <row r="27" spans="1:13" ht="12">
      <c r="A27" s="462" t="s">
        <v>650</v>
      </c>
      <c r="B27" s="429">
        <v>444876</v>
      </c>
      <c r="C27" s="429">
        <v>493328</v>
      </c>
      <c r="D27" s="429">
        <v>-48452</v>
      </c>
      <c r="E27" s="429">
        <v>48452</v>
      </c>
      <c r="F27" s="429">
        <v>1693</v>
      </c>
      <c r="G27" s="429">
        <v>46759</v>
      </c>
      <c r="H27" s="429">
        <v>115567</v>
      </c>
      <c r="I27" s="429">
        <v>68808</v>
      </c>
      <c r="J27" s="429">
        <v>0</v>
      </c>
      <c r="K27" s="429">
        <v>0</v>
      </c>
      <c r="L27" s="430">
        <v>0</v>
      </c>
      <c r="M27" s="463"/>
    </row>
    <row r="28" spans="1:13" ht="12">
      <c r="A28" s="462" t="s">
        <v>651</v>
      </c>
      <c r="B28" s="429">
        <v>896512</v>
      </c>
      <c r="C28" s="429">
        <v>939278</v>
      </c>
      <c r="D28" s="429">
        <v>-42766</v>
      </c>
      <c r="E28" s="429">
        <v>42766</v>
      </c>
      <c r="F28" s="429">
        <v>-1000</v>
      </c>
      <c r="G28" s="429">
        <v>89539</v>
      </c>
      <c r="H28" s="429">
        <v>199657</v>
      </c>
      <c r="I28" s="429">
        <v>110118</v>
      </c>
      <c r="J28" s="429">
        <v>-45773</v>
      </c>
      <c r="K28" s="429">
        <v>0</v>
      </c>
      <c r="L28" s="430">
        <v>0</v>
      </c>
      <c r="M28" s="463"/>
    </row>
    <row r="29" spans="1:13" ht="12">
      <c r="A29" s="462" t="s">
        <v>652</v>
      </c>
      <c r="B29" s="429">
        <v>838490</v>
      </c>
      <c r="C29" s="429">
        <v>907872</v>
      </c>
      <c r="D29" s="429">
        <v>-69382</v>
      </c>
      <c r="E29" s="429">
        <v>69382</v>
      </c>
      <c r="F29" s="429">
        <v>0</v>
      </c>
      <c r="G29" s="429">
        <v>69382</v>
      </c>
      <c r="H29" s="429">
        <v>170686</v>
      </c>
      <c r="I29" s="429">
        <v>101304</v>
      </c>
      <c r="J29" s="429">
        <v>0</v>
      </c>
      <c r="K29" s="429">
        <v>0</v>
      </c>
      <c r="L29" s="430">
        <v>0</v>
      </c>
      <c r="M29" s="463"/>
    </row>
    <row r="30" spans="1:13" ht="12">
      <c r="A30" s="462" t="s">
        <v>653</v>
      </c>
      <c r="B30" s="429">
        <v>797024</v>
      </c>
      <c r="C30" s="429">
        <v>958164</v>
      </c>
      <c r="D30" s="429">
        <v>-161140</v>
      </c>
      <c r="E30" s="429">
        <v>161140</v>
      </c>
      <c r="F30" s="429">
        <v>5000</v>
      </c>
      <c r="G30" s="429">
        <v>156140</v>
      </c>
      <c r="H30" s="429">
        <v>256279</v>
      </c>
      <c r="I30" s="429">
        <v>100139</v>
      </c>
      <c r="J30" s="429">
        <v>0</v>
      </c>
      <c r="K30" s="429">
        <v>0</v>
      </c>
      <c r="L30" s="430">
        <v>0</v>
      </c>
      <c r="M30" s="463"/>
    </row>
    <row r="31" spans="1:13" ht="12">
      <c r="A31" s="462" t="s">
        <v>654</v>
      </c>
      <c r="B31" s="429">
        <v>1285583</v>
      </c>
      <c r="C31" s="429">
        <v>1397587</v>
      </c>
      <c r="D31" s="429">
        <v>-112004</v>
      </c>
      <c r="E31" s="429">
        <v>112004</v>
      </c>
      <c r="F31" s="429">
        <v>-23660</v>
      </c>
      <c r="G31" s="429">
        <v>135664</v>
      </c>
      <c r="H31" s="429">
        <v>272963</v>
      </c>
      <c r="I31" s="429">
        <v>137299</v>
      </c>
      <c r="J31" s="429">
        <v>0</v>
      </c>
      <c r="K31" s="429">
        <v>0</v>
      </c>
      <c r="L31" s="430">
        <v>0</v>
      </c>
      <c r="M31" s="463"/>
    </row>
    <row r="32" spans="1:13" ht="12">
      <c r="A32" s="462" t="s">
        <v>655</v>
      </c>
      <c r="B32" s="429">
        <v>1054121</v>
      </c>
      <c r="C32" s="429">
        <v>1132210</v>
      </c>
      <c r="D32" s="429">
        <v>-78089</v>
      </c>
      <c r="E32" s="429">
        <v>78089</v>
      </c>
      <c r="F32" s="429">
        <v>0</v>
      </c>
      <c r="G32" s="429">
        <v>81575</v>
      </c>
      <c r="H32" s="429">
        <v>229569</v>
      </c>
      <c r="I32" s="429">
        <v>147994</v>
      </c>
      <c r="J32" s="429">
        <v>0</v>
      </c>
      <c r="K32" s="429">
        <v>-3486</v>
      </c>
      <c r="L32" s="430">
        <v>0</v>
      </c>
      <c r="M32" s="463"/>
    </row>
    <row r="33" spans="1:13" ht="12">
      <c r="A33" s="462" t="s">
        <v>656</v>
      </c>
      <c r="B33" s="429">
        <v>821749</v>
      </c>
      <c r="C33" s="429">
        <v>1005428</v>
      </c>
      <c r="D33" s="429">
        <v>-183679</v>
      </c>
      <c r="E33" s="429">
        <v>183679</v>
      </c>
      <c r="F33" s="429">
        <v>-1000</v>
      </c>
      <c r="G33" s="429">
        <v>184679</v>
      </c>
      <c r="H33" s="429">
        <v>310507</v>
      </c>
      <c r="I33" s="429">
        <v>125828</v>
      </c>
      <c r="J33" s="429">
        <v>0</v>
      </c>
      <c r="K33" s="429">
        <v>0</v>
      </c>
      <c r="L33" s="430">
        <v>0</v>
      </c>
      <c r="M33" s="463"/>
    </row>
    <row r="34" spans="1:13" ht="12">
      <c r="A34" s="462" t="s">
        <v>657</v>
      </c>
      <c r="B34" s="429">
        <v>569209</v>
      </c>
      <c r="C34" s="429">
        <v>736753</v>
      </c>
      <c r="D34" s="429">
        <v>-167544</v>
      </c>
      <c r="E34" s="429">
        <v>167544</v>
      </c>
      <c r="F34" s="429">
        <v>13240</v>
      </c>
      <c r="G34" s="429">
        <v>154304</v>
      </c>
      <c r="H34" s="429">
        <v>308338</v>
      </c>
      <c r="I34" s="429">
        <v>154034</v>
      </c>
      <c r="J34" s="429">
        <v>0</v>
      </c>
      <c r="K34" s="429">
        <v>0</v>
      </c>
      <c r="L34" s="430">
        <v>0</v>
      </c>
      <c r="M34" s="463"/>
    </row>
    <row r="35" spans="1:13" ht="12">
      <c r="A35" s="462" t="s">
        <v>658</v>
      </c>
      <c r="B35" s="429">
        <v>709033</v>
      </c>
      <c r="C35" s="429">
        <v>800997</v>
      </c>
      <c r="D35" s="429">
        <v>-91964</v>
      </c>
      <c r="E35" s="429">
        <v>91964</v>
      </c>
      <c r="F35" s="429">
        <v>-10000</v>
      </c>
      <c r="G35" s="429">
        <v>100964</v>
      </c>
      <c r="H35" s="429">
        <v>251097</v>
      </c>
      <c r="I35" s="429">
        <v>150133</v>
      </c>
      <c r="J35" s="429">
        <v>0</v>
      </c>
      <c r="K35" s="429">
        <v>0</v>
      </c>
      <c r="L35" s="430">
        <v>0</v>
      </c>
      <c r="M35" s="463"/>
    </row>
    <row r="36" spans="1:13" ht="12">
      <c r="A36" s="462" t="s">
        <v>659</v>
      </c>
      <c r="B36" s="429">
        <v>944200</v>
      </c>
      <c r="C36" s="429">
        <v>1075244</v>
      </c>
      <c r="D36" s="429">
        <v>-131044</v>
      </c>
      <c r="E36" s="429">
        <v>131044</v>
      </c>
      <c r="F36" s="429">
        <v>0</v>
      </c>
      <c r="G36" s="429">
        <v>134594</v>
      </c>
      <c r="H36" s="429">
        <v>325801</v>
      </c>
      <c r="I36" s="429">
        <v>191207</v>
      </c>
      <c r="J36" s="429">
        <v>0</v>
      </c>
      <c r="K36" s="429">
        <v>-3550</v>
      </c>
      <c r="L36" s="430">
        <v>0</v>
      </c>
      <c r="M36" s="463"/>
    </row>
    <row r="37" spans="1:13" ht="12">
      <c r="A37" s="462" t="s">
        <v>660</v>
      </c>
      <c r="B37" s="429">
        <v>1058756</v>
      </c>
      <c r="C37" s="429">
        <v>1151294</v>
      </c>
      <c r="D37" s="429">
        <v>-92538</v>
      </c>
      <c r="E37" s="429">
        <v>92538</v>
      </c>
      <c r="F37" s="429">
        <v>0</v>
      </c>
      <c r="G37" s="429">
        <v>92538</v>
      </c>
      <c r="H37" s="429">
        <v>167543</v>
      </c>
      <c r="I37" s="429">
        <v>75005</v>
      </c>
      <c r="J37" s="429">
        <v>0</v>
      </c>
      <c r="K37" s="429">
        <v>0</v>
      </c>
      <c r="L37" s="430">
        <v>0</v>
      </c>
      <c r="M37" s="463"/>
    </row>
    <row r="38" spans="1:13" ht="12">
      <c r="A38" s="462" t="s">
        <v>661</v>
      </c>
      <c r="B38" s="429">
        <v>437970</v>
      </c>
      <c r="C38" s="429">
        <v>509271</v>
      </c>
      <c r="D38" s="429">
        <v>-71301</v>
      </c>
      <c r="E38" s="429">
        <v>71301</v>
      </c>
      <c r="F38" s="429">
        <v>0</v>
      </c>
      <c r="G38" s="429">
        <v>71301</v>
      </c>
      <c r="H38" s="429">
        <v>194456</v>
      </c>
      <c r="I38" s="429">
        <v>123155</v>
      </c>
      <c r="J38" s="429">
        <v>0</v>
      </c>
      <c r="K38" s="429">
        <v>0</v>
      </c>
      <c r="L38" s="430">
        <v>0</v>
      </c>
      <c r="M38" s="463"/>
    </row>
    <row r="39" spans="1:13" ht="12">
      <c r="A39" s="462" t="s">
        <v>662</v>
      </c>
      <c r="B39" s="429">
        <v>2628000</v>
      </c>
      <c r="C39" s="429">
        <v>2852096</v>
      </c>
      <c r="D39" s="429">
        <v>-224799</v>
      </c>
      <c r="E39" s="429">
        <v>224799</v>
      </c>
      <c r="F39" s="429">
        <v>0</v>
      </c>
      <c r="G39" s="429">
        <v>224799</v>
      </c>
      <c r="H39" s="429">
        <v>588844</v>
      </c>
      <c r="I39" s="429">
        <v>364045</v>
      </c>
      <c r="J39" s="429">
        <v>0</v>
      </c>
      <c r="K39" s="429">
        <v>0</v>
      </c>
      <c r="L39" s="430">
        <v>0</v>
      </c>
      <c r="M39" s="463"/>
    </row>
    <row r="40" spans="1:13" ht="12">
      <c r="A40" s="462" t="s">
        <v>663</v>
      </c>
      <c r="B40" s="429">
        <v>532189</v>
      </c>
      <c r="C40" s="429">
        <v>632959</v>
      </c>
      <c r="D40" s="429">
        <v>-100770</v>
      </c>
      <c r="E40" s="429">
        <v>100770</v>
      </c>
      <c r="F40" s="429">
        <v>584</v>
      </c>
      <c r="G40" s="429">
        <v>100186</v>
      </c>
      <c r="H40" s="429">
        <v>293897</v>
      </c>
      <c r="I40" s="429">
        <v>193711</v>
      </c>
      <c r="J40" s="429">
        <v>0</v>
      </c>
      <c r="K40" s="429">
        <v>0</v>
      </c>
      <c r="L40" s="430">
        <v>0</v>
      </c>
      <c r="M40" s="463"/>
    </row>
    <row r="41" spans="1:13" ht="12">
      <c r="A41" s="462" t="s">
        <v>664</v>
      </c>
      <c r="B41" s="429">
        <v>1379374</v>
      </c>
      <c r="C41" s="429">
        <v>1466635</v>
      </c>
      <c r="D41" s="429">
        <v>-87261</v>
      </c>
      <c r="E41" s="429">
        <v>87261</v>
      </c>
      <c r="F41" s="429">
        <v>0</v>
      </c>
      <c r="G41" s="429">
        <v>88000</v>
      </c>
      <c r="H41" s="429">
        <v>267925</v>
      </c>
      <c r="I41" s="429">
        <v>180664</v>
      </c>
      <c r="J41" s="429">
        <v>0</v>
      </c>
      <c r="K41" s="429">
        <v>0</v>
      </c>
      <c r="L41" s="430">
        <v>0</v>
      </c>
      <c r="M41" s="463"/>
    </row>
    <row r="42" spans="1:13" ht="12">
      <c r="A42" s="462" t="s">
        <v>665</v>
      </c>
      <c r="B42" s="429">
        <v>1099121</v>
      </c>
      <c r="C42" s="429">
        <v>995779</v>
      </c>
      <c r="D42" s="429">
        <v>103342</v>
      </c>
      <c r="E42" s="429">
        <v>-103342</v>
      </c>
      <c r="F42" s="429">
        <v>21040</v>
      </c>
      <c r="G42" s="429">
        <v>-124382</v>
      </c>
      <c r="H42" s="429">
        <v>205056</v>
      </c>
      <c r="I42" s="429">
        <v>329438</v>
      </c>
      <c r="J42" s="429">
        <v>0</v>
      </c>
      <c r="K42" s="429">
        <v>0</v>
      </c>
      <c r="L42" s="430">
        <v>0</v>
      </c>
      <c r="M42" s="463"/>
    </row>
    <row r="43" spans="1:13" ht="12">
      <c r="A43" s="462" t="s">
        <v>666</v>
      </c>
      <c r="B43" s="429">
        <v>485776</v>
      </c>
      <c r="C43" s="429">
        <v>535499</v>
      </c>
      <c r="D43" s="429">
        <v>-49723</v>
      </c>
      <c r="E43" s="429">
        <v>49723</v>
      </c>
      <c r="F43" s="429">
        <v>0</v>
      </c>
      <c r="G43" s="429">
        <v>49723</v>
      </c>
      <c r="H43" s="429">
        <v>143314</v>
      </c>
      <c r="I43" s="429">
        <v>93591</v>
      </c>
      <c r="J43" s="429">
        <v>0</v>
      </c>
      <c r="K43" s="429">
        <v>0</v>
      </c>
      <c r="L43" s="430">
        <v>0</v>
      </c>
      <c r="M43" s="463"/>
    </row>
    <row r="44" spans="1:13" ht="12">
      <c r="A44" s="462" t="s">
        <v>667</v>
      </c>
      <c r="B44" s="429">
        <v>752901</v>
      </c>
      <c r="C44" s="429">
        <v>882658</v>
      </c>
      <c r="D44" s="429">
        <v>-129757</v>
      </c>
      <c r="E44" s="429">
        <v>129757</v>
      </c>
      <c r="F44" s="429">
        <v>0</v>
      </c>
      <c r="G44" s="429">
        <v>129757</v>
      </c>
      <c r="H44" s="429">
        <v>288716</v>
      </c>
      <c r="I44" s="429">
        <v>158959</v>
      </c>
      <c r="J44" s="429">
        <v>0</v>
      </c>
      <c r="K44" s="429">
        <v>0</v>
      </c>
      <c r="L44" s="430">
        <v>0</v>
      </c>
      <c r="M44" s="463"/>
    </row>
    <row r="45" spans="1:13" ht="12">
      <c r="A45" s="462" t="s">
        <v>668</v>
      </c>
      <c r="B45" s="429">
        <v>560182</v>
      </c>
      <c r="C45" s="429">
        <v>746752</v>
      </c>
      <c r="D45" s="429">
        <v>-186570</v>
      </c>
      <c r="E45" s="429">
        <v>186570</v>
      </c>
      <c r="F45" s="429">
        <v>0</v>
      </c>
      <c r="G45" s="429">
        <v>186570</v>
      </c>
      <c r="H45" s="429">
        <v>320307</v>
      </c>
      <c r="I45" s="429">
        <v>133737</v>
      </c>
      <c r="J45" s="429">
        <v>0</v>
      </c>
      <c r="K45" s="429">
        <v>0</v>
      </c>
      <c r="L45" s="430">
        <v>0</v>
      </c>
      <c r="M45" s="463"/>
    </row>
    <row r="46" spans="1:12" ht="12.75">
      <c r="A46" s="464" t="s">
        <v>669</v>
      </c>
      <c r="B46" s="429">
        <f aca="true" t="shared" si="1" ref="B46:L46">SUM(B20:B45)</f>
        <v>21682000</v>
      </c>
      <c r="C46" s="429">
        <f t="shared" si="1"/>
        <v>24458000</v>
      </c>
      <c r="D46" s="429">
        <f t="shared" si="1"/>
        <v>-2776000</v>
      </c>
      <c r="E46" s="429">
        <f t="shared" si="1"/>
        <v>2776000</v>
      </c>
      <c r="F46" s="429">
        <f t="shared" si="1"/>
        <v>7000</v>
      </c>
      <c r="G46" s="429">
        <f t="shared" si="1"/>
        <v>2802000</v>
      </c>
      <c r="H46" s="429">
        <f t="shared" si="1"/>
        <v>6441000</v>
      </c>
      <c r="I46" s="429">
        <f t="shared" si="1"/>
        <v>3640000</v>
      </c>
      <c r="J46" s="429">
        <f t="shared" si="1"/>
        <v>-46000</v>
      </c>
      <c r="K46" s="429">
        <f t="shared" si="1"/>
        <v>13000</v>
      </c>
      <c r="L46" s="430">
        <f t="shared" si="1"/>
        <v>0</v>
      </c>
    </row>
    <row r="47" spans="1:12" ht="12.75">
      <c r="A47" s="467" t="s">
        <v>670</v>
      </c>
      <c r="B47" s="434">
        <f aca="true" t="shared" si="2" ref="B47:L47">SUM(B46,B19)</f>
        <v>45695000</v>
      </c>
      <c r="C47" s="434">
        <f t="shared" si="2"/>
        <v>48575000</v>
      </c>
      <c r="D47" s="434">
        <f t="shared" si="2"/>
        <v>-2880000</v>
      </c>
      <c r="E47" s="434">
        <f t="shared" si="2"/>
        <v>2880000</v>
      </c>
      <c r="F47" s="434">
        <f t="shared" si="2"/>
        <v>7000</v>
      </c>
      <c r="G47" s="434">
        <f t="shared" si="2"/>
        <v>2906000</v>
      </c>
      <c r="H47" s="434">
        <f t="shared" si="2"/>
        <v>13145000</v>
      </c>
      <c r="I47" s="434">
        <f t="shared" si="2"/>
        <v>10239000</v>
      </c>
      <c r="J47" s="434">
        <f t="shared" si="2"/>
        <v>-46000</v>
      </c>
      <c r="K47" s="434">
        <f t="shared" si="2"/>
        <v>13000</v>
      </c>
      <c r="L47" s="435">
        <f t="shared" si="2"/>
        <v>0</v>
      </c>
    </row>
    <row r="48" spans="1:12" ht="12.75">
      <c r="A48" s="468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</row>
    <row r="49" s="437" customFormat="1" ht="12">
      <c r="A49" s="436" t="s">
        <v>671</v>
      </c>
    </row>
    <row r="54" spans="1:11" s="336" customFormat="1" ht="11.25" customHeight="1">
      <c r="A54" s="443" t="s">
        <v>540</v>
      </c>
      <c r="H54" s="336" t="s">
        <v>673</v>
      </c>
      <c r="K54" s="336" t="s">
        <v>500</v>
      </c>
    </row>
    <row r="55" spans="1:16" s="437" customFormat="1" ht="12">
      <c r="A55" s="470"/>
      <c r="B55" s="356"/>
      <c r="C55" s="336"/>
      <c r="D55" s="356"/>
      <c r="E55" s="356"/>
      <c r="F55" s="356"/>
      <c r="G55" s="336"/>
      <c r="H55" s="440"/>
      <c r="I55" s="356"/>
      <c r="J55" s="356"/>
      <c r="K55" s="356"/>
      <c r="L55" s="356"/>
      <c r="M55" s="356"/>
      <c r="N55" s="356"/>
      <c r="O55" s="356"/>
      <c r="P55" s="356"/>
    </row>
    <row r="56" spans="1:8" s="474" customFormat="1" ht="11.25">
      <c r="A56" s="471"/>
      <c r="B56" s="472"/>
      <c r="C56" s="274"/>
      <c r="D56" s="473"/>
      <c r="E56" s="274"/>
      <c r="F56" s="473"/>
      <c r="G56" s="473"/>
      <c r="H56" s="274"/>
    </row>
    <row r="57" spans="1:9" s="442" customFormat="1" ht="12.75">
      <c r="A57" s="394"/>
      <c r="B57" s="475"/>
      <c r="C57" s="274"/>
      <c r="D57" s="476"/>
      <c r="E57" s="476"/>
      <c r="G57" s="477"/>
      <c r="I57" s="437"/>
    </row>
    <row r="58" spans="1:16" s="437" customFormat="1" ht="12">
      <c r="A58" s="470"/>
      <c r="B58" s="356"/>
      <c r="C58" s="336"/>
      <c r="D58" s="356"/>
      <c r="E58" s="356"/>
      <c r="F58" s="356"/>
      <c r="G58" s="336"/>
      <c r="H58" s="440"/>
      <c r="I58" s="356"/>
      <c r="J58" s="356"/>
      <c r="K58" s="356"/>
      <c r="L58" s="356"/>
      <c r="M58" s="356"/>
      <c r="N58" s="356"/>
      <c r="O58" s="356"/>
      <c r="P58" s="356"/>
    </row>
    <row r="59" s="442" customFormat="1" ht="11.25">
      <c r="A59" s="441"/>
    </row>
    <row r="60" spans="1:6" s="442" customFormat="1" ht="11.25">
      <c r="A60" s="441"/>
      <c r="B60" s="274"/>
      <c r="C60" s="274"/>
      <c r="D60" s="274"/>
      <c r="E60" s="274"/>
      <c r="F60" s="274"/>
    </row>
    <row r="67" ht="11.25">
      <c r="A67" s="343" t="s">
        <v>501</v>
      </c>
    </row>
    <row r="68" s="343" customFormat="1" ht="11.25">
      <c r="A68" s="294" t="s">
        <v>502</v>
      </c>
    </row>
    <row r="69" ht="11.25">
      <c r="A69" s="294"/>
    </row>
  </sheetData>
  <printOptions/>
  <pageMargins left="0.7" right="0.2362204724409449" top="0.78" bottom="0.75" header="0.18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A18" sqref="A18"/>
    </sheetView>
  </sheetViews>
  <sheetFormatPr defaultColWidth="9.140625" defaultRowHeight="12.75"/>
  <cols>
    <col min="1" max="1" width="52.421875" style="0" customWidth="1"/>
    <col min="2" max="2" width="10.7109375" style="0" customWidth="1"/>
    <col min="3" max="3" width="10.57421875" style="0" customWidth="1"/>
    <col min="4" max="4" width="9.00390625" style="0" customWidth="1"/>
    <col min="5" max="5" width="9.421875" style="0" customWidth="1"/>
  </cols>
  <sheetData>
    <row r="1" spans="1:5" ht="12.75">
      <c r="A1" s="49"/>
      <c r="B1" s="81"/>
      <c r="C1" s="49"/>
      <c r="D1" s="49"/>
      <c r="E1" s="49" t="s">
        <v>95</v>
      </c>
    </row>
    <row r="2" spans="1:5" ht="12.75">
      <c r="A2" s="35" t="s">
        <v>96</v>
      </c>
      <c r="B2" s="82"/>
      <c r="C2" s="35"/>
      <c r="D2" s="35"/>
      <c r="E2" s="35"/>
    </row>
    <row r="3" spans="1:5" ht="12.75">
      <c r="A3" s="49"/>
      <c r="B3" s="81"/>
      <c r="C3" s="49"/>
      <c r="D3" s="49"/>
      <c r="E3" s="49"/>
    </row>
    <row r="4" spans="1:5" ht="15.75">
      <c r="A4" s="270" t="s">
        <v>97</v>
      </c>
      <c r="B4" s="270"/>
      <c r="C4" s="270"/>
      <c r="D4" s="270"/>
      <c r="E4" s="270"/>
    </row>
    <row r="5" spans="1:5" ht="18">
      <c r="A5" s="47"/>
      <c r="B5" s="82"/>
      <c r="C5" s="35"/>
      <c r="D5" s="42"/>
      <c r="E5" s="42" t="s">
        <v>98</v>
      </c>
    </row>
    <row r="6" spans="1:5" ht="45">
      <c r="A6" s="4" t="s">
        <v>2</v>
      </c>
      <c r="B6" s="83" t="s">
        <v>99</v>
      </c>
      <c r="C6" s="4" t="s">
        <v>100</v>
      </c>
      <c r="D6" s="4" t="s">
        <v>101</v>
      </c>
      <c r="E6" s="4" t="s">
        <v>102</v>
      </c>
    </row>
    <row r="7" spans="1:5" ht="12.75">
      <c r="A7" s="4">
        <v>1</v>
      </c>
      <c r="B7" s="83">
        <v>2</v>
      </c>
      <c r="C7" s="4">
        <v>3</v>
      </c>
      <c r="D7" s="4">
        <v>4</v>
      </c>
      <c r="E7" s="4">
        <v>5</v>
      </c>
    </row>
    <row r="8" spans="1:5" ht="12.75">
      <c r="A8" s="29" t="s">
        <v>103</v>
      </c>
      <c r="B8" s="84">
        <v>1289991</v>
      </c>
      <c r="C8" s="84">
        <v>1277106</v>
      </c>
      <c r="D8" s="85">
        <v>0.99</v>
      </c>
      <c r="E8" s="84">
        <v>124247</v>
      </c>
    </row>
    <row r="9" spans="1:5" ht="12.75">
      <c r="A9" s="86" t="s">
        <v>104</v>
      </c>
      <c r="B9" s="87">
        <v>632187</v>
      </c>
      <c r="C9" s="87">
        <v>648095</v>
      </c>
      <c r="D9" s="88">
        <v>1.025</v>
      </c>
      <c r="E9" s="87">
        <v>55226</v>
      </c>
    </row>
    <row r="10" spans="1:5" ht="12.75">
      <c r="A10" s="89" t="s">
        <v>105</v>
      </c>
      <c r="B10" s="90">
        <v>515298</v>
      </c>
      <c r="C10" s="90">
        <v>532086</v>
      </c>
      <c r="D10" s="91">
        <v>1.033</v>
      </c>
      <c r="E10" s="90">
        <v>43150</v>
      </c>
    </row>
    <row r="11" spans="1:5" ht="12.75">
      <c r="A11" s="92" t="s">
        <v>106</v>
      </c>
      <c r="B11" s="90">
        <v>85300</v>
      </c>
      <c r="C11" s="90">
        <v>92211</v>
      </c>
      <c r="D11" s="91">
        <v>1.081</v>
      </c>
      <c r="E11" s="90">
        <v>8202</v>
      </c>
    </row>
    <row r="12" spans="1:5" ht="12.75">
      <c r="A12" s="93" t="s">
        <v>107</v>
      </c>
      <c r="B12" s="90">
        <v>85300</v>
      </c>
      <c r="C12" s="90">
        <v>92211</v>
      </c>
      <c r="D12" s="91">
        <v>1.081</v>
      </c>
      <c r="E12" s="90">
        <v>8202</v>
      </c>
    </row>
    <row r="13" spans="1:5" ht="12.75">
      <c r="A13" s="92" t="s">
        <v>108</v>
      </c>
      <c r="B13" s="90">
        <v>429998</v>
      </c>
      <c r="C13" s="90">
        <v>437862</v>
      </c>
      <c r="D13" s="91">
        <v>1.018</v>
      </c>
      <c r="E13" s="90">
        <v>39211</v>
      </c>
    </row>
    <row r="14" spans="1:5" ht="12.75">
      <c r="A14" s="94" t="s">
        <v>109</v>
      </c>
      <c r="B14" s="90">
        <v>307332</v>
      </c>
      <c r="C14" s="90">
        <v>316206</v>
      </c>
      <c r="D14" s="91">
        <v>1.029</v>
      </c>
      <c r="E14" s="90">
        <v>30139</v>
      </c>
    </row>
    <row r="15" spans="1:5" ht="12.75">
      <c r="A15" s="93" t="s">
        <v>110</v>
      </c>
      <c r="B15" s="90">
        <v>107751</v>
      </c>
      <c r="C15" s="90">
        <v>105583</v>
      </c>
      <c r="D15" s="91">
        <v>0.98</v>
      </c>
      <c r="E15" s="90">
        <v>7308</v>
      </c>
    </row>
    <row r="16" spans="1:5" ht="12.75">
      <c r="A16" s="93" t="s">
        <v>111</v>
      </c>
      <c r="B16" s="90">
        <v>14915</v>
      </c>
      <c r="C16" s="90">
        <v>16073</v>
      </c>
      <c r="D16" s="91">
        <v>1.078</v>
      </c>
      <c r="E16" s="90">
        <v>1764</v>
      </c>
    </row>
    <row r="17" spans="1:5" ht="12.75">
      <c r="A17" s="92" t="s">
        <v>112</v>
      </c>
      <c r="B17" s="90">
        <v>0</v>
      </c>
      <c r="C17" s="90">
        <v>2013</v>
      </c>
      <c r="D17" s="91" t="s">
        <v>113</v>
      </c>
      <c r="E17" s="90">
        <v>-4263</v>
      </c>
    </row>
    <row r="18" spans="1:5" ht="12.75">
      <c r="A18" s="89" t="s">
        <v>114</v>
      </c>
      <c r="B18" s="90">
        <v>49528</v>
      </c>
      <c r="C18" s="90">
        <v>54310</v>
      </c>
      <c r="D18" s="91">
        <v>1.097</v>
      </c>
      <c r="E18" s="90">
        <v>5469</v>
      </c>
    </row>
    <row r="19" spans="1:5" ht="12.75">
      <c r="A19" s="95" t="s">
        <v>115</v>
      </c>
      <c r="B19" s="90">
        <v>67361</v>
      </c>
      <c r="C19" s="90">
        <v>61699</v>
      </c>
      <c r="D19" s="91">
        <v>0.916</v>
      </c>
      <c r="E19" s="90">
        <v>6607</v>
      </c>
    </row>
    <row r="20" spans="1:5" ht="12.75">
      <c r="A20" s="96" t="s">
        <v>116</v>
      </c>
      <c r="B20" s="97">
        <v>12140</v>
      </c>
      <c r="C20" s="97">
        <v>11960</v>
      </c>
      <c r="D20" s="98">
        <v>0.985</v>
      </c>
      <c r="E20" s="97">
        <v>1100</v>
      </c>
    </row>
    <row r="21" spans="1:5" ht="12.75">
      <c r="A21" s="86" t="s">
        <v>117</v>
      </c>
      <c r="B21" s="87">
        <v>620047</v>
      </c>
      <c r="C21" s="87">
        <v>636135</v>
      </c>
      <c r="D21" s="88">
        <v>1.026</v>
      </c>
      <c r="E21" s="87">
        <v>54126</v>
      </c>
    </row>
    <row r="22" spans="1:5" ht="12.75">
      <c r="A22" s="99" t="s">
        <v>118</v>
      </c>
      <c r="B22" s="87">
        <v>732872</v>
      </c>
      <c r="C22" s="87">
        <v>703899</v>
      </c>
      <c r="D22" s="88">
        <v>0.96</v>
      </c>
      <c r="E22" s="87">
        <v>73984</v>
      </c>
    </row>
    <row r="23" spans="1:5" ht="12.75">
      <c r="A23" s="89" t="s">
        <v>119</v>
      </c>
      <c r="B23" s="90">
        <v>732872</v>
      </c>
      <c r="C23" s="90">
        <v>703899</v>
      </c>
      <c r="D23" s="91">
        <v>0.96</v>
      </c>
      <c r="E23" s="90">
        <v>73984</v>
      </c>
    </row>
    <row r="24" spans="1:5" ht="12.75">
      <c r="A24" s="93" t="s">
        <v>120</v>
      </c>
      <c r="B24" s="90">
        <v>445682</v>
      </c>
      <c r="C24" s="90">
        <v>452622</v>
      </c>
      <c r="D24" s="91">
        <v>1.016</v>
      </c>
      <c r="E24" s="90">
        <v>47910</v>
      </c>
    </row>
    <row r="25" spans="1:5" ht="12.75">
      <c r="A25" s="100" t="s">
        <v>121</v>
      </c>
      <c r="B25" s="90">
        <v>54249</v>
      </c>
      <c r="C25" s="90">
        <v>49520</v>
      </c>
      <c r="D25" s="91">
        <v>0.913</v>
      </c>
      <c r="E25" s="90">
        <v>5738</v>
      </c>
    </row>
    <row r="26" spans="1:5" ht="12.75">
      <c r="A26" s="100" t="s">
        <v>122</v>
      </c>
      <c r="B26" s="90">
        <v>71126</v>
      </c>
      <c r="C26" s="90">
        <v>68695</v>
      </c>
      <c r="D26" s="91">
        <v>0.966</v>
      </c>
      <c r="E26" s="90">
        <v>7287</v>
      </c>
    </row>
    <row r="27" spans="1:5" ht="12.75">
      <c r="A27" s="93" t="s">
        <v>123</v>
      </c>
      <c r="B27" s="90">
        <v>161815</v>
      </c>
      <c r="C27" s="90">
        <v>133062</v>
      </c>
      <c r="D27" s="91">
        <v>0.822</v>
      </c>
      <c r="E27" s="90">
        <v>13049</v>
      </c>
    </row>
    <row r="28" spans="1:5" ht="12.75">
      <c r="A28" s="101" t="s">
        <v>124</v>
      </c>
      <c r="B28" s="97">
        <v>62928</v>
      </c>
      <c r="C28" s="90">
        <v>62928</v>
      </c>
      <c r="D28" s="98">
        <v>1</v>
      </c>
      <c r="E28" s="97">
        <v>3863</v>
      </c>
    </row>
    <row r="29" spans="1:5" ht="12.75">
      <c r="A29" s="86" t="s">
        <v>125</v>
      </c>
      <c r="B29" s="87">
        <v>669944</v>
      </c>
      <c r="C29" s="87">
        <v>640971</v>
      </c>
      <c r="D29" s="88">
        <v>0.957</v>
      </c>
      <c r="E29" s="87">
        <v>70121</v>
      </c>
    </row>
    <row r="30" spans="1:5" ht="25.5">
      <c r="A30" s="102" t="s">
        <v>126</v>
      </c>
      <c r="B30" s="84">
        <v>1454359</v>
      </c>
      <c r="C30" s="84">
        <v>1407430</v>
      </c>
      <c r="D30" s="85">
        <v>0.968</v>
      </c>
      <c r="E30" s="84">
        <v>142084</v>
      </c>
    </row>
    <row r="31" spans="1:5" ht="25.5">
      <c r="A31" s="102" t="s">
        <v>127</v>
      </c>
      <c r="B31" s="84">
        <v>1342936</v>
      </c>
      <c r="C31" s="84">
        <v>1298693</v>
      </c>
      <c r="D31" s="85">
        <v>0.967</v>
      </c>
      <c r="E31" s="84">
        <v>126694</v>
      </c>
    </row>
    <row r="32" spans="1:5" ht="25.5">
      <c r="A32" s="102" t="s">
        <v>128</v>
      </c>
      <c r="B32" s="84">
        <v>30923</v>
      </c>
      <c r="C32" s="84">
        <v>31245</v>
      </c>
      <c r="D32" s="85">
        <v>1.01</v>
      </c>
      <c r="E32" s="84">
        <v>2284</v>
      </c>
    </row>
    <row r="33" spans="1:5" ht="25.5">
      <c r="A33" s="102" t="s">
        <v>129</v>
      </c>
      <c r="B33" s="84">
        <v>80500</v>
      </c>
      <c r="C33" s="84">
        <v>77492</v>
      </c>
      <c r="D33" s="85">
        <v>0.963</v>
      </c>
      <c r="E33" s="84">
        <v>13106</v>
      </c>
    </row>
    <row r="34" spans="1:5" ht="25.5">
      <c r="A34" s="102" t="s">
        <v>130</v>
      </c>
      <c r="B34" s="84">
        <v>-164368</v>
      </c>
      <c r="C34" s="84">
        <v>-130324</v>
      </c>
      <c r="D34" s="85">
        <v>0.793</v>
      </c>
      <c r="E34" s="84">
        <v>-17837</v>
      </c>
    </row>
    <row r="35" spans="1:5" ht="12.75">
      <c r="A35" s="102" t="s">
        <v>131</v>
      </c>
      <c r="B35" s="84">
        <v>16098</v>
      </c>
      <c r="C35" s="84">
        <v>12032</v>
      </c>
      <c r="D35" s="85">
        <v>0.747</v>
      </c>
      <c r="E35" s="84">
        <v>3846</v>
      </c>
    </row>
    <row r="36" spans="1:5" ht="25.5">
      <c r="A36" s="102" t="s">
        <v>132</v>
      </c>
      <c r="B36" s="84">
        <v>1470457</v>
      </c>
      <c r="C36" s="84">
        <v>1419462</v>
      </c>
      <c r="D36" s="85">
        <v>0.965</v>
      </c>
      <c r="E36" s="84">
        <v>145930</v>
      </c>
    </row>
    <row r="37" spans="1:5" ht="25.5">
      <c r="A37" s="102" t="s">
        <v>133</v>
      </c>
      <c r="B37" s="84">
        <v>-180466</v>
      </c>
      <c r="C37" s="84">
        <v>-142356</v>
      </c>
      <c r="D37" s="85">
        <v>0.789</v>
      </c>
      <c r="E37" s="84">
        <v>-21683</v>
      </c>
    </row>
    <row r="38" spans="1:5" ht="12.75">
      <c r="A38" s="86" t="s">
        <v>134</v>
      </c>
      <c r="B38" s="87">
        <v>704861</v>
      </c>
      <c r="C38" s="87">
        <v>692017</v>
      </c>
      <c r="D38" s="88">
        <v>0.982</v>
      </c>
      <c r="E38" s="87">
        <v>70405</v>
      </c>
    </row>
    <row r="39" spans="1:5" ht="12.75">
      <c r="A39" s="103" t="s">
        <v>135</v>
      </c>
      <c r="B39" s="97">
        <v>62928</v>
      </c>
      <c r="C39" s="97">
        <v>62928</v>
      </c>
      <c r="D39" s="98">
        <v>1</v>
      </c>
      <c r="E39" s="97">
        <v>3862</v>
      </c>
    </row>
    <row r="40" spans="1:5" ht="12.75">
      <c r="A40" s="86" t="s">
        <v>136</v>
      </c>
      <c r="B40" s="87">
        <v>641933</v>
      </c>
      <c r="C40" s="87">
        <v>629089</v>
      </c>
      <c r="D40" s="88">
        <v>0.98</v>
      </c>
      <c r="E40" s="87">
        <v>66543</v>
      </c>
    </row>
    <row r="41" spans="1:5" ht="12.75">
      <c r="A41" s="89" t="s">
        <v>137</v>
      </c>
      <c r="B41" s="90">
        <v>640293</v>
      </c>
      <c r="C41" s="90">
        <v>627905</v>
      </c>
      <c r="D41" s="91">
        <v>0.981</v>
      </c>
      <c r="E41" s="90">
        <v>58212</v>
      </c>
    </row>
    <row r="42" spans="1:5" ht="12.75">
      <c r="A42" s="101" t="s">
        <v>138</v>
      </c>
      <c r="B42" s="97">
        <v>60990</v>
      </c>
      <c r="C42" s="97">
        <v>60990</v>
      </c>
      <c r="D42" s="98">
        <v>1</v>
      </c>
      <c r="E42" s="97">
        <v>3822</v>
      </c>
    </row>
    <row r="43" spans="1:5" ht="12.75">
      <c r="A43" s="86" t="s">
        <v>139</v>
      </c>
      <c r="B43" s="87">
        <v>579303</v>
      </c>
      <c r="C43" s="87">
        <v>566915</v>
      </c>
      <c r="D43" s="88">
        <v>0.979</v>
      </c>
      <c r="E43" s="87">
        <v>54390</v>
      </c>
    </row>
    <row r="44" spans="1:5" ht="12.75">
      <c r="A44" s="89" t="s">
        <v>140</v>
      </c>
      <c r="B44" s="90">
        <v>14643</v>
      </c>
      <c r="C44" s="90">
        <v>14340</v>
      </c>
      <c r="D44" s="91">
        <v>0.979</v>
      </c>
      <c r="E44" s="90">
        <v>2774</v>
      </c>
    </row>
    <row r="45" spans="1:5" ht="12.75">
      <c r="A45" s="86" t="s">
        <v>141</v>
      </c>
      <c r="B45" s="87">
        <v>14643</v>
      </c>
      <c r="C45" s="87">
        <v>14340</v>
      </c>
      <c r="D45" s="88">
        <v>0.979</v>
      </c>
      <c r="E45" s="87">
        <v>2774</v>
      </c>
    </row>
    <row r="46" spans="1:5" ht="12.75">
      <c r="A46" s="89" t="s">
        <v>142</v>
      </c>
      <c r="B46" s="90">
        <v>49925</v>
      </c>
      <c r="C46" s="90">
        <v>49772</v>
      </c>
      <c r="D46" s="91">
        <v>0.997</v>
      </c>
      <c r="E46" s="90">
        <v>9419</v>
      </c>
    </row>
    <row r="47" spans="1:5" ht="12.75">
      <c r="A47" s="101" t="s">
        <v>143</v>
      </c>
      <c r="B47" s="97">
        <v>1938</v>
      </c>
      <c r="C47" s="97">
        <v>1938</v>
      </c>
      <c r="D47" s="98">
        <v>1</v>
      </c>
      <c r="E47" s="97">
        <v>40</v>
      </c>
    </row>
    <row r="48" spans="1:5" ht="12.75">
      <c r="A48" s="86" t="s">
        <v>144</v>
      </c>
      <c r="B48" s="87">
        <v>47987</v>
      </c>
      <c r="C48" s="87">
        <v>47834</v>
      </c>
      <c r="D48" s="88">
        <v>0.997</v>
      </c>
      <c r="E48" s="87">
        <v>9379</v>
      </c>
    </row>
    <row r="49" spans="1:5" ht="25.5">
      <c r="A49" s="102" t="s">
        <v>145</v>
      </c>
      <c r="B49" s="84">
        <v>-72674</v>
      </c>
      <c r="C49" s="84">
        <v>-43922</v>
      </c>
      <c r="D49" s="85">
        <v>0.604</v>
      </c>
      <c r="E49" s="104">
        <v>-15179</v>
      </c>
    </row>
    <row r="50" spans="1:5" ht="12.75">
      <c r="A50" s="86" t="s">
        <v>146</v>
      </c>
      <c r="B50" s="87">
        <v>12347</v>
      </c>
      <c r="C50" s="87">
        <v>8857</v>
      </c>
      <c r="D50" s="88">
        <v>0.717</v>
      </c>
      <c r="E50" s="105">
        <v>3228</v>
      </c>
    </row>
    <row r="51" spans="1:5" ht="12.75">
      <c r="A51" s="89" t="s">
        <v>147</v>
      </c>
      <c r="B51" s="90">
        <v>89314</v>
      </c>
      <c r="C51" s="90">
        <v>71420</v>
      </c>
      <c r="D51" s="91">
        <v>0.8</v>
      </c>
      <c r="E51" s="106">
        <v>2463</v>
      </c>
    </row>
    <row r="52" spans="1:5" ht="12.75">
      <c r="A52" s="101" t="s">
        <v>143</v>
      </c>
      <c r="B52" s="97">
        <v>76966</v>
      </c>
      <c r="C52" s="97">
        <v>62563</v>
      </c>
      <c r="D52" s="98">
        <v>0.813</v>
      </c>
      <c r="E52" s="106">
        <v>-765</v>
      </c>
    </row>
    <row r="53" spans="1:5" ht="12.75">
      <c r="A53" s="89" t="s">
        <v>148</v>
      </c>
      <c r="B53" s="90">
        <v>12347</v>
      </c>
      <c r="C53" s="90">
        <v>8857</v>
      </c>
      <c r="D53" s="91">
        <v>0.717</v>
      </c>
      <c r="E53" s="106">
        <v>3228</v>
      </c>
    </row>
    <row r="54" spans="1:5" ht="12.75">
      <c r="A54" s="89" t="s">
        <v>149</v>
      </c>
      <c r="B54" s="90">
        <v>128709</v>
      </c>
      <c r="C54" s="90">
        <v>126492</v>
      </c>
      <c r="D54" s="91">
        <v>0.983</v>
      </c>
      <c r="E54" s="107" t="s">
        <v>150</v>
      </c>
    </row>
    <row r="55" spans="1:5" ht="12.75">
      <c r="A55" s="101" t="s">
        <v>143</v>
      </c>
      <c r="B55" s="90">
        <v>93366</v>
      </c>
      <c r="C55" s="90">
        <v>92578</v>
      </c>
      <c r="D55" s="91">
        <v>0.992</v>
      </c>
      <c r="E55" s="107" t="s">
        <v>150</v>
      </c>
    </row>
    <row r="56" spans="1:5" ht="12.75">
      <c r="A56" s="89" t="s">
        <v>151</v>
      </c>
      <c r="B56" s="90">
        <v>35343</v>
      </c>
      <c r="C56" s="90">
        <v>33914</v>
      </c>
      <c r="D56" s="91">
        <v>0.96</v>
      </c>
      <c r="E56" s="106">
        <v>-2498</v>
      </c>
    </row>
    <row r="57" spans="1:5" ht="12.75">
      <c r="A57" s="89" t="s">
        <v>152</v>
      </c>
      <c r="B57" s="90">
        <v>39395</v>
      </c>
      <c r="C57" s="90">
        <v>55072</v>
      </c>
      <c r="D57" s="91">
        <v>1.398</v>
      </c>
      <c r="E57" s="107" t="s">
        <v>150</v>
      </c>
    </row>
    <row r="58" spans="1:5" ht="12.75">
      <c r="A58" s="101" t="s">
        <v>143</v>
      </c>
      <c r="B58" s="90">
        <v>16399</v>
      </c>
      <c r="C58" s="97">
        <v>30015</v>
      </c>
      <c r="D58" s="98">
        <v>1.83</v>
      </c>
      <c r="E58" s="107" t="s">
        <v>150</v>
      </c>
    </row>
    <row r="59" spans="1:5" ht="12.75">
      <c r="A59" s="89" t="s">
        <v>153</v>
      </c>
      <c r="B59" s="90">
        <v>22996</v>
      </c>
      <c r="C59" s="90">
        <v>25057</v>
      </c>
      <c r="D59" s="91">
        <v>1.09</v>
      </c>
      <c r="E59" s="106">
        <v>5029</v>
      </c>
    </row>
    <row r="60" spans="1:5" ht="25.5">
      <c r="A60" s="102" t="s">
        <v>154</v>
      </c>
      <c r="B60" s="84">
        <v>-161988</v>
      </c>
      <c r="C60" s="84">
        <v>-115342</v>
      </c>
      <c r="D60" s="85">
        <v>0.712</v>
      </c>
      <c r="E60" s="84">
        <v>-17642</v>
      </c>
    </row>
    <row r="61" spans="1:5" ht="12.75">
      <c r="A61" s="86" t="s">
        <v>155</v>
      </c>
      <c r="B61" s="87">
        <v>824566</v>
      </c>
      <c r="C61" s="87">
        <v>790301</v>
      </c>
      <c r="D61" s="88">
        <v>0.958</v>
      </c>
      <c r="E61" s="87">
        <v>76641</v>
      </c>
    </row>
    <row r="62" spans="1:5" ht="12.75">
      <c r="A62" s="101" t="s">
        <v>156</v>
      </c>
      <c r="B62" s="97">
        <v>12140</v>
      </c>
      <c r="C62" s="97">
        <v>11960</v>
      </c>
      <c r="D62" s="98">
        <v>0.985</v>
      </c>
      <c r="E62" s="97">
        <v>1100</v>
      </c>
    </row>
    <row r="63" spans="1:5" ht="12.75">
      <c r="A63" s="86" t="s">
        <v>157</v>
      </c>
      <c r="B63" s="87">
        <v>812426</v>
      </c>
      <c r="C63" s="87">
        <v>778341</v>
      </c>
      <c r="D63" s="88">
        <v>0.958</v>
      </c>
      <c r="E63" s="87">
        <v>75541</v>
      </c>
    </row>
    <row r="64" spans="1:5" ht="12.75">
      <c r="A64" s="89" t="s">
        <v>158</v>
      </c>
      <c r="B64" s="90">
        <v>775773</v>
      </c>
      <c r="C64" s="90">
        <v>743738</v>
      </c>
      <c r="D64" s="91">
        <v>0.959</v>
      </c>
      <c r="E64" s="90">
        <v>73404</v>
      </c>
    </row>
    <row r="65" spans="1:5" ht="12.75">
      <c r="A65" s="101" t="s">
        <v>159</v>
      </c>
      <c r="B65" s="97">
        <v>12140</v>
      </c>
      <c r="C65" s="97">
        <v>11960</v>
      </c>
      <c r="D65" s="98">
        <v>0.985</v>
      </c>
      <c r="E65" s="97">
        <v>1100</v>
      </c>
    </row>
    <row r="66" spans="1:5" ht="12.75">
      <c r="A66" s="86" t="s">
        <v>160</v>
      </c>
      <c r="B66" s="87">
        <v>763633</v>
      </c>
      <c r="C66" s="87">
        <v>731778</v>
      </c>
      <c r="D66" s="88">
        <v>0.958</v>
      </c>
      <c r="E66" s="87">
        <v>72304</v>
      </c>
    </row>
    <row r="67" spans="1:5" ht="12.75">
      <c r="A67" s="89" t="s">
        <v>161</v>
      </c>
      <c r="B67" s="90">
        <v>16280</v>
      </c>
      <c r="C67" s="90">
        <v>16905</v>
      </c>
      <c r="D67" s="91">
        <v>1.038</v>
      </c>
      <c r="E67" s="90">
        <v>-490</v>
      </c>
    </row>
    <row r="68" spans="1:5" ht="12.75">
      <c r="A68" s="86" t="s">
        <v>162</v>
      </c>
      <c r="B68" s="87">
        <v>16280</v>
      </c>
      <c r="C68" s="87">
        <v>16905</v>
      </c>
      <c r="D68" s="88">
        <v>1.038</v>
      </c>
      <c r="E68" s="87">
        <v>-490</v>
      </c>
    </row>
    <row r="69" spans="1:5" ht="12.75">
      <c r="A69" s="89" t="s">
        <v>163</v>
      </c>
      <c r="B69" s="90">
        <v>32513</v>
      </c>
      <c r="C69" s="90">
        <v>29658</v>
      </c>
      <c r="D69" s="91">
        <v>0.912</v>
      </c>
      <c r="E69" s="90">
        <v>3727</v>
      </c>
    </row>
    <row r="70" spans="1:5" ht="12.75">
      <c r="A70" s="86" t="s">
        <v>164</v>
      </c>
      <c r="B70" s="87">
        <v>32513</v>
      </c>
      <c r="C70" s="87">
        <v>29658</v>
      </c>
      <c r="D70" s="88">
        <v>0.912</v>
      </c>
      <c r="E70" s="87">
        <v>3727</v>
      </c>
    </row>
    <row r="71" spans="1:5" ht="25.5">
      <c r="A71" s="102" t="s">
        <v>165</v>
      </c>
      <c r="B71" s="84">
        <v>-91694</v>
      </c>
      <c r="C71" s="84">
        <v>-86402</v>
      </c>
      <c r="D71" s="85">
        <v>0.942</v>
      </c>
      <c r="E71" s="84">
        <v>-2657</v>
      </c>
    </row>
    <row r="72" spans="1:5" ht="12.75">
      <c r="A72" s="86" t="s">
        <v>166</v>
      </c>
      <c r="B72" s="87">
        <v>3751</v>
      </c>
      <c r="C72" s="87">
        <v>3175</v>
      </c>
      <c r="D72" s="88">
        <v>0.846</v>
      </c>
      <c r="E72" s="87">
        <v>618</v>
      </c>
    </row>
    <row r="73" spans="1:5" ht="12.75">
      <c r="A73" s="89" t="s">
        <v>167</v>
      </c>
      <c r="B73" s="90">
        <v>3751</v>
      </c>
      <c r="C73" s="90">
        <v>3175</v>
      </c>
      <c r="D73" s="91">
        <v>0.846</v>
      </c>
      <c r="E73" s="90">
        <v>618</v>
      </c>
    </row>
    <row r="74" spans="1:5" ht="12.75">
      <c r="A74" s="89" t="s">
        <v>168</v>
      </c>
      <c r="B74" s="90">
        <v>3751</v>
      </c>
      <c r="C74" s="90">
        <v>3175</v>
      </c>
      <c r="D74" s="91">
        <v>0.846</v>
      </c>
      <c r="E74" s="90">
        <v>618</v>
      </c>
    </row>
    <row r="75" spans="1:5" ht="12.75">
      <c r="A75" s="89" t="s">
        <v>169</v>
      </c>
      <c r="B75" s="90">
        <v>0</v>
      </c>
      <c r="C75" s="90">
        <v>0</v>
      </c>
      <c r="D75" s="91" t="s">
        <v>113</v>
      </c>
      <c r="E75" s="90">
        <v>0</v>
      </c>
    </row>
    <row r="76" spans="1:5" ht="12.75">
      <c r="A76" s="89" t="s">
        <v>170</v>
      </c>
      <c r="B76" s="90">
        <v>0</v>
      </c>
      <c r="C76" s="90">
        <v>0</v>
      </c>
      <c r="D76" s="91" t="s">
        <v>113</v>
      </c>
      <c r="E76" s="90">
        <v>0</v>
      </c>
    </row>
    <row r="77" spans="1:5" ht="25.5">
      <c r="A77" s="102" t="s">
        <v>171</v>
      </c>
      <c r="B77" s="84">
        <v>-95445</v>
      </c>
      <c r="C77" s="84">
        <v>-89577</v>
      </c>
      <c r="D77" s="85">
        <v>0.939</v>
      </c>
      <c r="E77" s="84">
        <v>-3275</v>
      </c>
    </row>
    <row r="78" spans="1:5" ht="12.75">
      <c r="A78" s="108"/>
      <c r="B78" s="109"/>
      <c r="C78" s="110"/>
      <c r="D78" s="110"/>
      <c r="E78" s="110"/>
    </row>
    <row r="79" spans="1:5" ht="12.75">
      <c r="A79" s="111"/>
      <c r="B79" s="109"/>
      <c r="C79" s="110"/>
      <c r="D79" s="110"/>
      <c r="E79" s="110"/>
    </row>
    <row r="80" spans="1:5" ht="12.75">
      <c r="A80" s="112"/>
      <c r="B80" s="81"/>
      <c r="C80" s="49"/>
      <c r="D80" s="49"/>
      <c r="E80" s="49"/>
    </row>
    <row r="81" spans="1:5" ht="12.75">
      <c r="A81" s="112"/>
      <c r="B81" s="81"/>
      <c r="C81" s="49"/>
      <c r="D81" s="49"/>
      <c r="E81" s="49"/>
    </row>
    <row r="82" spans="1:5" ht="12.75">
      <c r="A82" s="113" t="s">
        <v>172</v>
      </c>
      <c r="B82" s="82"/>
      <c r="C82" s="114"/>
      <c r="D82" s="49"/>
      <c r="E82" s="49"/>
    </row>
    <row r="83" spans="1:5" ht="12.75">
      <c r="A83" s="113"/>
      <c r="B83" s="82"/>
      <c r="C83" s="114"/>
      <c r="D83" s="114"/>
      <c r="E83" s="114"/>
    </row>
    <row r="84" spans="1:5" ht="12.75">
      <c r="A84" s="2"/>
      <c r="B84" s="81"/>
      <c r="C84" s="49"/>
      <c r="D84" s="49"/>
      <c r="E84" s="49"/>
    </row>
    <row r="85" spans="1:5" ht="12.75">
      <c r="A85" s="2"/>
      <c r="B85" s="81"/>
      <c r="C85" s="42"/>
      <c r="D85" s="42"/>
      <c r="E85" s="42"/>
    </row>
    <row r="86" spans="1:5" ht="12.75">
      <c r="A86" s="2" t="s">
        <v>173</v>
      </c>
      <c r="B86" s="81"/>
      <c r="C86" s="49"/>
      <c r="D86" s="49"/>
      <c r="E86" s="49"/>
    </row>
    <row r="87" spans="1:5" ht="12.75">
      <c r="A87" s="2" t="s">
        <v>44</v>
      </c>
      <c r="B87" s="81"/>
      <c r="C87" s="49"/>
      <c r="D87" s="49"/>
      <c r="E87" s="49"/>
    </row>
    <row r="88" spans="4:5" ht="12.75">
      <c r="D88" s="49"/>
      <c r="E88" s="49"/>
    </row>
    <row r="89" spans="2:5" ht="12.75">
      <c r="B89" s="82"/>
      <c r="C89" s="114"/>
      <c r="D89" s="49"/>
      <c r="E89" s="49"/>
    </row>
    <row r="90" spans="2:5" ht="12.75">
      <c r="B90" s="81"/>
      <c r="C90" s="49"/>
      <c r="D90" s="49"/>
      <c r="E90" s="49"/>
    </row>
    <row r="91" spans="1:5" ht="12.75">
      <c r="A91" s="49"/>
      <c r="B91" s="81"/>
      <c r="C91" s="49"/>
      <c r="D91" s="49"/>
      <c r="E91" s="49"/>
    </row>
    <row r="92" spans="1:3" ht="12.75">
      <c r="A92" s="113"/>
      <c r="B92" s="82"/>
      <c r="C92" s="114"/>
    </row>
    <row r="104" ht="12.75">
      <c r="A104" s="2"/>
    </row>
    <row r="105" ht="12.75">
      <c r="A105" s="2"/>
    </row>
    <row r="113" ht="12.75">
      <c r="A113" s="2" t="s">
        <v>173</v>
      </c>
    </row>
    <row r="114" ht="12.75">
      <c r="A114" s="2" t="s">
        <v>174</v>
      </c>
    </row>
  </sheetData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7">
      <selection activeCell="A24" sqref="A24"/>
    </sheetView>
  </sheetViews>
  <sheetFormatPr defaultColWidth="9.140625" defaultRowHeight="12.75"/>
  <cols>
    <col min="1" max="1" width="64.8515625" style="274" customWidth="1"/>
    <col min="2" max="2" width="19.140625" style="274" customWidth="1"/>
    <col min="3" max="16384" width="8.00390625" style="274" customWidth="1"/>
  </cols>
  <sheetData>
    <row r="1" spans="1:4" s="278" customFormat="1" ht="12.75">
      <c r="A1" s="275" t="s">
        <v>686</v>
      </c>
      <c r="B1" s="275" t="s">
        <v>687</v>
      </c>
      <c r="D1" s="474"/>
    </row>
    <row r="2" spans="1:2" s="278" customFormat="1" ht="12.75">
      <c r="A2" s="275"/>
      <c r="B2" s="275"/>
    </row>
    <row r="3" s="336" customFormat="1" ht="12"/>
    <row r="4" s="336" customFormat="1" ht="15.75">
      <c r="A4" s="401" t="s">
        <v>688</v>
      </c>
    </row>
    <row r="5" s="336" customFormat="1" ht="15.75">
      <c r="A5" s="478" t="s">
        <v>689</v>
      </c>
    </row>
    <row r="6" spans="1:2" s="336" customFormat="1" ht="12">
      <c r="A6" s="474"/>
      <c r="B6" s="474"/>
    </row>
    <row r="7" spans="1:2" s="336" customFormat="1" ht="12">
      <c r="A7" s="479"/>
      <c r="B7" s="480" t="s">
        <v>690</v>
      </c>
    </row>
    <row r="8" spans="1:2" s="336" customFormat="1" ht="12.75">
      <c r="A8" s="481" t="s">
        <v>2</v>
      </c>
      <c r="B8" s="482" t="s">
        <v>691</v>
      </c>
    </row>
    <row r="9" spans="1:127" s="485" customFormat="1" ht="12.75">
      <c r="A9" s="483">
        <v>1</v>
      </c>
      <c r="B9" s="484">
        <v>2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</row>
    <row r="10" spans="1:127" s="485" customFormat="1" ht="23.25" customHeight="1">
      <c r="A10" s="486" t="s">
        <v>692</v>
      </c>
      <c r="B10" s="487">
        <f>SUM(B11:B16)</f>
        <v>30163686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</row>
    <row r="11" spans="1:127" s="485" customFormat="1" ht="23.25" customHeight="1">
      <c r="A11" s="488" t="s">
        <v>693</v>
      </c>
      <c r="B11" s="489">
        <v>9182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</row>
    <row r="12" spans="1:127" s="485" customFormat="1" ht="19.5" customHeight="1">
      <c r="A12" s="490" t="s">
        <v>694</v>
      </c>
      <c r="B12" s="491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</row>
    <row r="13" spans="1:127" s="485" customFormat="1" ht="17.25" customHeight="1">
      <c r="A13" s="492" t="s">
        <v>695</v>
      </c>
      <c r="B13" s="493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</row>
    <row r="14" spans="1:127" s="485" customFormat="1" ht="23.25" customHeight="1">
      <c r="A14" s="488" t="s">
        <v>696</v>
      </c>
      <c r="B14" s="489">
        <v>6103010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</row>
    <row r="15" spans="1:127" s="485" customFormat="1" ht="23.25" customHeight="1">
      <c r="A15" s="488" t="s">
        <v>697</v>
      </c>
      <c r="B15" s="489">
        <v>24051494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</row>
    <row r="16" spans="1:127" s="485" customFormat="1" ht="23.25" customHeight="1">
      <c r="A16" s="488" t="s">
        <v>698</v>
      </c>
      <c r="B16" s="489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</row>
    <row r="17" spans="1:127" s="485" customFormat="1" ht="23.25" customHeight="1">
      <c r="A17" s="494" t="s">
        <v>699</v>
      </c>
      <c r="B17" s="487">
        <f>SUM(B18:B19)</f>
        <v>30154504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</row>
    <row r="18" spans="1:127" s="485" customFormat="1" ht="23.25" customHeight="1">
      <c r="A18" s="488" t="s">
        <v>700</v>
      </c>
      <c r="B18" s="489">
        <v>30154504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</row>
    <row r="19" spans="1:127" s="485" customFormat="1" ht="23.25" customHeight="1">
      <c r="A19" s="488" t="s">
        <v>701</v>
      </c>
      <c r="B19" s="489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</row>
    <row r="20" spans="1:97" s="485" customFormat="1" ht="23.25" customHeight="1">
      <c r="A20" s="495" t="s">
        <v>702</v>
      </c>
      <c r="B20" s="496">
        <f>SUM(B10-B17)</f>
        <v>9182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</row>
    <row r="21" spans="1:97" s="437" customFormat="1" ht="12.75">
      <c r="A21" s="476"/>
      <c r="B21" s="47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</row>
    <row r="22" spans="1:97" s="437" customFormat="1" ht="12.75">
      <c r="A22" s="476"/>
      <c r="B22" s="47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</row>
    <row r="23" spans="1:82" s="437" customFormat="1" ht="12.75">
      <c r="A23" s="476"/>
      <c r="B23" s="47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</row>
    <row r="24" spans="1:82" s="437" customFormat="1" ht="12.75">
      <c r="A24" s="476"/>
      <c r="B24" s="47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</row>
    <row r="25" spans="1:82" s="476" customFormat="1" ht="12.75">
      <c r="A25" s="437" t="s">
        <v>703</v>
      </c>
      <c r="B25" s="293" t="s">
        <v>500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</row>
    <row r="26" spans="1:82" s="476" customFormat="1" ht="12.75">
      <c r="A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</row>
    <row r="27" s="336" customFormat="1" ht="12"/>
    <row r="28" spans="1:2" s="336" customFormat="1" ht="14.25">
      <c r="A28" s="497"/>
      <c r="B28" s="498"/>
    </row>
    <row r="29" spans="1:2" s="336" customFormat="1" ht="14.25">
      <c r="A29" s="497"/>
      <c r="B29" s="498"/>
    </row>
    <row r="30" spans="1:2" s="336" customFormat="1" ht="14.25">
      <c r="A30" s="497"/>
      <c r="B30" s="499"/>
    </row>
    <row r="31" s="336" customFormat="1" ht="14.25">
      <c r="A31" s="497"/>
    </row>
    <row r="32" s="336" customFormat="1" ht="14.25">
      <c r="A32" s="497"/>
    </row>
    <row r="33" s="336" customFormat="1" ht="14.25">
      <c r="A33" s="497"/>
    </row>
    <row r="34" s="336" customFormat="1" ht="14.25">
      <c r="A34" s="497"/>
    </row>
    <row r="35" s="336" customFormat="1" ht="14.25">
      <c r="A35" s="497"/>
    </row>
    <row r="36" s="336" customFormat="1" ht="14.25">
      <c r="A36" s="497"/>
    </row>
    <row r="37" s="336" customFormat="1" ht="14.25">
      <c r="A37" s="497"/>
    </row>
    <row r="38" s="336" customFormat="1" ht="14.25">
      <c r="A38" s="497"/>
    </row>
    <row r="39" s="336" customFormat="1" ht="14.25">
      <c r="A39" s="497"/>
    </row>
    <row r="40" spans="1:82" ht="14.25">
      <c r="A40" s="497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</row>
    <row r="41" spans="1:82" ht="14.25">
      <c r="A41" s="497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</row>
    <row r="42" spans="1:82" ht="14.25">
      <c r="A42" s="497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</row>
    <row r="43" spans="1:82" ht="14.25">
      <c r="A43" s="497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</row>
    <row r="44" spans="1:82" ht="14.25">
      <c r="A44" s="497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</row>
    <row r="45" spans="1:82" ht="14.25">
      <c r="A45" s="497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</row>
    <row r="46" spans="1:82" ht="14.25">
      <c r="A46" s="497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</row>
    <row r="47" spans="1:82" ht="14.25">
      <c r="A47" s="497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</row>
    <row r="48" spans="1:82" ht="14.25">
      <c r="A48" s="497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</row>
    <row r="49" spans="1:82" ht="14.25">
      <c r="A49" s="497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</row>
    <row r="50" spans="1:82" ht="14.25">
      <c r="A50" s="497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336"/>
      <c r="BX50" s="336"/>
      <c r="BY50" s="336"/>
      <c r="BZ50" s="336"/>
      <c r="CA50" s="336"/>
      <c r="CB50" s="336"/>
      <c r="CC50" s="336"/>
      <c r="CD50" s="336"/>
    </row>
    <row r="51" spans="1:82" ht="14.25">
      <c r="A51" s="497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36"/>
      <c r="BX51" s="336"/>
      <c r="BY51" s="336"/>
      <c r="BZ51" s="336"/>
      <c r="CA51" s="336"/>
      <c r="CB51" s="336"/>
      <c r="CC51" s="336"/>
      <c r="CD51" s="336"/>
    </row>
    <row r="52" spans="1:82" ht="14.25">
      <c r="A52" s="497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</row>
    <row r="53" spans="1:82" ht="14.25">
      <c r="A53" s="497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</row>
    <row r="54" spans="1:82" ht="14.25">
      <c r="A54" s="497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</row>
    <row r="55" spans="1:82" ht="14.25">
      <c r="A55" s="497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</row>
    <row r="56" spans="1:82" ht="14.25">
      <c r="A56" s="497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</row>
    <row r="57" spans="12:82" ht="12"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</row>
    <row r="58" spans="12:82" ht="12"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</row>
    <row r="59" spans="12:82" ht="12"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</row>
    <row r="60" spans="12:82" ht="12"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</row>
    <row r="61" spans="12:82" ht="12"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</row>
    <row r="62" spans="12:82" ht="12"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&amp;L&amp;"Arial,Regular"&amp;8Valsts kase / Pārskatu departaments
15.01.00.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K63"/>
  <sheetViews>
    <sheetView workbookViewId="0" topLeftCell="A45">
      <selection activeCell="E30" sqref="E30"/>
    </sheetView>
  </sheetViews>
  <sheetFormatPr defaultColWidth="9.140625" defaultRowHeight="12.75"/>
  <cols>
    <col min="1" max="1" width="24.7109375" style="274" customWidth="1"/>
    <col min="2" max="3" width="13.140625" style="274" customWidth="1"/>
    <col min="4" max="4" width="14.00390625" style="274" customWidth="1"/>
    <col min="5" max="5" width="16.57421875" style="274" customWidth="1"/>
    <col min="6" max="6" width="13.57421875" style="274" customWidth="1"/>
    <col min="7" max="7" width="9.7109375" style="274" customWidth="1"/>
    <col min="8" max="9" width="8.8515625" style="274" customWidth="1"/>
    <col min="10" max="10" width="14.8515625" style="274" customWidth="1"/>
    <col min="11" max="16384" width="8.00390625" style="274" customWidth="1"/>
  </cols>
  <sheetData>
    <row r="1" spans="1:11" ht="12.75" customHeight="1">
      <c r="A1" s="275" t="s">
        <v>704</v>
      </c>
      <c r="B1" s="275"/>
      <c r="C1" s="275"/>
      <c r="D1" s="275"/>
      <c r="E1" s="275"/>
      <c r="F1" s="275"/>
      <c r="G1" s="275"/>
      <c r="H1" s="275"/>
      <c r="I1" s="275"/>
      <c r="J1" s="500" t="s">
        <v>705</v>
      </c>
      <c r="K1" s="280"/>
    </row>
    <row r="2" spans="1:10" ht="12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">
      <c r="A3" s="336"/>
      <c r="B3" s="336"/>
      <c r="C3" s="336"/>
      <c r="D3" s="336"/>
      <c r="E3" s="336"/>
      <c r="F3" s="336"/>
      <c r="G3" s="336"/>
      <c r="H3" s="336"/>
      <c r="I3" s="336"/>
      <c r="J3" s="336"/>
    </row>
    <row r="4" spans="1:10" ht="15.75">
      <c r="A4" s="276" t="s">
        <v>706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ht="15.75">
      <c r="A5" s="276" t="s">
        <v>455</v>
      </c>
      <c r="B5" s="303"/>
      <c r="C5" s="276"/>
      <c r="D5" s="276"/>
      <c r="E5" s="276"/>
      <c r="F5" s="276"/>
      <c r="G5" s="300"/>
      <c r="H5" s="300"/>
      <c r="I5" s="300"/>
      <c r="J5" s="300"/>
    </row>
    <row r="6" spans="1:10" ht="15.75">
      <c r="A6" s="401"/>
      <c r="B6" s="336"/>
      <c r="C6" s="336"/>
      <c r="D6" s="336"/>
      <c r="E6" s="336"/>
      <c r="F6" s="336"/>
      <c r="G6" s="336"/>
      <c r="H6" s="336"/>
      <c r="I6" s="336"/>
      <c r="J6" s="336"/>
    </row>
    <row r="7" spans="1:10" ht="11.25">
      <c r="A7" s="474"/>
      <c r="B7" s="474"/>
      <c r="C7" s="474"/>
      <c r="D7" s="474"/>
      <c r="E7" s="474"/>
      <c r="F7" s="474"/>
      <c r="G7" s="474"/>
      <c r="H7" s="474"/>
      <c r="I7" s="474"/>
      <c r="J7" s="474" t="s">
        <v>707</v>
      </c>
    </row>
    <row r="8" spans="1:10" ht="56.25">
      <c r="A8" s="279" t="s">
        <v>708</v>
      </c>
      <c r="B8" s="279" t="s">
        <v>709</v>
      </c>
      <c r="C8" s="279" t="s">
        <v>710</v>
      </c>
      <c r="D8" s="279" t="s">
        <v>711</v>
      </c>
      <c r="E8" s="279" t="s">
        <v>712</v>
      </c>
      <c r="F8" s="279" t="s">
        <v>713</v>
      </c>
      <c r="G8" s="279" t="s">
        <v>714</v>
      </c>
      <c r="H8" s="501" t="s">
        <v>715</v>
      </c>
      <c r="I8" s="502"/>
      <c r="J8" s="279" t="s">
        <v>716</v>
      </c>
    </row>
    <row r="9" spans="1:10" ht="11.25">
      <c r="A9" s="279"/>
      <c r="B9" s="279"/>
      <c r="C9" s="279"/>
      <c r="D9" s="279"/>
      <c r="E9" s="279"/>
      <c r="F9" s="279"/>
      <c r="G9" s="279"/>
      <c r="H9" s="279" t="s">
        <v>717</v>
      </c>
      <c r="I9" s="279" t="s">
        <v>718</v>
      </c>
      <c r="J9" s="279"/>
    </row>
    <row r="10" spans="1:10" ht="11.25">
      <c r="A10" s="503">
        <v>1</v>
      </c>
      <c r="B10" s="503">
        <v>2</v>
      </c>
      <c r="C10" s="503">
        <v>3</v>
      </c>
      <c r="D10" s="503">
        <v>4</v>
      </c>
      <c r="E10" s="503">
        <v>5</v>
      </c>
      <c r="F10" s="503">
        <v>6</v>
      </c>
      <c r="G10" s="503">
        <v>7</v>
      </c>
      <c r="H10" s="503">
        <v>8</v>
      </c>
      <c r="I10" s="503">
        <v>9</v>
      </c>
      <c r="J10" s="503">
        <v>10</v>
      </c>
    </row>
    <row r="11" spans="1:10" ht="12">
      <c r="A11" s="313" t="s">
        <v>719</v>
      </c>
      <c r="B11" s="504">
        <f>288000+54000+54000+54000</f>
        <v>450000</v>
      </c>
      <c r="C11" s="504">
        <f>2631434+305416+309046+329130</f>
        <v>3575026</v>
      </c>
      <c r="D11" s="282">
        <f>11186+33535</f>
        <v>44721</v>
      </c>
      <c r="E11" s="504">
        <f>13065626+1471545+1471545+1471546</f>
        <v>17480262</v>
      </c>
      <c r="F11" s="504">
        <f>8444+2813</f>
        <v>11257</v>
      </c>
      <c r="G11" s="282"/>
      <c r="H11" s="282">
        <v>7500</v>
      </c>
      <c r="I11" s="282"/>
      <c r="J11" s="504">
        <f aca="true" t="shared" si="0" ref="J11:J44">SUM(B11:I11)</f>
        <v>21568766</v>
      </c>
    </row>
    <row r="12" spans="1:10" ht="12">
      <c r="A12" s="313" t="s">
        <v>720</v>
      </c>
      <c r="B12" s="282">
        <f>300000+60000+50000+51000</f>
        <v>461000</v>
      </c>
      <c r="C12" s="282">
        <f>340221+39240+39707+40155</f>
        <v>459323</v>
      </c>
      <c r="D12" s="282">
        <f>1098+3294</f>
        <v>4392</v>
      </c>
      <c r="E12" s="504">
        <f>2075134+235600+235600+235600</f>
        <v>2781934</v>
      </c>
      <c r="F12" s="504">
        <f>7290+2429</f>
        <v>9719</v>
      </c>
      <c r="G12" s="282"/>
      <c r="H12" s="282"/>
      <c r="I12" s="282"/>
      <c r="J12" s="504">
        <f t="shared" si="0"/>
        <v>3716368</v>
      </c>
    </row>
    <row r="13" spans="1:10" ht="12">
      <c r="A13" s="313" t="s">
        <v>721</v>
      </c>
      <c r="B13" s="282">
        <f>548700+20000+31300</f>
        <v>600000</v>
      </c>
      <c r="C13" s="282">
        <f>290122+33608+34008+35662</f>
        <v>393400</v>
      </c>
      <c r="D13" s="282">
        <f>3111+9333</f>
        <v>12444</v>
      </c>
      <c r="E13" s="504">
        <f>1308143+146685+146686+146686</f>
        <v>1748200</v>
      </c>
      <c r="F13" s="282">
        <f>3145+1048</f>
        <v>4193</v>
      </c>
      <c r="G13" s="282"/>
      <c r="H13" s="282"/>
      <c r="I13" s="282"/>
      <c r="J13" s="504">
        <f t="shared" si="0"/>
        <v>2758237</v>
      </c>
    </row>
    <row r="14" spans="1:10" ht="12">
      <c r="A14" s="313" t="s">
        <v>722</v>
      </c>
      <c r="B14" s="282"/>
      <c r="C14" s="282">
        <f>85579+9676+9792+8220</f>
        <v>113267</v>
      </c>
      <c r="D14" s="282">
        <f>585+195</f>
        <v>780</v>
      </c>
      <c r="E14" s="504">
        <f>1021290+114660+114661+114661</f>
        <v>1365272</v>
      </c>
      <c r="F14" s="282">
        <f>883+295</f>
        <v>1178</v>
      </c>
      <c r="G14" s="282"/>
      <c r="H14" s="282"/>
      <c r="I14" s="282"/>
      <c r="J14" s="504">
        <f t="shared" si="0"/>
        <v>1480497</v>
      </c>
    </row>
    <row r="15" spans="1:10" ht="12">
      <c r="A15" s="313" t="s">
        <v>723</v>
      </c>
      <c r="B15" s="282">
        <f>292000+62600+101400+14000</f>
        <v>470000</v>
      </c>
      <c r="C15" s="282">
        <f>428794+49309+49896+49188</f>
        <v>577187</v>
      </c>
      <c r="D15" s="282">
        <f>3294+1098</f>
        <v>4392</v>
      </c>
      <c r="E15" s="504">
        <f>1598944+179989+179989+179989</f>
        <v>2138911</v>
      </c>
      <c r="F15" s="282">
        <f>3208+1070</f>
        <v>4278</v>
      </c>
      <c r="G15" s="282"/>
      <c r="H15" s="282"/>
      <c r="I15" s="282"/>
      <c r="J15" s="504">
        <f t="shared" si="0"/>
        <v>3194768</v>
      </c>
    </row>
    <row r="16" spans="1:10" ht="12">
      <c r="A16" s="313" t="s">
        <v>724</v>
      </c>
      <c r="B16" s="282"/>
      <c r="C16" s="282">
        <f>305774+35507+35930+38414</f>
        <v>415625</v>
      </c>
      <c r="D16" s="282">
        <f>2745+915</f>
        <v>3660</v>
      </c>
      <c r="E16" s="282">
        <f>783199+88037+88037+88038</f>
        <v>1047311</v>
      </c>
      <c r="F16" s="282">
        <f>3388+1129</f>
        <v>4517</v>
      </c>
      <c r="G16" s="282"/>
      <c r="H16" s="282">
        <v>7500</v>
      </c>
      <c r="I16" s="282"/>
      <c r="J16" s="504">
        <f t="shared" si="0"/>
        <v>1478613</v>
      </c>
    </row>
    <row r="17" spans="1:10" ht="12">
      <c r="A17" s="313" t="s">
        <v>725</v>
      </c>
      <c r="B17" s="282">
        <f>370000+26000</f>
        <v>396000</v>
      </c>
      <c r="C17" s="282">
        <f>41928+100+100+55</f>
        <v>42183</v>
      </c>
      <c r="D17" s="282">
        <f>2196+732</f>
        <v>2928</v>
      </c>
      <c r="E17" s="504">
        <f>813871+91208+91209+91209</f>
        <v>1087497</v>
      </c>
      <c r="F17" s="282">
        <f>90+30</f>
        <v>120</v>
      </c>
      <c r="G17" s="282"/>
      <c r="H17" s="282"/>
      <c r="I17" s="282"/>
      <c r="J17" s="504">
        <f t="shared" si="0"/>
        <v>1528728</v>
      </c>
    </row>
    <row r="18" spans="1:10" ht="12">
      <c r="A18" s="313" t="s">
        <v>726</v>
      </c>
      <c r="B18" s="282">
        <f>385100+58100+53800</f>
        <v>497000</v>
      </c>
      <c r="C18" s="282">
        <f>289004+33225+33622+33073</f>
        <v>388924</v>
      </c>
      <c r="D18" s="282">
        <f>2196+732</f>
        <v>2928</v>
      </c>
      <c r="E18" s="504">
        <f>1117851+124565+124565+124565</f>
        <v>1491546</v>
      </c>
      <c r="F18" s="282">
        <f>1921+641</f>
        <v>2562</v>
      </c>
      <c r="G18" s="282"/>
      <c r="H18" s="282">
        <v>21000</v>
      </c>
      <c r="I18" s="282"/>
      <c r="J18" s="504">
        <f t="shared" si="0"/>
        <v>2403960</v>
      </c>
    </row>
    <row r="19" spans="1:10" ht="12">
      <c r="A19" s="313" t="s">
        <v>727</v>
      </c>
      <c r="B19" s="282">
        <f>61000+8000+6000</f>
        <v>75000</v>
      </c>
      <c r="C19" s="282">
        <f>329391+37906+38357+38046</f>
        <v>443700</v>
      </c>
      <c r="D19" s="282">
        <f>2745+915</f>
        <v>3660</v>
      </c>
      <c r="E19" s="282">
        <f>826638+75335</f>
        <v>901973</v>
      </c>
      <c r="F19" s="282">
        <f>1761+587</f>
        <v>2348</v>
      </c>
      <c r="G19" s="282"/>
      <c r="H19" s="282">
        <v>12754</v>
      </c>
      <c r="I19" s="282">
        <v>16275</v>
      </c>
      <c r="J19" s="504">
        <f t="shared" si="0"/>
        <v>1455710</v>
      </c>
    </row>
    <row r="20" spans="1:10" ht="12">
      <c r="A20" s="313" t="s">
        <v>728</v>
      </c>
      <c r="B20" s="282">
        <v>148000</v>
      </c>
      <c r="C20" s="282">
        <f>271023+31191+31563+31336</f>
        <v>365113</v>
      </c>
      <c r="D20" s="282">
        <f>4392+1464</f>
        <v>5856</v>
      </c>
      <c r="E20" s="282">
        <f>760271+84726+84726+84727</f>
        <v>1014450</v>
      </c>
      <c r="F20" s="282">
        <f>2818+940</f>
        <v>3758</v>
      </c>
      <c r="G20" s="282"/>
      <c r="H20" s="282">
        <v>10188</v>
      </c>
      <c r="I20" s="282">
        <v>11625</v>
      </c>
      <c r="J20" s="504">
        <f t="shared" si="0"/>
        <v>1558990</v>
      </c>
    </row>
    <row r="21" spans="1:10" ht="12">
      <c r="A21" s="313" t="s">
        <v>729</v>
      </c>
      <c r="B21" s="282">
        <f>85000+7500+7500</f>
        <v>100000</v>
      </c>
      <c r="C21" s="282">
        <f>451737+51949+52567+51831</f>
        <v>608084</v>
      </c>
      <c r="D21" s="282">
        <f>3843+1281</f>
        <v>5124</v>
      </c>
      <c r="E21" s="504">
        <f>1289131+143598+143599+143599</f>
        <v>1719927</v>
      </c>
      <c r="F21" s="282">
        <f>1749+583</f>
        <v>2332</v>
      </c>
      <c r="G21" s="282"/>
      <c r="H21" s="282">
        <v>8500</v>
      </c>
      <c r="I21" s="282">
        <v>15750</v>
      </c>
      <c r="J21" s="504">
        <f t="shared" si="0"/>
        <v>2459717</v>
      </c>
    </row>
    <row r="22" spans="1:10" ht="12">
      <c r="A22" s="313" t="s">
        <v>730</v>
      </c>
      <c r="B22" s="282">
        <f>60000+30000+30000+30000</f>
        <v>150000</v>
      </c>
      <c r="C22" s="504">
        <f>804097+92518+93621+92742</f>
        <v>1082978</v>
      </c>
      <c r="D22" s="282">
        <f>4393+1463</f>
        <v>5856</v>
      </c>
      <c r="E22" s="504">
        <f>1555845+173149+173149+173149</f>
        <v>2075292</v>
      </c>
      <c r="F22" s="282">
        <f>2460+820</f>
        <v>3280</v>
      </c>
      <c r="G22" s="282"/>
      <c r="H22" s="282"/>
      <c r="I22" s="282">
        <v>9000</v>
      </c>
      <c r="J22" s="504">
        <f t="shared" si="0"/>
        <v>3326406</v>
      </c>
    </row>
    <row r="23" spans="1:10" ht="12">
      <c r="A23" s="313" t="s">
        <v>731</v>
      </c>
      <c r="B23" s="282">
        <v>160000</v>
      </c>
      <c r="C23" s="282">
        <f>242128+27827+28159+27622</f>
        <v>325736</v>
      </c>
      <c r="D23" s="282">
        <f>1647+549</f>
        <v>2196</v>
      </c>
      <c r="E23" s="504">
        <f>932087+104803+104803+104803</f>
        <v>1246496</v>
      </c>
      <c r="F23" s="282">
        <f>2434+811</f>
        <v>3245</v>
      </c>
      <c r="G23" s="282"/>
      <c r="H23" s="282">
        <v>8900</v>
      </c>
      <c r="I23" s="282">
        <v>31275</v>
      </c>
      <c r="J23" s="504">
        <f t="shared" si="0"/>
        <v>1777848</v>
      </c>
    </row>
    <row r="24" spans="1:10" ht="12">
      <c r="A24" s="313" t="s">
        <v>732</v>
      </c>
      <c r="B24" s="282">
        <v>65000</v>
      </c>
      <c r="C24" s="282">
        <f>106801+12273+12419+12167</f>
        <v>143660</v>
      </c>
      <c r="D24" s="282">
        <f>2746+914</f>
        <v>3660</v>
      </c>
      <c r="E24" s="504">
        <f>1098899+122559+122560+122560</f>
        <v>1466578</v>
      </c>
      <c r="F24" s="282">
        <f>538+180</f>
        <v>718</v>
      </c>
      <c r="G24" s="282"/>
      <c r="H24" s="282">
        <v>15067</v>
      </c>
      <c r="I24" s="282"/>
      <c r="J24" s="504">
        <f t="shared" si="0"/>
        <v>1694683</v>
      </c>
    </row>
    <row r="25" spans="1:10" ht="12">
      <c r="A25" s="313" t="s">
        <v>733</v>
      </c>
      <c r="B25" s="282">
        <f>250000+50000+50000</f>
        <v>350000</v>
      </c>
      <c r="C25" s="282">
        <f>103864+11943+12085+11906</f>
        <v>139798</v>
      </c>
      <c r="D25" s="282">
        <f>1647+549</f>
        <v>2196</v>
      </c>
      <c r="E25" s="282">
        <f>704595+78534+78534+78534</f>
        <v>940197</v>
      </c>
      <c r="F25" s="282">
        <f>180+60</f>
        <v>240</v>
      </c>
      <c r="G25" s="282"/>
      <c r="H25" s="282">
        <v>2000</v>
      </c>
      <c r="I25" s="282"/>
      <c r="J25" s="504">
        <f t="shared" si="0"/>
        <v>1434431</v>
      </c>
    </row>
    <row r="26" spans="1:10" ht="12">
      <c r="A26" s="313" t="s">
        <v>734</v>
      </c>
      <c r="B26" s="282"/>
      <c r="C26" s="282">
        <f>208074+23909+24194+23690</f>
        <v>279867</v>
      </c>
      <c r="D26" s="282">
        <f>2196+732</f>
        <v>2928</v>
      </c>
      <c r="E26" s="504">
        <f>931400+103939+103939+103939</f>
        <v>1243217</v>
      </c>
      <c r="F26" s="282">
        <f>3106+1036</f>
        <v>4142</v>
      </c>
      <c r="G26" s="282"/>
      <c r="H26" s="282">
        <v>10257</v>
      </c>
      <c r="I26" s="282"/>
      <c r="J26" s="504">
        <f t="shared" si="0"/>
        <v>1540411</v>
      </c>
    </row>
    <row r="27" spans="1:10" ht="12">
      <c r="A27" s="313" t="s">
        <v>735</v>
      </c>
      <c r="B27" s="282">
        <f>258850+47150+40000</f>
        <v>346000</v>
      </c>
      <c r="C27" s="282">
        <f>358718+41303+41795+41654</f>
        <v>483470</v>
      </c>
      <c r="D27" s="282">
        <f>2746+914</f>
        <v>3660</v>
      </c>
      <c r="E27" s="504">
        <f>1276627+142603+142603+142603</f>
        <v>1704436</v>
      </c>
      <c r="F27" s="282">
        <f>5054+1684</f>
        <v>6738</v>
      </c>
      <c r="G27" s="282"/>
      <c r="H27" s="282">
        <v>25822</v>
      </c>
      <c r="I27" s="282">
        <v>13800</v>
      </c>
      <c r="J27" s="504">
        <f t="shared" si="0"/>
        <v>2583926</v>
      </c>
    </row>
    <row r="28" spans="1:10" ht="12">
      <c r="A28" s="313" t="s">
        <v>736</v>
      </c>
      <c r="B28" s="282">
        <f>48000+36000+16000</f>
        <v>100000</v>
      </c>
      <c r="C28" s="282">
        <f>107525+12362+12509+12308</f>
        <v>144704</v>
      </c>
      <c r="D28" s="282">
        <f>1746+582</f>
        <v>2328</v>
      </c>
      <c r="E28" s="504">
        <f>933580+105724+105724+105725</f>
        <v>1250753</v>
      </c>
      <c r="F28" s="282">
        <f>2946+982</f>
        <v>3928</v>
      </c>
      <c r="G28" s="282"/>
      <c r="H28" s="282">
        <v>9715</v>
      </c>
      <c r="I28" s="282"/>
      <c r="J28" s="504">
        <f t="shared" si="0"/>
        <v>1511428</v>
      </c>
    </row>
    <row r="29" spans="1:10" ht="12">
      <c r="A29" s="313" t="s">
        <v>737</v>
      </c>
      <c r="B29" s="282">
        <f>904000+201000+150000</f>
        <v>1255000</v>
      </c>
      <c r="C29" s="282">
        <f>347755+39966+40443+39661</f>
        <v>467825</v>
      </c>
      <c r="D29" s="282">
        <f>2745+915</f>
        <v>3660</v>
      </c>
      <c r="E29" s="504">
        <f>1128562+125481+125481+125481</f>
        <v>1505005</v>
      </c>
      <c r="F29" s="282">
        <f>832+278</f>
        <v>1110</v>
      </c>
      <c r="G29" s="282"/>
      <c r="H29" s="282">
        <v>19169</v>
      </c>
      <c r="I29" s="282">
        <v>5250</v>
      </c>
      <c r="J29" s="504">
        <f t="shared" si="0"/>
        <v>3257019</v>
      </c>
    </row>
    <row r="30" spans="1:10" ht="12">
      <c r="A30" s="313" t="s">
        <v>738</v>
      </c>
      <c r="B30" s="282">
        <f>85000+5000</f>
        <v>90000</v>
      </c>
      <c r="C30" s="282">
        <f>404212+46510+47064+46637</f>
        <v>544423</v>
      </c>
      <c r="D30" s="282">
        <f>2745+915</f>
        <v>3660</v>
      </c>
      <c r="E30" s="504">
        <f>1235876+137319+137319+137319</f>
        <v>1647833</v>
      </c>
      <c r="F30" s="282">
        <f>814+271</f>
        <v>1085</v>
      </c>
      <c r="G30" s="282"/>
      <c r="H30" s="282">
        <v>36926</v>
      </c>
      <c r="I30" s="282">
        <v>35625</v>
      </c>
      <c r="J30" s="504">
        <f t="shared" si="0"/>
        <v>2359552</v>
      </c>
    </row>
    <row r="31" spans="1:10" ht="12">
      <c r="A31" s="313" t="s">
        <v>739</v>
      </c>
      <c r="B31" s="282">
        <f>456000+105000+72000</f>
        <v>633000</v>
      </c>
      <c r="C31" s="282">
        <f>123892+14235+14405+14101</f>
        <v>166633</v>
      </c>
      <c r="D31" s="282">
        <f>2745+915</f>
        <v>3660</v>
      </c>
      <c r="E31" s="504">
        <f>1003731+111563+111563+111564</f>
        <v>1338421</v>
      </c>
      <c r="F31" s="282">
        <f>1044+348</f>
        <v>1392</v>
      </c>
      <c r="G31" s="282"/>
      <c r="H31" s="282">
        <v>10658</v>
      </c>
      <c r="I31" s="282">
        <v>3750</v>
      </c>
      <c r="J31" s="504">
        <f t="shared" si="0"/>
        <v>2157514</v>
      </c>
    </row>
    <row r="32" spans="1:10" ht="12">
      <c r="A32" s="313" t="s">
        <v>740</v>
      </c>
      <c r="B32" s="282">
        <v>71000</v>
      </c>
      <c r="C32" s="282">
        <f>111089+12768+12920+12680</f>
        <v>149457</v>
      </c>
      <c r="D32" s="282">
        <f>2745+915</f>
        <v>3660</v>
      </c>
      <c r="E32" s="504">
        <f>844845+95143+95143+95143</f>
        <v>1130274</v>
      </c>
      <c r="F32" s="282">
        <f>3727+1243</f>
        <v>4970</v>
      </c>
      <c r="G32" s="282"/>
      <c r="H32" s="282">
        <v>17065</v>
      </c>
      <c r="I32" s="282">
        <v>31500</v>
      </c>
      <c r="J32" s="504">
        <f t="shared" si="0"/>
        <v>1407926</v>
      </c>
    </row>
    <row r="33" spans="1:10" ht="12">
      <c r="A33" s="313" t="s">
        <v>741</v>
      </c>
      <c r="B33" s="282">
        <v>315000</v>
      </c>
      <c r="C33" s="282">
        <f>211993+24385+24676+24388</f>
        <v>285442</v>
      </c>
      <c r="D33" s="282">
        <f>4942+1646</f>
        <v>6588</v>
      </c>
      <c r="E33" s="504">
        <f>1129286+125676+125676+125677</f>
        <v>1506315</v>
      </c>
      <c r="F33" s="282">
        <f>1607+536</f>
        <v>2143</v>
      </c>
      <c r="G33" s="282"/>
      <c r="H33" s="282">
        <v>13281</v>
      </c>
      <c r="I33" s="282">
        <v>5250</v>
      </c>
      <c r="J33" s="504">
        <f t="shared" si="0"/>
        <v>2134019</v>
      </c>
    </row>
    <row r="34" spans="1:10" ht="12">
      <c r="A34" s="313" t="s">
        <v>742</v>
      </c>
      <c r="B34" s="282">
        <f>132000+11000+3000</f>
        <v>146000</v>
      </c>
      <c r="C34" s="282">
        <f>214052+24622+24915+24624</f>
        <v>288213</v>
      </c>
      <c r="D34" s="282">
        <f>4393+1463</f>
        <v>5856</v>
      </c>
      <c r="E34" s="504">
        <f>1466602+163372+163372+163372</f>
        <v>1956718</v>
      </c>
      <c r="F34" s="282">
        <f>1134+378</f>
        <v>1512</v>
      </c>
      <c r="G34" s="282"/>
      <c r="H34" s="282">
        <v>8188</v>
      </c>
      <c r="I34" s="282"/>
      <c r="J34" s="504">
        <f t="shared" si="0"/>
        <v>2406487</v>
      </c>
    </row>
    <row r="35" spans="1:10" ht="12">
      <c r="A35" s="313" t="s">
        <v>743</v>
      </c>
      <c r="B35" s="282">
        <v>165000</v>
      </c>
      <c r="C35" s="282">
        <f>302829+34868+35284+35174</f>
        <v>408155</v>
      </c>
      <c r="D35" s="282">
        <f>4392+1464</f>
        <v>5856</v>
      </c>
      <c r="E35" s="504">
        <f>1286950+117543</f>
        <v>1404493</v>
      </c>
      <c r="F35" s="282">
        <f>2844+948</f>
        <v>3792</v>
      </c>
      <c r="G35" s="282"/>
      <c r="H35" s="282">
        <v>27287</v>
      </c>
      <c r="I35" s="282">
        <v>7875</v>
      </c>
      <c r="J35" s="504">
        <f t="shared" si="0"/>
        <v>2022458</v>
      </c>
    </row>
    <row r="36" spans="1:10" ht="12">
      <c r="A36" s="313" t="s">
        <v>744</v>
      </c>
      <c r="B36" s="282"/>
      <c r="C36" s="282">
        <f>462629+53180+53815+52887</f>
        <v>622511</v>
      </c>
      <c r="D36" s="282">
        <f>2745+915</f>
        <v>3660</v>
      </c>
      <c r="E36" s="504">
        <f>974928+109549+109549+109549</f>
        <v>1303575</v>
      </c>
      <c r="F36" s="282">
        <f>4760+1585</f>
        <v>6345</v>
      </c>
      <c r="G36" s="282"/>
      <c r="H36" s="282">
        <v>33066</v>
      </c>
      <c r="I36" s="282">
        <v>5250</v>
      </c>
      <c r="J36" s="504">
        <f t="shared" si="0"/>
        <v>1974407</v>
      </c>
    </row>
    <row r="37" spans="1:10" ht="12">
      <c r="A37" s="313" t="s">
        <v>745</v>
      </c>
      <c r="B37" s="282">
        <f>495000+60000+50000+50000</f>
        <v>655000</v>
      </c>
      <c r="C37" s="282">
        <f>420095+48286+48860+47969</f>
        <v>565210</v>
      </c>
      <c r="D37" s="282">
        <f>8784+2928</f>
        <v>11712</v>
      </c>
      <c r="E37" s="504">
        <f>2776968+310127+310128+310128</f>
        <v>3707351</v>
      </c>
      <c r="F37" s="282">
        <f>2120+707</f>
        <v>2827</v>
      </c>
      <c r="G37" s="282"/>
      <c r="H37" s="282">
        <v>38038</v>
      </c>
      <c r="I37" s="282">
        <v>10500</v>
      </c>
      <c r="J37" s="504">
        <f t="shared" si="0"/>
        <v>4990638</v>
      </c>
    </row>
    <row r="38" spans="1:10" ht="12">
      <c r="A38" s="313" t="s">
        <v>746</v>
      </c>
      <c r="B38" s="282">
        <v>255000</v>
      </c>
      <c r="C38" s="282">
        <f>467956+53807+54447+53628</f>
        <v>629838</v>
      </c>
      <c r="D38" s="282">
        <f>2745+915</f>
        <v>3660</v>
      </c>
      <c r="E38" s="504">
        <f>1000282+111398+111398+111398</f>
        <v>1334476</v>
      </c>
      <c r="F38" s="282">
        <f>1090+363</f>
        <v>1453</v>
      </c>
      <c r="G38" s="282"/>
      <c r="H38" s="282"/>
      <c r="I38" s="282"/>
      <c r="J38" s="504">
        <f t="shared" si="0"/>
        <v>2224427</v>
      </c>
    </row>
    <row r="39" spans="1:10" ht="12">
      <c r="A39" s="313" t="s">
        <v>747</v>
      </c>
      <c r="B39" s="282">
        <f>482350+112650+10000</f>
        <v>605000</v>
      </c>
      <c r="C39" s="282">
        <f>172497+32092+32302+31998</f>
        <v>268889</v>
      </c>
      <c r="D39" s="282">
        <f>3843+1281</f>
        <v>5124</v>
      </c>
      <c r="E39" s="504">
        <f>1297303+144159+144159+144159</f>
        <v>1729780</v>
      </c>
      <c r="F39" s="282">
        <f>1736+579</f>
        <v>2315</v>
      </c>
      <c r="G39" s="282"/>
      <c r="H39" s="282">
        <v>7876</v>
      </c>
      <c r="I39" s="282">
        <v>26100</v>
      </c>
      <c r="J39" s="504">
        <f t="shared" si="0"/>
        <v>2645084</v>
      </c>
    </row>
    <row r="40" spans="1:10" ht="12">
      <c r="A40" s="313" t="s">
        <v>748</v>
      </c>
      <c r="B40" s="504">
        <f>178000+15000+10000</f>
        <v>203000</v>
      </c>
      <c r="C40" s="282">
        <f>608796+70314+71151+72797</f>
        <v>823058</v>
      </c>
      <c r="D40" s="282">
        <f>2745+915</f>
        <v>3660</v>
      </c>
      <c r="E40" s="504">
        <f>1326675+147547+147547+147547</f>
        <v>1769316</v>
      </c>
      <c r="F40" s="282">
        <f>1288+429</f>
        <v>1717</v>
      </c>
      <c r="G40" s="504"/>
      <c r="H40" s="504">
        <v>12370</v>
      </c>
      <c r="I40" s="504">
        <v>3525</v>
      </c>
      <c r="J40" s="504">
        <f t="shared" si="0"/>
        <v>2816646</v>
      </c>
    </row>
    <row r="41" spans="1:10" ht="12">
      <c r="A41" s="313" t="s">
        <v>749</v>
      </c>
      <c r="B41" s="282">
        <f>290000+45000+25000</f>
        <v>360000</v>
      </c>
      <c r="C41" s="282">
        <f>147515+16963+17165+16917</f>
        <v>198560</v>
      </c>
      <c r="D41" s="282">
        <f>4392+1464</f>
        <v>5856</v>
      </c>
      <c r="E41" s="504">
        <f>864231+96228+96228+96229</f>
        <v>1152916</v>
      </c>
      <c r="F41" s="282">
        <f>186+62</f>
        <v>248</v>
      </c>
      <c r="G41" s="504"/>
      <c r="H41" s="504">
        <v>14632</v>
      </c>
      <c r="I41" s="504">
        <v>10500</v>
      </c>
      <c r="J41" s="504">
        <f t="shared" si="0"/>
        <v>1742712</v>
      </c>
    </row>
    <row r="42" spans="1:10" ht="12">
      <c r="A42" s="313" t="s">
        <v>750</v>
      </c>
      <c r="B42" s="282"/>
      <c r="C42" s="282">
        <f>550792+63316+64069+62964</f>
        <v>741141</v>
      </c>
      <c r="D42" s="282">
        <f>4941+1647</f>
        <v>6588</v>
      </c>
      <c r="E42" s="504">
        <f>1576856+175541+175541+175541</f>
        <v>2103479</v>
      </c>
      <c r="F42" s="282">
        <f>223+75</f>
        <v>298</v>
      </c>
      <c r="G42" s="504"/>
      <c r="H42" s="504">
        <v>21465</v>
      </c>
      <c r="I42" s="504">
        <v>13726</v>
      </c>
      <c r="J42" s="504">
        <f t="shared" si="0"/>
        <v>2886697</v>
      </c>
    </row>
    <row r="43" spans="1:10" ht="12">
      <c r="A43" s="313" t="s">
        <v>751</v>
      </c>
      <c r="B43" s="282">
        <f>500+1000+500</f>
        <v>2000</v>
      </c>
      <c r="C43" s="282">
        <f>142835+16427+16623+16402</f>
        <v>192287</v>
      </c>
      <c r="D43" s="282">
        <f>2097+699</f>
        <v>2796</v>
      </c>
      <c r="E43" s="282">
        <f>373335+41481+41481+41481</f>
        <v>497778</v>
      </c>
      <c r="F43" s="282">
        <f>180+60</f>
        <v>240</v>
      </c>
      <c r="G43" s="313"/>
      <c r="H43" s="504">
        <v>4543</v>
      </c>
      <c r="I43" s="504">
        <v>4725</v>
      </c>
      <c r="J43" s="504">
        <f t="shared" si="0"/>
        <v>704369</v>
      </c>
    </row>
    <row r="44" spans="1:10" ht="12">
      <c r="A44" s="505" t="s">
        <v>752</v>
      </c>
      <c r="B44" s="506">
        <f>SUM(B11:B43)</f>
        <v>9123000</v>
      </c>
      <c r="C44" s="506">
        <f>SUM(C11:C43)</f>
        <v>16333687</v>
      </c>
      <c r="D44" s="506">
        <f>SUM(D11:D43)</f>
        <v>189705</v>
      </c>
      <c r="E44" s="506">
        <f>SUM(E11:E43)</f>
        <v>66791982</v>
      </c>
      <c r="F44" s="506">
        <f>SUM(F11:F43)</f>
        <v>100000</v>
      </c>
      <c r="G44" s="504"/>
      <c r="H44" s="506">
        <f>SUM(H11:H43)</f>
        <v>403767</v>
      </c>
      <c r="I44" s="506">
        <f>SUM(I11:I43)</f>
        <v>261301</v>
      </c>
      <c r="J44" s="506">
        <f t="shared" si="0"/>
        <v>93203442</v>
      </c>
    </row>
    <row r="45" spans="1:10" ht="12">
      <c r="A45" s="507"/>
      <c r="B45" s="508"/>
      <c r="C45" s="508"/>
      <c r="D45" s="508"/>
      <c r="E45" s="508"/>
      <c r="F45" s="508"/>
      <c r="G45" s="508"/>
      <c r="H45" s="508"/>
      <c r="I45" s="508"/>
      <c r="J45" s="508"/>
    </row>
    <row r="46" spans="1:10" ht="12">
      <c r="A46" s="507"/>
      <c r="B46" s="508"/>
      <c r="C46" s="508"/>
      <c r="D46" s="509"/>
      <c r="E46" s="508"/>
      <c r="F46" s="508"/>
      <c r="G46" s="508"/>
      <c r="H46" s="508"/>
      <c r="I46" s="508"/>
      <c r="J46" s="508"/>
    </row>
    <row r="47" spans="1:10" ht="12">
      <c r="A47" s="507"/>
      <c r="B47" s="508"/>
      <c r="C47" s="508"/>
      <c r="D47" s="508"/>
      <c r="E47" s="508"/>
      <c r="F47" s="508"/>
      <c r="G47" s="508"/>
      <c r="H47" s="508"/>
      <c r="I47" s="508"/>
      <c r="J47" s="508"/>
    </row>
    <row r="48" spans="1:9" ht="12.75">
      <c r="A48" s="510"/>
      <c r="B48" s="511"/>
      <c r="C48" s="512"/>
      <c r="D48" s="513"/>
      <c r="E48" s="513"/>
      <c r="F48" s="513"/>
      <c r="G48" s="513"/>
      <c r="H48" s="513"/>
      <c r="I48" s="513"/>
    </row>
    <row r="49" spans="1:10" s="336" customFormat="1" ht="12">
      <c r="A49" s="394" t="s">
        <v>540</v>
      </c>
      <c r="B49" s="394"/>
      <c r="C49" s="514"/>
      <c r="D49" s="515"/>
      <c r="E49" s="361"/>
      <c r="F49" s="361"/>
      <c r="G49" s="394" t="s">
        <v>673</v>
      </c>
      <c r="H49" s="515"/>
      <c r="I49" s="361"/>
      <c r="J49" s="293" t="s">
        <v>500</v>
      </c>
    </row>
    <row r="50" spans="1:10" ht="12">
      <c r="A50" s="516"/>
      <c r="B50" s="517"/>
      <c r="C50" s="517"/>
      <c r="D50" s="517"/>
      <c r="E50" s="515"/>
      <c r="F50" s="515"/>
      <c r="G50" s="518"/>
      <c r="H50" s="518"/>
      <c r="I50" s="518"/>
      <c r="J50" s="515"/>
    </row>
    <row r="62" ht="11.25">
      <c r="A62" s="278" t="s">
        <v>501</v>
      </c>
    </row>
    <row r="63" ht="11.25">
      <c r="A63" s="274" t="s">
        <v>502</v>
      </c>
    </row>
  </sheetData>
  <printOptions/>
  <pageMargins left="0.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1">
      <selection activeCell="G13" sqref="G13"/>
    </sheetView>
  </sheetViews>
  <sheetFormatPr defaultColWidth="9.140625" defaultRowHeight="12.75"/>
  <cols>
    <col min="1" max="1" width="37.28125" style="49" customWidth="1"/>
    <col min="2" max="2" width="9.140625" style="49" customWidth="1"/>
    <col min="3" max="3" width="8.28125" style="49" customWidth="1"/>
    <col min="4" max="5" width="8.8515625" style="49" customWidth="1"/>
    <col min="6" max="6" width="8.140625" style="49" customWidth="1"/>
  </cols>
  <sheetData>
    <row r="1" ht="12.75">
      <c r="F1" s="39" t="s">
        <v>175</v>
      </c>
    </row>
    <row r="2" spans="1:5" ht="14.25">
      <c r="A2" s="115" t="s">
        <v>176</v>
      </c>
      <c r="B2" s="35"/>
      <c r="C2" s="115"/>
      <c r="D2" s="116"/>
      <c r="E2" s="35"/>
    </row>
    <row r="3" spans="1:5" ht="15.75">
      <c r="A3" s="117"/>
      <c r="B3" s="2"/>
      <c r="C3" s="2"/>
      <c r="D3" s="2"/>
      <c r="E3" s="2"/>
    </row>
    <row r="4" spans="1:6" ht="15.75">
      <c r="A4" s="270" t="s">
        <v>177</v>
      </c>
      <c r="B4" s="270"/>
      <c r="C4" s="270"/>
      <c r="D4" s="270"/>
      <c r="E4" s="270"/>
      <c r="F4" s="270"/>
    </row>
    <row r="5" spans="1:6" ht="18">
      <c r="A5" s="48"/>
      <c r="B5" s="2"/>
      <c r="C5" s="2"/>
      <c r="D5" s="59"/>
      <c r="E5" s="79"/>
      <c r="F5" s="118" t="s">
        <v>178</v>
      </c>
    </row>
    <row r="6" spans="1:6" ht="45">
      <c r="A6" s="4" t="s">
        <v>2</v>
      </c>
      <c r="B6" s="4" t="s">
        <v>99</v>
      </c>
      <c r="C6" s="4" t="s">
        <v>179</v>
      </c>
      <c r="D6" s="4" t="s">
        <v>100</v>
      </c>
      <c r="E6" s="4" t="s">
        <v>180</v>
      </c>
      <c r="F6" s="4" t="s">
        <v>181</v>
      </c>
    </row>
    <row r="7" spans="1:6" ht="12.75">
      <c r="A7" s="3">
        <v>1</v>
      </c>
      <c r="B7" s="119">
        <v>2</v>
      </c>
      <c r="C7" s="120">
        <v>3</v>
      </c>
      <c r="D7" s="120">
        <v>4</v>
      </c>
      <c r="E7" s="120">
        <v>5</v>
      </c>
      <c r="F7" s="119">
        <v>6</v>
      </c>
    </row>
    <row r="8" spans="1:6" ht="15">
      <c r="A8" s="121" t="s">
        <v>182</v>
      </c>
      <c r="B8" s="5">
        <v>632187</v>
      </c>
      <c r="C8" s="122">
        <v>1.03</v>
      </c>
      <c r="D8" s="5">
        <v>648095</v>
      </c>
      <c r="E8" s="123">
        <v>1.025</v>
      </c>
      <c r="F8" s="5">
        <v>55225</v>
      </c>
    </row>
    <row r="9" spans="1:6" ht="12.75">
      <c r="A9" s="124" t="s">
        <v>183</v>
      </c>
      <c r="B9" s="125">
        <v>515297</v>
      </c>
      <c r="C9" s="126">
        <v>1.034</v>
      </c>
      <c r="D9" s="125">
        <v>532086</v>
      </c>
      <c r="E9" s="127">
        <v>1.033</v>
      </c>
      <c r="F9" s="125">
        <v>43150</v>
      </c>
    </row>
    <row r="10" spans="1:6" ht="12.75">
      <c r="A10" s="128" t="s">
        <v>184</v>
      </c>
      <c r="B10" s="7">
        <v>85300</v>
      </c>
      <c r="C10" s="129">
        <v>1.078</v>
      </c>
      <c r="D10" s="7">
        <v>92211</v>
      </c>
      <c r="E10" s="130">
        <v>1.081</v>
      </c>
      <c r="F10" s="7">
        <v>8202</v>
      </c>
    </row>
    <row r="11" spans="1:6" ht="12.75">
      <c r="A11" s="92" t="s">
        <v>185</v>
      </c>
      <c r="B11" s="22">
        <v>85300</v>
      </c>
      <c r="C11" s="131">
        <v>1.078</v>
      </c>
      <c r="D11" s="22">
        <v>92211</v>
      </c>
      <c r="E11" s="132">
        <v>1.081</v>
      </c>
      <c r="F11" s="22">
        <v>8202</v>
      </c>
    </row>
    <row r="12" spans="1:6" ht="12.75">
      <c r="A12" s="128" t="s">
        <v>186</v>
      </c>
      <c r="B12" s="7">
        <v>429997</v>
      </c>
      <c r="C12" s="129">
        <v>1.012</v>
      </c>
      <c r="D12" s="7">
        <v>437862</v>
      </c>
      <c r="E12" s="130">
        <v>1.018</v>
      </c>
      <c r="F12" s="7">
        <v>39211</v>
      </c>
    </row>
    <row r="13" spans="1:6" ht="12.75">
      <c r="A13" s="92" t="s">
        <v>187</v>
      </c>
      <c r="B13" s="22">
        <v>307331</v>
      </c>
      <c r="C13" s="131">
        <v>1.026</v>
      </c>
      <c r="D13" s="22">
        <v>316206</v>
      </c>
      <c r="E13" s="132">
        <v>1.029</v>
      </c>
      <c r="F13" s="22">
        <v>30139</v>
      </c>
    </row>
    <row r="14" spans="1:6" ht="12.75">
      <c r="A14" s="92" t="s">
        <v>188</v>
      </c>
      <c r="B14" s="22">
        <v>107751</v>
      </c>
      <c r="C14" s="131">
        <v>0.975</v>
      </c>
      <c r="D14" s="22">
        <v>105583</v>
      </c>
      <c r="E14" s="132">
        <v>0.98</v>
      </c>
      <c r="F14" s="22">
        <v>7308</v>
      </c>
    </row>
    <row r="15" spans="1:6" ht="12.75">
      <c r="A15" s="133" t="s">
        <v>189</v>
      </c>
      <c r="B15" s="22">
        <v>14915</v>
      </c>
      <c r="C15" s="131">
        <v>1.034</v>
      </c>
      <c r="D15" s="22">
        <v>16073</v>
      </c>
      <c r="E15" s="132">
        <v>1.078</v>
      </c>
      <c r="F15" s="22">
        <v>1764</v>
      </c>
    </row>
    <row r="16" spans="1:6" ht="12.75">
      <c r="A16" s="134" t="s">
        <v>190</v>
      </c>
      <c r="B16" s="7">
        <v>0</v>
      </c>
      <c r="C16" s="129">
        <v>0</v>
      </c>
      <c r="D16" s="7">
        <v>2013</v>
      </c>
      <c r="E16" s="130" t="s">
        <v>113</v>
      </c>
      <c r="F16" s="22">
        <v>-4263</v>
      </c>
    </row>
    <row r="17" spans="1:6" ht="12.75">
      <c r="A17" s="124" t="s">
        <v>191</v>
      </c>
      <c r="B17" s="125">
        <v>49529</v>
      </c>
      <c r="C17" s="126">
        <v>1.105</v>
      </c>
      <c r="D17" s="125">
        <v>54310</v>
      </c>
      <c r="E17" s="127">
        <v>1.097</v>
      </c>
      <c r="F17" s="125">
        <v>5468</v>
      </c>
    </row>
    <row r="18" spans="1:6" ht="12.75">
      <c r="A18" s="135" t="s">
        <v>192</v>
      </c>
      <c r="B18" s="22">
        <v>3464</v>
      </c>
      <c r="C18" s="131">
        <v>1.219</v>
      </c>
      <c r="D18" s="22">
        <v>4240</v>
      </c>
      <c r="E18" s="132">
        <v>1.224</v>
      </c>
      <c r="F18" s="22">
        <v>20</v>
      </c>
    </row>
    <row r="19" spans="1:6" ht="12.75">
      <c r="A19" s="92" t="s">
        <v>193</v>
      </c>
      <c r="B19" s="22">
        <v>8220</v>
      </c>
      <c r="C19" s="131">
        <v>1.23</v>
      </c>
      <c r="D19" s="22">
        <v>9243</v>
      </c>
      <c r="E19" s="132">
        <v>1.124</v>
      </c>
      <c r="F19" s="22">
        <v>1028</v>
      </c>
    </row>
    <row r="20" spans="1:6" ht="22.5">
      <c r="A20" s="135" t="s">
        <v>194</v>
      </c>
      <c r="B20" s="22">
        <v>10860</v>
      </c>
      <c r="C20" s="131">
        <v>0.956</v>
      </c>
      <c r="D20" s="22">
        <v>10371</v>
      </c>
      <c r="E20" s="132">
        <v>0.955</v>
      </c>
      <c r="F20" s="22">
        <v>1057</v>
      </c>
    </row>
    <row r="21" spans="1:6" ht="22.5">
      <c r="A21" s="135" t="s">
        <v>195</v>
      </c>
      <c r="B21" s="22">
        <v>450</v>
      </c>
      <c r="C21" s="131">
        <v>1.389</v>
      </c>
      <c r="D21" s="22">
        <v>779</v>
      </c>
      <c r="E21" s="132">
        <v>1.731</v>
      </c>
      <c r="F21" s="22">
        <v>166</v>
      </c>
    </row>
    <row r="22" spans="1:6" ht="12.75">
      <c r="A22" s="135" t="s">
        <v>196</v>
      </c>
      <c r="B22" s="22">
        <v>702</v>
      </c>
      <c r="C22" s="131">
        <v>1.202</v>
      </c>
      <c r="D22" s="22">
        <v>894</v>
      </c>
      <c r="E22" s="132">
        <v>1.274</v>
      </c>
      <c r="F22" s="22">
        <v>52</v>
      </c>
    </row>
    <row r="23" spans="1:6" ht="12.75">
      <c r="A23" s="92" t="s">
        <v>197</v>
      </c>
      <c r="B23" s="22">
        <v>4250</v>
      </c>
      <c r="C23" s="131">
        <v>1.317</v>
      </c>
      <c r="D23" s="22">
        <v>5677</v>
      </c>
      <c r="E23" s="132">
        <v>1.336</v>
      </c>
      <c r="F23" s="22">
        <v>564</v>
      </c>
    </row>
    <row r="24" spans="1:6" ht="12.75">
      <c r="A24" s="92" t="s">
        <v>198</v>
      </c>
      <c r="B24" s="22">
        <v>12497</v>
      </c>
      <c r="C24" s="131">
        <v>1.105</v>
      </c>
      <c r="D24" s="22">
        <v>14155</v>
      </c>
      <c r="E24" s="132">
        <v>1.133</v>
      </c>
      <c r="F24" s="22">
        <v>423</v>
      </c>
    </row>
    <row r="25" spans="1:6" ht="22.5">
      <c r="A25" s="136" t="s">
        <v>199</v>
      </c>
      <c r="B25" s="24">
        <v>6000</v>
      </c>
      <c r="C25" s="137">
        <v>0.97</v>
      </c>
      <c r="D25" s="24">
        <v>5820</v>
      </c>
      <c r="E25" s="138">
        <v>0.97</v>
      </c>
      <c r="F25" s="24">
        <v>0</v>
      </c>
    </row>
    <row r="26" spans="1:6" ht="33.75">
      <c r="A26" s="136" t="s">
        <v>200</v>
      </c>
      <c r="B26" s="24">
        <v>1504</v>
      </c>
      <c r="C26" s="137">
        <v>1</v>
      </c>
      <c r="D26" s="24">
        <v>1504</v>
      </c>
      <c r="E26" s="138">
        <v>1</v>
      </c>
      <c r="F26" s="24">
        <v>100</v>
      </c>
    </row>
    <row r="27" spans="1:6" ht="12.75">
      <c r="A27" s="136" t="s">
        <v>201</v>
      </c>
      <c r="B27" s="24">
        <v>4993</v>
      </c>
      <c r="C27" s="137">
        <v>1.105</v>
      </c>
      <c r="D27" s="24">
        <v>6831</v>
      </c>
      <c r="E27" s="138">
        <v>1.368</v>
      </c>
      <c r="F27" s="24">
        <v>324</v>
      </c>
    </row>
    <row r="28" spans="1:6" ht="12.75">
      <c r="A28" s="135" t="s">
        <v>202</v>
      </c>
      <c r="B28" s="22">
        <v>4636</v>
      </c>
      <c r="C28" s="131">
        <v>1</v>
      </c>
      <c r="D28" s="22">
        <v>4636</v>
      </c>
      <c r="E28" s="132">
        <v>1</v>
      </c>
      <c r="F28" s="22">
        <v>1000</v>
      </c>
    </row>
    <row r="29" spans="1:6" ht="22.5">
      <c r="A29" s="136" t="s">
        <v>203</v>
      </c>
      <c r="B29" s="24">
        <v>4636</v>
      </c>
      <c r="C29" s="137">
        <v>1</v>
      </c>
      <c r="D29" s="24">
        <v>4636</v>
      </c>
      <c r="E29" s="138">
        <v>1</v>
      </c>
      <c r="F29" s="24">
        <v>1000</v>
      </c>
    </row>
    <row r="30" spans="1:6" ht="12.75">
      <c r="A30" s="135" t="s">
        <v>204</v>
      </c>
      <c r="B30" s="22">
        <v>4450</v>
      </c>
      <c r="C30" s="131">
        <v>1.015</v>
      </c>
      <c r="D30" s="22">
        <v>4314</v>
      </c>
      <c r="E30" s="132">
        <v>0.969</v>
      </c>
      <c r="F30" s="22">
        <v>1158</v>
      </c>
    </row>
    <row r="31" spans="1:6" ht="22.5">
      <c r="A31" s="136" t="s">
        <v>205</v>
      </c>
      <c r="B31" s="24">
        <v>1450</v>
      </c>
      <c r="C31" s="137">
        <v>1.315</v>
      </c>
      <c r="D31" s="24">
        <v>1906</v>
      </c>
      <c r="E31" s="138">
        <v>1.314</v>
      </c>
      <c r="F31" s="24">
        <v>0</v>
      </c>
    </row>
    <row r="32" spans="1:6" ht="33.75">
      <c r="A32" s="136" t="s">
        <v>206</v>
      </c>
      <c r="B32" s="24">
        <v>3000</v>
      </c>
      <c r="C32" s="137">
        <v>0.87</v>
      </c>
      <c r="D32" s="24">
        <v>2117</v>
      </c>
      <c r="E32" s="138">
        <v>0.706</v>
      </c>
      <c r="F32" s="24">
        <v>867</v>
      </c>
    </row>
    <row r="33" spans="1:6" ht="12.75">
      <c r="A33" s="139" t="s">
        <v>207</v>
      </c>
      <c r="B33" s="125">
        <v>67361</v>
      </c>
      <c r="C33" s="126">
        <v>0.944</v>
      </c>
      <c r="D33" s="125">
        <v>61699</v>
      </c>
      <c r="E33" s="127">
        <v>0.916</v>
      </c>
      <c r="F33" s="7">
        <v>6607</v>
      </c>
    </row>
    <row r="34" spans="1:6" ht="22.5">
      <c r="A34" s="135" t="s">
        <v>208</v>
      </c>
      <c r="B34" s="22">
        <v>67361</v>
      </c>
      <c r="C34" s="131">
        <v>0.944</v>
      </c>
      <c r="D34" s="22">
        <v>61699</v>
      </c>
      <c r="E34" s="132">
        <v>0.916</v>
      </c>
      <c r="F34" s="22">
        <v>6607</v>
      </c>
    </row>
    <row r="35" spans="1:6" ht="12.75">
      <c r="A35" s="140"/>
      <c r="B35" s="141"/>
      <c r="C35" s="142"/>
      <c r="D35" s="141"/>
      <c r="E35" s="143"/>
      <c r="F35" s="144"/>
    </row>
    <row r="36" spans="1:5" ht="12.75">
      <c r="A36" s="145" t="s">
        <v>209</v>
      </c>
      <c r="B36" s="141"/>
      <c r="C36" s="142"/>
      <c r="D36" s="141"/>
      <c r="E36" s="143"/>
    </row>
    <row r="37" spans="1:5" ht="12.75">
      <c r="A37" s="145" t="s">
        <v>210</v>
      </c>
      <c r="B37" s="141"/>
      <c r="C37" s="142"/>
      <c r="D37" s="141"/>
      <c r="E37" s="143"/>
    </row>
    <row r="38" spans="1:5" ht="12.75">
      <c r="A38" s="145"/>
      <c r="B38" s="146"/>
      <c r="C38" s="146"/>
      <c r="D38" s="147"/>
      <c r="E38" s="147"/>
    </row>
    <row r="39" spans="1:5" ht="12.75">
      <c r="A39" s="2" t="s">
        <v>211</v>
      </c>
      <c r="B39" s="2"/>
      <c r="C39" s="2"/>
      <c r="D39" s="2"/>
      <c r="E39" s="148"/>
    </row>
    <row r="40" spans="1:5" ht="12.75">
      <c r="A40" s="2"/>
      <c r="B40" s="2"/>
      <c r="C40" s="2"/>
      <c r="D40" s="2"/>
      <c r="E40" s="148"/>
    </row>
    <row r="41" spans="1:5" ht="12.75">
      <c r="A41" s="2"/>
      <c r="B41" s="2"/>
      <c r="C41" s="2"/>
      <c r="D41" s="2"/>
      <c r="E41" s="2"/>
    </row>
    <row r="42" ht="12.75">
      <c r="A42" s="2" t="s">
        <v>173</v>
      </c>
    </row>
    <row r="43" spans="1:5" ht="12.75">
      <c r="A43" s="2" t="s">
        <v>212</v>
      </c>
      <c r="B43" s="149"/>
      <c r="C43" s="149"/>
      <c r="D43" s="149"/>
      <c r="E43" s="2"/>
    </row>
    <row r="44" ht="12.75">
      <c r="A44" s="2" t="s">
        <v>213</v>
      </c>
    </row>
    <row r="46" ht="12.75">
      <c r="A46" s="2"/>
    </row>
    <row r="47" ht="12.75">
      <c r="A47" s="2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</sheetData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3"/>
  <sheetViews>
    <sheetView workbookViewId="0" topLeftCell="A1">
      <selection activeCell="I14" sqref="I14"/>
    </sheetView>
  </sheetViews>
  <sheetFormatPr defaultColWidth="9.140625" defaultRowHeight="12.75"/>
  <cols>
    <col min="1" max="1" width="33.140625" style="49" customWidth="1"/>
    <col min="2" max="2" width="9.140625" style="49" customWidth="1"/>
    <col min="3" max="3" width="9.00390625" style="49" customWidth="1"/>
    <col min="4" max="4" width="8.140625" style="49" customWidth="1"/>
    <col min="5" max="5" width="9.8515625" style="49" customWidth="1"/>
    <col min="6" max="6" width="9.00390625" style="49" customWidth="1"/>
    <col min="7" max="7" width="8.8515625" style="49" customWidth="1"/>
  </cols>
  <sheetData>
    <row r="1" spans="1:7" ht="12.75">
      <c r="A1" s="35" t="s">
        <v>214</v>
      </c>
      <c r="B1" s="35"/>
      <c r="C1" s="115"/>
      <c r="D1" s="35"/>
      <c r="E1" s="35"/>
      <c r="F1" s="115"/>
      <c r="G1" s="49" t="s">
        <v>215</v>
      </c>
    </row>
    <row r="2" spans="1:7" ht="12.75">
      <c r="A2" s="35"/>
      <c r="B2" s="35"/>
      <c r="C2" s="115"/>
      <c r="D2" s="35"/>
      <c r="E2" s="35"/>
      <c r="F2" s="115"/>
      <c r="G2" s="2"/>
    </row>
    <row r="3" spans="1:7" ht="15.75">
      <c r="A3" s="150" t="s">
        <v>216</v>
      </c>
      <c r="B3" s="115"/>
      <c r="C3" s="115"/>
      <c r="D3" s="115"/>
      <c r="E3" s="115"/>
      <c r="F3" s="115"/>
      <c r="G3" s="2"/>
    </row>
    <row r="4" spans="1:7" ht="15.75">
      <c r="A4" s="150" t="s">
        <v>217</v>
      </c>
      <c r="B4" s="115"/>
      <c r="C4" s="115"/>
      <c r="D4" s="115"/>
      <c r="E4" s="115"/>
      <c r="F4" s="115"/>
      <c r="G4" s="2"/>
    </row>
    <row r="5" spans="1:7" ht="14.25">
      <c r="A5" s="2"/>
      <c r="B5" s="2"/>
      <c r="C5" s="2"/>
      <c r="D5" s="59"/>
      <c r="E5" s="39"/>
      <c r="F5" s="2"/>
      <c r="G5" s="2" t="s">
        <v>178</v>
      </c>
    </row>
    <row r="6" spans="1:7" ht="78.75">
      <c r="A6" s="4" t="s">
        <v>2</v>
      </c>
      <c r="B6" s="4" t="s">
        <v>99</v>
      </c>
      <c r="C6" s="4" t="s">
        <v>218</v>
      </c>
      <c r="D6" s="4" t="s">
        <v>100</v>
      </c>
      <c r="E6" s="4" t="s">
        <v>219</v>
      </c>
      <c r="F6" s="4" t="s">
        <v>220</v>
      </c>
      <c r="G6" s="4" t="s">
        <v>6</v>
      </c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19">
        <v>7</v>
      </c>
    </row>
    <row r="8" spans="1:7" ht="15">
      <c r="A8" s="121" t="s">
        <v>221</v>
      </c>
      <c r="B8" s="151">
        <v>704860</v>
      </c>
      <c r="C8" s="151">
        <v>704852</v>
      </c>
      <c r="D8" s="151">
        <v>692017</v>
      </c>
      <c r="E8" s="152">
        <v>0.982</v>
      </c>
      <c r="F8" s="152">
        <v>0.982</v>
      </c>
      <c r="G8" s="151">
        <v>70405</v>
      </c>
    </row>
    <row r="9" spans="1:7" ht="12.75">
      <c r="A9" s="153" t="s">
        <v>222</v>
      </c>
      <c r="B9" s="26">
        <v>640293</v>
      </c>
      <c r="C9" s="26">
        <v>640284</v>
      </c>
      <c r="D9" s="26">
        <v>627905</v>
      </c>
      <c r="E9" s="154">
        <v>0.981</v>
      </c>
      <c r="F9" s="154">
        <v>0.981</v>
      </c>
      <c r="G9" s="26">
        <v>58212</v>
      </c>
    </row>
    <row r="10" spans="1:7" ht="12.75">
      <c r="A10" s="153" t="s">
        <v>223</v>
      </c>
      <c r="B10" s="26">
        <v>64567</v>
      </c>
      <c r="C10" s="26">
        <v>64568</v>
      </c>
      <c r="D10" s="26">
        <v>64112</v>
      </c>
      <c r="E10" s="154">
        <v>0.993</v>
      </c>
      <c r="F10" s="154">
        <v>0.993</v>
      </c>
      <c r="G10" s="26">
        <v>12193</v>
      </c>
    </row>
    <row r="11" spans="1:7" ht="12.75">
      <c r="A11" s="102" t="s">
        <v>224</v>
      </c>
      <c r="B11" s="155">
        <v>904</v>
      </c>
      <c r="C11" s="155">
        <v>904</v>
      </c>
      <c r="D11" s="155">
        <v>904</v>
      </c>
      <c r="E11" s="156">
        <v>1</v>
      </c>
      <c r="F11" s="156">
        <v>1</v>
      </c>
      <c r="G11" s="155">
        <v>68</v>
      </c>
    </row>
    <row r="12" spans="1:7" ht="12.75">
      <c r="A12" s="133" t="s">
        <v>222</v>
      </c>
      <c r="B12" s="157">
        <v>860</v>
      </c>
      <c r="C12" s="157">
        <v>860</v>
      </c>
      <c r="D12" s="157">
        <v>860</v>
      </c>
      <c r="E12" s="154">
        <v>1</v>
      </c>
      <c r="F12" s="154">
        <v>1</v>
      </c>
      <c r="G12" s="157">
        <v>57</v>
      </c>
    </row>
    <row r="13" spans="1:7" ht="12.75">
      <c r="A13" s="133" t="s">
        <v>223</v>
      </c>
      <c r="B13" s="157">
        <v>44</v>
      </c>
      <c r="C13" s="157">
        <v>44</v>
      </c>
      <c r="D13" s="157">
        <v>44</v>
      </c>
      <c r="E13" s="154">
        <v>1</v>
      </c>
      <c r="F13" s="154">
        <v>1</v>
      </c>
      <c r="G13" s="157">
        <v>11</v>
      </c>
    </row>
    <row r="14" spans="1:7" ht="12.75">
      <c r="A14" s="158" t="s">
        <v>225</v>
      </c>
      <c r="B14" s="155">
        <v>6091</v>
      </c>
      <c r="C14" s="155">
        <v>6091</v>
      </c>
      <c r="D14" s="155">
        <v>5954</v>
      </c>
      <c r="E14" s="156">
        <v>0.978</v>
      </c>
      <c r="F14" s="156">
        <v>0.978</v>
      </c>
      <c r="G14" s="155">
        <v>822</v>
      </c>
    </row>
    <row r="15" spans="1:7" ht="12.75">
      <c r="A15" s="133" t="s">
        <v>222</v>
      </c>
      <c r="B15" s="157">
        <v>4992</v>
      </c>
      <c r="C15" s="157">
        <v>4992</v>
      </c>
      <c r="D15" s="157">
        <v>4882</v>
      </c>
      <c r="E15" s="154">
        <v>0.978</v>
      </c>
      <c r="F15" s="154">
        <v>0.978</v>
      </c>
      <c r="G15" s="157">
        <v>628</v>
      </c>
    </row>
    <row r="16" spans="1:7" ht="12.75">
      <c r="A16" s="133" t="s">
        <v>223</v>
      </c>
      <c r="B16" s="157">
        <v>1099</v>
      </c>
      <c r="C16" s="157">
        <v>1099</v>
      </c>
      <c r="D16" s="157">
        <v>1072</v>
      </c>
      <c r="E16" s="154">
        <v>0.975</v>
      </c>
      <c r="F16" s="154">
        <v>0.975</v>
      </c>
      <c r="G16" s="157">
        <v>194</v>
      </c>
    </row>
    <row r="17" spans="1:7" ht="12.75">
      <c r="A17" s="158" t="s">
        <v>226</v>
      </c>
      <c r="B17" s="155">
        <v>3473</v>
      </c>
      <c r="C17" s="155">
        <v>3473</v>
      </c>
      <c r="D17" s="155">
        <v>3451</v>
      </c>
      <c r="E17" s="156">
        <v>0.994</v>
      </c>
      <c r="F17" s="156">
        <v>0.994</v>
      </c>
      <c r="G17" s="155">
        <v>296</v>
      </c>
    </row>
    <row r="18" spans="1:7" ht="12.75">
      <c r="A18" s="133" t="s">
        <v>222</v>
      </c>
      <c r="B18" s="157">
        <v>3266</v>
      </c>
      <c r="C18" s="157">
        <v>3266</v>
      </c>
      <c r="D18" s="157">
        <v>3246</v>
      </c>
      <c r="E18" s="154">
        <v>0.994</v>
      </c>
      <c r="F18" s="154">
        <v>0.994</v>
      </c>
      <c r="G18" s="157">
        <v>274</v>
      </c>
    </row>
    <row r="19" spans="1:7" ht="12.75">
      <c r="A19" s="133" t="s">
        <v>223</v>
      </c>
      <c r="B19" s="157">
        <v>207</v>
      </c>
      <c r="C19" s="157">
        <v>207</v>
      </c>
      <c r="D19" s="157">
        <v>205</v>
      </c>
      <c r="E19" s="154">
        <v>0.99</v>
      </c>
      <c r="F19" s="154">
        <v>0.99</v>
      </c>
      <c r="G19" s="157">
        <v>22</v>
      </c>
    </row>
    <row r="20" spans="1:7" ht="12.75">
      <c r="A20" s="158" t="s">
        <v>227</v>
      </c>
      <c r="B20" s="155">
        <v>33135</v>
      </c>
      <c r="C20" s="155">
        <v>33135</v>
      </c>
      <c r="D20" s="155">
        <v>32676</v>
      </c>
      <c r="E20" s="156">
        <v>0.986</v>
      </c>
      <c r="F20" s="156">
        <v>0.986</v>
      </c>
      <c r="G20" s="155">
        <v>5281</v>
      </c>
    </row>
    <row r="21" spans="1:7" ht="12.75">
      <c r="A21" s="133" t="s">
        <v>222</v>
      </c>
      <c r="B21" s="157">
        <v>29134</v>
      </c>
      <c r="C21" s="157">
        <v>29134</v>
      </c>
      <c r="D21" s="157">
        <v>28697</v>
      </c>
      <c r="E21" s="154">
        <v>0.985</v>
      </c>
      <c r="F21" s="154">
        <v>0.985</v>
      </c>
      <c r="G21" s="157">
        <v>3694</v>
      </c>
    </row>
    <row r="22" spans="1:7" ht="12.75">
      <c r="A22" s="133" t="s">
        <v>223</v>
      </c>
      <c r="B22" s="157">
        <v>4001</v>
      </c>
      <c r="C22" s="157">
        <v>4001</v>
      </c>
      <c r="D22" s="157">
        <v>3979</v>
      </c>
      <c r="E22" s="154">
        <v>0.995</v>
      </c>
      <c r="F22" s="154">
        <v>0.995</v>
      </c>
      <c r="G22" s="157">
        <v>1587</v>
      </c>
    </row>
    <row r="23" spans="1:7" ht="12.75">
      <c r="A23" s="158" t="s">
        <v>228</v>
      </c>
      <c r="B23" s="155">
        <v>12786</v>
      </c>
      <c r="C23" s="155">
        <v>12786</v>
      </c>
      <c r="D23" s="155">
        <v>12153</v>
      </c>
      <c r="E23" s="156">
        <v>0.95</v>
      </c>
      <c r="F23" s="156">
        <v>0.95</v>
      </c>
      <c r="G23" s="155">
        <v>2494</v>
      </c>
    </row>
    <row r="24" spans="1:7" ht="12.75">
      <c r="A24" s="133" t="s">
        <v>222</v>
      </c>
      <c r="B24" s="157">
        <v>10520</v>
      </c>
      <c r="C24" s="157">
        <v>10520</v>
      </c>
      <c r="D24" s="157">
        <v>9876</v>
      </c>
      <c r="E24" s="154">
        <v>0.939</v>
      </c>
      <c r="F24" s="154">
        <v>0.939</v>
      </c>
      <c r="G24" s="157">
        <v>543</v>
      </c>
    </row>
    <row r="25" spans="1:7" ht="12.75">
      <c r="A25" s="133" t="s">
        <v>223</v>
      </c>
      <c r="B25" s="157">
        <v>2266</v>
      </c>
      <c r="C25" s="157">
        <v>2266</v>
      </c>
      <c r="D25" s="157">
        <v>2277</v>
      </c>
      <c r="E25" s="154">
        <v>1.005</v>
      </c>
      <c r="F25" s="154">
        <v>1.005</v>
      </c>
      <c r="G25" s="157">
        <v>1951</v>
      </c>
    </row>
    <row r="26" spans="1:7" ht="12.75">
      <c r="A26" s="158" t="s">
        <v>229</v>
      </c>
      <c r="B26" s="155">
        <v>4477</v>
      </c>
      <c r="C26" s="155">
        <v>4477</v>
      </c>
      <c r="D26" s="155">
        <v>4451</v>
      </c>
      <c r="E26" s="156">
        <v>0.994</v>
      </c>
      <c r="F26" s="156">
        <v>0.994</v>
      </c>
      <c r="G26" s="155">
        <v>493</v>
      </c>
    </row>
    <row r="27" spans="1:7" ht="12.75">
      <c r="A27" s="133" t="s">
        <v>222</v>
      </c>
      <c r="B27" s="157">
        <v>4199</v>
      </c>
      <c r="C27" s="157">
        <v>4199</v>
      </c>
      <c r="D27" s="157">
        <v>4172</v>
      </c>
      <c r="E27" s="154">
        <v>0.994</v>
      </c>
      <c r="F27" s="154">
        <v>0.994</v>
      </c>
      <c r="G27" s="157">
        <v>413</v>
      </c>
    </row>
    <row r="28" spans="1:7" ht="12.75">
      <c r="A28" s="133" t="s">
        <v>223</v>
      </c>
      <c r="B28" s="157">
        <v>278</v>
      </c>
      <c r="C28" s="157">
        <v>278</v>
      </c>
      <c r="D28" s="157">
        <v>279</v>
      </c>
      <c r="E28" s="154">
        <v>1.004</v>
      </c>
      <c r="F28" s="154">
        <v>1.004</v>
      </c>
      <c r="G28" s="157">
        <v>80</v>
      </c>
    </row>
    <row r="29" spans="1:7" ht="12.75">
      <c r="A29" s="158" t="s">
        <v>230</v>
      </c>
      <c r="B29" s="155">
        <v>95695</v>
      </c>
      <c r="C29" s="155">
        <v>95694</v>
      </c>
      <c r="D29" s="155">
        <v>90100</v>
      </c>
      <c r="E29" s="156">
        <v>0.942</v>
      </c>
      <c r="F29" s="156">
        <v>0.942</v>
      </c>
      <c r="G29" s="155">
        <v>8702</v>
      </c>
    </row>
    <row r="30" spans="1:7" ht="12.75">
      <c r="A30" s="133" t="s">
        <v>222</v>
      </c>
      <c r="B30" s="157">
        <v>85527</v>
      </c>
      <c r="C30" s="157">
        <v>85526</v>
      </c>
      <c r="D30" s="157">
        <v>79824</v>
      </c>
      <c r="E30" s="154">
        <v>0.933</v>
      </c>
      <c r="F30" s="154">
        <v>0.933</v>
      </c>
      <c r="G30" s="157">
        <v>6723</v>
      </c>
    </row>
    <row r="31" spans="1:7" ht="12.75">
      <c r="A31" s="133" t="s">
        <v>223</v>
      </c>
      <c r="B31" s="157">
        <v>10168</v>
      </c>
      <c r="C31" s="157">
        <v>10168</v>
      </c>
      <c r="D31" s="157">
        <v>10276</v>
      </c>
      <c r="E31" s="154">
        <v>1.011</v>
      </c>
      <c r="F31" s="154">
        <v>1.011</v>
      </c>
      <c r="G31" s="157">
        <v>1979</v>
      </c>
    </row>
    <row r="32" spans="1:7" ht="12.75">
      <c r="A32" s="158" t="s">
        <v>231</v>
      </c>
      <c r="B32" s="155">
        <v>97841</v>
      </c>
      <c r="C32" s="155">
        <v>97841</v>
      </c>
      <c r="D32" s="155">
        <v>96732</v>
      </c>
      <c r="E32" s="156">
        <v>0.989</v>
      </c>
      <c r="F32" s="156">
        <v>0.989</v>
      </c>
      <c r="G32" s="155">
        <v>11054</v>
      </c>
    </row>
    <row r="33" spans="1:7" ht="12.75">
      <c r="A33" s="133" t="s">
        <v>222</v>
      </c>
      <c r="B33" s="157">
        <v>84005</v>
      </c>
      <c r="C33" s="157">
        <v>84005</v>
      </c>
      <c r="D33" s="157">
        <v>82968</v>
      </c>
      <c r="E33" s="154">
        <v>0.988</v>
      </c>
      <c r="F33" s="154">
        <v>0.988</v>
      </c>
      <c r="G33" s="157">
        <v>7217</v>
      </c>
    </row>
    <row r="34" spans="1:7" ht="12.75">
      <c r="A34" s="133" t="s">
        <v>223</v>
      </c>
      <c r="B34" s="157">
        <v>13836</v>
      </c>
      <c r="C34" s="157">
        <v>13836</v>
      </c>
      <c r="D34" s="157">
        <v>13764</v>
      </c>
      <c r="E34" s="154">
        <v>0.995</v>
      </c>
      <c r="F34" s="154">
        <v>0.995</v>
      </c>
      <c r="G34" s="157">
        <v>3837</v>
      </c>
    </row>
    <row r="35" spans="1:7" ht="12.75">
      <c r="A35" s="102" t="s">
        <v>232</v>
      </c>
      <c r="B35" s="155">
        <v>61645</v>
      </c>
      <c r="C35" s="155">
        <v>61645</v>
      </c>
      <c r="D35" s="155">
        <v>60200</v>
      </c>
      <c r="E35" s="156">
        <v>0.977</v>
      </c>
      <c r="F35" s="156">
        <v>0.977</v>
      </c>
      <c r="G35" s="155">
        <v>7529</v>
      </c>
    </row>
    <row r="36" spans="1:7" ht="12.75">
      <c r="A36" s="133" t="s">
        <v>222</v>
      </c>
      <c r="B36" s="157">
        <v>56665</v>
      </c>
      <c r="C36" s="157">
        <v>56665</v>
      </c>
      <c r="D36" s="157">
        <v>55264</v>
      </c>
      <c r="E36" s="154">
        <v>0.975</v>
      </c>
      <c r="F36" s="154">
        <v>0.975</v>
      </c>
      <c r="G36" s="157">
        <v>6764</v>
      </c>
    </row>
    <row r="37" spans="1:7" ht="12.75">
      <c r="A37" s="133" t="s">
        <v>223</v>
      </c>
      <c r="B37" s="157">
        <v>4980</v>
      </c>
      <c r="C37" s="157">
        <v>4980</v>
      </c>
      <c r="D37" s="157">
        <v>4936</v>
      </c>
      <c r="E37" s="154">
        <v>0.991</v>
      </c>
      <c r="F37" s="154">
        <v>0.991</v>
      </c>
      <c r="G37" s="157">
        <v>765</v>
      </c>
    </row>
    <row r="38" spans="1:7" ht="12.75">
      <c r="A38" s="158" t="s">
        <v>233</v>
      </c>
      <c r="B38" s="155">
        <v>47976</v>
      </c>
      <c r="C38" s="155">
        <v>47976</v>
      </c>
      <c r="D38" s="155">
        <v>46991</v>
      </c>
      <c r="E38" s="156">
        <v>0.979</v>
      </c>
      <c r="F38" s="156">
        <v>0.979</v>
      </c>
      <c r="G38" s="155">
        <v>4580</v>
      </c>
    </row>
    <row r="39" spans="1:7" ht="12.75">
      <c r="A39" s="133" t="s">
        <v>222</v>
      </c>
      <c r="B39" s="157">
        <v>44561</v>
      </c>
      <c r="C39" s="157">
        <v>44561</v>
      </c>
      <c r="D39" s="157">
        <v>43833</v>
      </c>
      <c r="E39" s="154">
        <v>0.984</v>
      </c>
      <c r="F39" s="154">
        <v>0.984</v>
      </c>
      <c r="G39" s="157">
        <v>4440</v>
      </c>
    </row>
    <row r="40" spans="1:7" ht="12.75">
      <c r="A40" s="133" t="s">
        <v>223</v>
      </c>
      <c r="B40" s="157">
        <v>3415</v>
      </c>
      <c r="C40" s="157">
        <v>3415</v>
      </c>
      <c r="D40" s="157">
        <v>3158</v>
      </c>
      <c r="E40" s="154">
        <v>0.925</v>
      </c>
      <c r="F40" s="154">
        <v>0.925</v>
      </c>
      <c r="G40" s="157">
        <v>140</v>
      </c>
    </row>
    <row r="41" spans="1:7" ht="12.75">
      <c r="A41" s="158" t="s">
        <v>234</v>
      </c>
      <c r="B41" s="155">
        <v>8176</v>
      </c>
      <c r="C41" s="155">
        <v>8176</v>
      </c>
      <c r="D41" s="155">
        <v>8164</v>
      </c>
      <c r="E41" s="156">
        <v>0.999</v>
      </c>
      <c r="F41" s="156">
        <v>0.999</v>
      </c>
      <c r="G41" s="155">
        <v>780</v>
      </c>
    </row>
    <row r="42" spans="1:7" ht="12.75">
      <c r="A42" s="133" t="s">
        <v>222</v>
      </c>
      <c r="B42" s="157">
        <v>4920</v>
      </c>
      <c r="C42" s="157">
        <v>4920</v>
      </c>
      <c r="D42" s="157">
        <v>4914</v>
      </c>
      <c r="E42" s="154">
        <v>0.999</v>
      </c>
      <c r="F42" s="154">
        <v>0.999</v>
      </c>
      <c r="G42" s="157">
        <v>483</v>
      </c>
    </row>
    <row r="43" spans="1:7" ht="12.75">
      <c r="A43" s="133" t="s">
        <v>223</v>
      </c>
      <c r="B43" s="157">
        <v>3256</v>
      </c>
      <c r="C43" s="157">
        <v>3256</v>
      </c>
      <c r="D43" s="157">
        <v>3250</v>
      </c>
      <c r="E43" s="154">
        <v>0.998</v>
      </c>
      <c r="F43" s="154">
        <v>0.998</v>
      </c>
      <c r="G43" s="157">
        <v>297</v>
      </c>
    </row>
    <row r="44" spans="1:7" ht="12.75">
      <c r="A44" s="158" t="s">
        <v>235</v>
      </c>
      <c r="B44" s="155">
        <v>159539</v>
      </c>
      <c r="C44" s="155">
        <v>159539</v>
      </c>
      <c r="D44" s="155">
        <v>159415</v>
      </c>
      <c r="E44" s="156">
        <v>0.999</v>
      </c>
      <c r="F44" s="156">
        <v>0.999</v>
      </c>
      <c r="G44" s="155">
        <v>13652</v>
      </c>
    </row>
    <row r="45" spans="1:7" ht="12.75">
      <c r="A45" s="133" t="s">
        <v>222</v>
      </c>
      <c r="B45" s="157">
        <v>154692</v>
      </c>
      <c r="C45" s="157">
        <v>154692</v>
      </c>
      <c r="D45" s="157">
        <v>154609</v>
      </c>
      <c r="E45" s="154">
        <v>0.999</v>
      </c>
      <c r="F45" s="154">
        <v>0.999</v>
      </c>
      <c r="G45" s="157">
        <v>13299</v>
      </c>
    </row>
    <row r="46" spans="1:7" ht="12.75">
      <c r="A46" s="133" t="s">
        <v>223</v>
      </c>
      <c r="B46" s="157">
        <v>4847</v>
      </c>
      <c r="C46" s="157">
        <v>4847</v>
      </c>
      <c r="D46" s="157">
        <v>4806</v>
      </c>
      <c r="E46" s="154">
        <v>0.992</v>
      </c>
      <c r="F46" s="154">
        <v>0.992</v>
      </c>
      <c r="G46" s="157">
        <v>353</v>
      </c>
    </row>
    <row r="47" spans="1:7" ht="12.75">
      <c r="A47" s="158" t="s">
        <v>236</v>
      </c>
      <c r="B47" s="155">
        <v>14110</v>
      </c>
      <c r="C47" s="155">
        <v>14110</v>
      </c>
      <c r="D47" s="155">
        <v>13925</v>
      </c>
      <c r="E47" s="156">
        <v>0.987</v>
      </c>
      <c r="F47" s="156">
        <v>0.987</v>
      </c>
      <c r="G47" s="155">
        <v>2160</v>
      </c>
    </row>
    <row r="48" spans="1:7" ht="12.75">
      <c r="A48" s="133" t="s">
        <v>222</v>
      </c>
      <c r="B48" s="157">
        <v>13047</v>
      </c>
      <c r="C48" s="157">
        <v>13047</v>
      </c>
      <c r="D48" s="157">
        <v>12869</v>
      </c>
      <c r="E48" s="154">
        <v>0.986</v>
      </c>
      <c r="F48" s="154">
        <v>0.986</v>
      </c>
      <c r="G48" s="157">
        <v>1959</v>
      </c>
    </row>
    <row r="49" spans="1:7" ht="12.75">
      <c r="A49" s="133" t="s">
        <v>223</v>
      </c>
      <c r="B49" s="157">
        <v>1063</v>
      </c>
      <c r="C49" s="157">
        <v>1063</v>
      </c>
      <c r="D49" s="157">
        <v>1056</v>
      </c>
      <c r="E49" s="154">
        <v>0.993</v>
      </c>
      <c r="F49" s="154">
        <v>0.993</v>
      </c>
      <c r="G49" s="157">
        <v>201</v>
      </c>
    </row>
    <row r="50" spans="1:7" ht="78.75">
      <c r="A50" s="4" t="s">
        <v>2</v>
      </c>
      <c r="B50" s="4" t="s">
        <v>99</v>
      </c>
      <c r="C50" s="4" t="s">
        <v>218</v>
      </c>
      <c r="D50" s="4" t="s">
        <v>100</v>
      </c>
      <c r="E50" s="4" t="s">
        <v>219</v>
      </c>
      <c r="F50" s="4" t="s">
        <v>237</v>
      </c>
      <c r="G50" s="4" t="s">
        <v>238</v>
      </c>
    </row>
    <row r="51" spans="1:7" ht="12.7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159">
        <v>7</v>
      </c>
    </row>
    <row r="52" spans="1:7" ht="25.5">
      <c r="A52" s="102" t="s">
        <v>239</v>
      </c>
      <c r="B52" s="155">
        <v>8075</v>
      </c>
      <c r="C52" s="155">
        <v>8075</v>
      </c>
      <c r="D52" s="155">
        <v>7896</v>
      </c>
      <c r="E52" s="156">
        <v>0.978</v>
      </c>
      <c r="F52" s="156">
        <v>0.978</v>
      </c>
      <c r="G52" s="155">
        <v>900</v>
      </c>
    </row>
    <row r="53" spans="1:7" ht="12.75">
      <c r="A53" s="133" t="s">
        <v>222</v>
      </c>
      <c r="B53" s="157">
        <v>6838</v>
      </c>
      <c r="C53" s="157">
        <v>6838</v>
      </c>
      <c r="D53" s="157">
        <v>6666</v>
      </c>
      <c r="E53" s="154">
        <v>0.975</v>
      </c>
      <c r="F53" s="154">
        <v>0.975</v>
      </c>
      <c r="G53" s="157">
        <v>790</v>
      </c>
    </row>
    <row r="54" spans="1:7" ht="12.75">
      <c r="A54" s="160" t="s">
        <v>223</v>
      </c>
      <c r="B54" s="157">
        <v>1237</v>
      </c>
      <c r="C54" s="157">
        <v>1237</v>
      </c>
      <c r="D54" s="157">
        <v>1230</v>
      </c>
      <c r="E54" s="154">
        <v>0.994</v>
      </c>
      <c r="F54" s="154">
        <v>0.994</v>
      </c>
      <c r="G54" s="157">
        <v>110</v>
      </c>
    </row>
    <row r="55" spans="1:7" ht="12.75">
      <c r="A55" s="158" t="s">
        <v>240</v>
      </c>
      <c r="B55" s="155">
        <v>16806</v>
      </c>
      <c r="C55" s="155">
        <v>16806</v>
      </c>
      <c r="D55" s="155">
        <v>16368</v>
      </c>
      <c r="E55" s="156">
        <v>0.974</v>
      </c>
      <c r="F55" s="156">
        <v>0.974</v>
      </c>
      <c r="G55" s="155">
        <v>1492</v>
      </c>
    </row>
    <row r="56" spans="1:7" ht="12.75">
      <c r="A56" s="133" t="s">
        <v>222</v>
      </c>
      <c r="B56" s="157">
        <v>14258</v>
      </c>
      <c r="C56" s="157">
        <v>14258</v>
      </c>
      <c r="D56" s="157">
        <v>13821</v>
      </c>
      <c r="E56" s="154">
        <v>0.969</v>
      </c>
      <c r="F56" s="154">
        <v>0.969</v>
      </c>
      <c r="G56" s="157">
        <v>1232</v>
      </c>
    </row>
    <row r="57" spans="1:7" ht="12.75">
      <c r="A57" s="133" t="s">
        <v>223</v>
      </c>
      <c r="B57" s="157">
        <v>2548</v>
      </c>
      <c r="C57" s="157">
        <v>2548</v>
      </c>
      <c r="D57" s="157">
        <v>2547</v>
      </c>
      <c r="E57" s="154">
        <v>1</v>
      </c>
      <c r="F57" s="154">
        <v>1</v>
      </c>
      <c r="G57" s="157">
        <v>260</v>
      </c>
    </row>
    <row r="58" spans="1:7" ht="12.75">
      <c r="A58" s="158" t="s">
        <v>241</v>
      </c>
      <c r="B58" s="155">
        <v>13854</v>
      </c>
      <c r="C58" s="155">
        <v>13854</v>
      </c>
      <c r="D58" s="155">
        <v>13513</v>
      </c>
      <c r="E58" s="156">
        <v>0.975</v>
      </c>
      <c r="F58" s="156">
        <v>0.975</v>
      </c>
      <c r="G58" s="155">
        <v>1535</v>
      </c>
    </row>
    <row r="59" spans="1:7" ht="12.75">
      <c r="A59" s="133" t="s">
        <v>222</v>
      </c>
      <c r="B59" s="157">
        <v>12328</v>
      </c>
      <c r="C59" s="157">
        <v>12328</v>
      </c>
      <c r="D59" s="157">
        <v>12075</v>
      </c>
      <c r="E59" s="154">
        <v>0.979</v>
      </c>
      <c r="F59" s="154">
        <v>0.979</v>
      </c>
      <c r="G59" s="157">
        <v>1405</v>
      </c>
    </row>
    <row r="60" spans="1:7" ht="12.75">
      <c r="A60" s="133" t="s">
        <v>223</v>
      </c>
      <c r="B60" s="157">
        <v>1526</v>
      </c>
      <c r="C60" s="157">
        <v>1526</v>
      </c>
      <c r="D60" s="157">
        <v>1438</v>
      </c>
      <c r="E60" s="154">
        <v>0.942</v>
      </c>
      <c r="F60" s="154">
        <v>0.942</v>
      </c>
      <c r="G60" s="157">
        <v>130</v>
      </c>
    </row>
    <row r="61" spans="1:7" ht="12.75">
      <c r="A61" s="158" t="s">
        <v>242</v>
      </c>
      <c r="B61" s="155">
        <v>1255</v>
      </c>
      <c r="C61" s="155">
        <v>1254</v>
      </c>
      <c r="D61" s="155">
        <v>1197</v>
      </c>
      <c r="E61" s="156">
        <v>0.954</v>
      </c>
      <c r="F61" s="156">
        <v>0.955</v>
      </c>
      <c r="G61" s="155">
        <v>156</v>
      </c>
    </row>
    <row r="62" spans="1:7" ht="12.75">
      <c r="A62" s="133" t="s">
        <v>222</v>
      </c>
      <c r="B62" s="157">
        <v>1213</v>
      </c>
      <c r="C62" s="157">
        <v>1212</v>
      </c>
      <c r="D62" s="157">
        <v>1155</v>
      </c>
      <c r="E62" s="154">
        <v>0.952</v>
      </c>
      <c r="F62" s="154">
        <v>0.953</v>
      </c>
      <c r="G62" s="157">
        <v>155</v>
      </c>
    </row>
    <row r="63" spans="1:7" ht="12.75">
      <c r="A63" s="133" t="s">
        <v>223</v>
      </c>
      <c r="B63" s="157">
        <v>42</v>
      </c>
      <c r="C63" s="157">
        <v>42</v>
      </c>
      <c r="D63" s="157">
        <v>42</v>
      </c>
      <c r="E63" s="154">
        <v>1</v>
      </c>
      <c r="F63" s="154">
        <v>1</v>
      </c>
      <c r="G63" s="157">
        <v>1</v>
      </c>
    </row>
    <row r="64" spans="1:7" ht="12.75">
      <c r="A64" s="158" t="s">
        <v>243</v>
      </c>
      <c r="B64" s="155">
        <v>741</v>
      </c>
      <c r="C64" s="155">
        <v>741</v>
      </c>
      <c r="D64" s="155">
        <v>741</v>
      </c>
      <c r="E64" s="156">
        <v>1</v>
      </c>
      <c r="F64" s="156">
        <v>1</v>
      </c>
      <c r="G64" s="155">
        <v>64</v>
      </c>
    </row>
    <row r="65" spans="1:7" ht="12.75">
      <c r="A65" s="133" t="s">
        <v>222</v>
      </c>
      <c r="B65" s="157">
        <v>737</v>
      </c>
      <c r="C65" s="157">
        <v>737</v>
      </c>
      <c r="D65" s="157">
        <v>737</v>
      </c>
      <c r="E65" s="154">
        <v>1</v>
      </c>
      <c r="F65" s="154">
        <v>1</v>
      </c>
      <c r="G65" s="157">
        <v>64</v>
      </c>
    </row>
    <row r="66" spans="1:7" ht="12.75">
      <c r="A66" s="133" t="s">
        <v>223</v>
      </c>
      <c r="B66" s="157">
        <v>4</v>
      </c>
      <c r="C66" s="157">
        <v>4</v>
      </c>
      <c r="D66" s="157">
        <v>4</v>
      </c>
      <c r="E66" s="154">
        <v>1</v>
      </c>
      <c r="F66" s="154">
        <v>1</v>
      </c>
      <c r="G66" s="157">
        <v>0</v>
      </c>
    </row>
    <row r="67" spans="1:7" ht="12.75">
      <c r="A67" s="158" t="s">
        <v>244</v>
      </c>
      <c r="B67" s="155">
        <v>349</v>
      </c>
      <c r="C67" s="155">
        <v>349</v>
      </c>
      <c r="D67" s="155">
        <v>346</v>
      </c>
      <c r="E67" s="156">
        <v>0.991</v>
      </c>
      <c r="F67" s="156">
        <v>0.991</v>
      </c>
      <c r="G67" s="155">
        <v>35</v>
      </c>
    </row>
    <row r="68" spans="1:7" ht="12.75">
      <c r="A68" s="133" t="s">
        <v>222</v>
      </c>
      <c r="B68" s="157">
        <v>305</v>
      </c>
      <c r="C68" s="157">
        <v>305</v>
      </c>
      <c r="D68" s="157">
        <v>303</v>
      </c>
      <c r="E68" s="154">
        <v>0.993</v>
      </c>
      <c r="F68" s="154">
        <v>0.993</v>
      </c>
      <c r="G68" s="157">
        <v>35</v>
      </c>
    </row>
    <row r="69" spans="1:7" ht="12.75">
      <c r="A69" s="133" t="s">
        <v>223</v>
      </c>
      <c r="B69" s="157">
        <v>44</v>
      </c>
      <c r="C69" s="157">
        <v>44</v>
      </c>
      <c r="D69" s="157">
        <v>43</v>
      </c>
      <c r="E69" s="154">
        <v>0.977</v>
      </c>
      <c r="F69" s="154">
        <v>0.977</v>
      </c>
      <c r="G69" s="157">
        <v>0</v>
      </c>
    </row>
    <row r="70" spans="1:7" ht="12.75">
      <c r="A70" s="158" t="s">
        <v>245</v>
      </c>
      <c r="B70" s="155">
        <v>6453</v>
      </c>
      <c r="C70" s="155">
        <v>6453</v>
      </c>
      <c r="D70" s="155">
        <v>6453</v>
      </c>
      <c r="E70" s="156">
        <v>1</v>
      </c>
      <c r="F70" s="156">
        <v>1</v>
      </c>
      <c r="G70" s="155">
        <v>533</v>
      </c>
    </row>
    <row r="71" spans="1:7" ht="12.75">
      <c r="A71" s="133" t="s">
        <v>222</v>
      </c>
      <c r="B71" s="157">
        <v>5920</v>
      </c>
      <c r="C71" s="157">
        <v>5920</v>
      </c>
      <c r="D71" s="157">
        <v>5920</v>
      </c>
      <c r="E71" s="154">
        <v>1</v>
      </c>
      <c r="F71" s="154">
        <v>1</v>
      </c>
      <c r="G71" s="157">
        <v>470</v>
      </c>
    </row>
    <row r="72" spans="1:7" ht="12.75">
      <c r="A72" s="133" t="s">
        <v>223</v>
      </c>
      <c r="B72" s="157">
        <v>533</v>
      </c>
      <c r="C72" s="157">
        <v>533</v>
      </c>
      <c r="D72" s="157">
        <v>533</v>
      </c>
      <c r="E72" s="154">
        <v>1</v>
      </c>
      <c r="F72" s="154">
        <v>1</v>
      </c>
      <c r="G72" s="157">
        <v>63</v>
      </c>
    </row>
    <row r="73" spans="1:7" ht="12.75">
      <c r="A73" s="161" t="s">
        <v>246</v>
      </c>
      <c r="B73" s="155">
        <v>899</v>
      </c>
      <c r="C73" s="155">
        <v>899</v>
      </c>
      <c r="D73" s="155">
        <v>837</v>
      </c>
      <c r="E73" s="156">
        <v>0.931</v>
      </c>
      <c r="F73" s="156">
        <v>0.931</v>
      </c>
      <c r="G73" s="155">
        <v>43</v>
      </c>
    </row>
    <row r="74" spans="1:7" ht="12.75">
      <c r="A74" s="133" t="s">
        <v>222</v>
      </c>
      <c r="B74" s="157">
        <v>896</v>
      </c>
      <c r="C74" s="157">
        <v>896</v>
      </c>
      <c r="D74" s="157">
        <v>835</v>
      </c>
      <c r="E74" s="154">
        <v>0.932</v>
      </c>
      <c r="F74" s="154">
        <v>0.932</v>
      </c>
      <c r="G74" s="157">
        <v>44</v>
      </c>
    </row>
    <row r="75" spans="1:7" ht="12.75">
      <c r="A75" s="133" t="s">
        <v>223</v>
      </c>
      <c r="B75" s="157">
        <v>3</v>
      </c>
      <c r="C75" s="157">
        <v>3</v>
      </c>
      <c r="D75" s="157">
        <v>2</v>
      </c>
      <c r="E75" s="154">
        <v>0.667</v>
      </c>
      <c r="F75" s="154">
        <v>0.667</v>
      </c>
      <c r="G75" s="157">
        <v>-1</v>
      </c>
    </row>
    <row r="76" spans="1:7" ht="12.75">
      <c r="A76" s="102" t="s">
        <v>247</v>
      </c>
      <c r="B76" s="155">
        <v>51</v>
      </c>
      <c r="C76" s="155">
        <v>51</v>
      </c>
      <c r="D76" s="155">
        <v>51</v>
      </c>
      <c r="E76" s="156">
        <v>1</v>
      </c>
      <c r="F76" s="156">
        <v>1</v>
      </c>
      <c r="G76" s="155">
        <v>7</v>
      </c>
    </row>
    <row r="77" spans="1:7" ht="12.75">
      <c r="A77" s="133" t="s">
        <v>222</v>
      </c>
      <c r="B77" s="157">
        <v>51</v>
      </c>
      <c r="C77" s="157">
        <v>51</v>
      </c>
      <c r="D77" s="157">
        <v>51</v>
      </c>
      <c r="E77" s="154">
        <v>1</v>
      </c>
      <c r="F77" s="154">
        <v>1</v>
      </c>
      <c r="G77" s="157">
        <v>7</v>
      </c>
    </row>
    <row r="78" spans="1:7" ht="12.75">
      <c r="A78" s="102" t="s">
        <v>248</v>
      </c>
      <c r="B78" s="155">
        <v>782</v>
      </c>
      <c r="C78" s="155">
        <v>782</v>
      </c>
      <c r="D78" s="155">
        <v>781</v>
      </c>
      <c r="E78" s="156">
        <v>0.999</v>
      </c>
      <c r="F78" s="156">
        <v>0.999</v>
      </c>
      <c r="G78" s="155">
        <v>65</v>
      </c>
    </row>
    <row r="79" spans="1:7" ht="12.75">
      <c r="A79" s="133" t="s">
        <v>222</v>
      </c>
      <c r="B79" s="157">
        <v>782</v>
      </c>
      <c r="C79" s="157">
        <v>782</v>
      </c>
      <c r="D79" s="157">
        <v>781</v>
      </c>
      <c r="E79" s="154">
        <v>0.999</v>
      </c>
      <c r="F79" s="154">
        <v>0.999</v>
      </c>
      <c r="G79" s="157">
        <v>65</v>
      </c>
    </row>
    <row r="80" spans="1:7" ht="12.75">
      <c r="A80" s="158" t="s">
        <v>249</v>
      </c>
      <c r="B80" s="155">
        <v>6486</v>
      </c>
      <c r="C80" s="155">
        <v>6487</v>
      </c>
      <c r="D80" s="155">
        <v>6487</v>
      </c>
      <c r="E80" s="156">
        <v>1</v>
      </c>
      <c r="F80" s="156">
        <v>1</v>
      </c>
      <c r="G80" s="155">
        <v>554</v>
      </c>
    </row>
    <row r="81" spans="1:7" ht="12.75">
      <c r="A81" s="133" t="s">
        <v>222</v>
      </c>
      <c r="B81" s="157">
        <v>6481</v>
      </c>
      <c r="C81" s="157">
        <v>6481</v>
      </c>
      <c r="D81" s="157">
        <v>6481</v>
      </c>
      <c r="E81" s="154">
        <v>1</v>
      </c>
      <c r="F81" s="154">
        <v>1</v>
      </c>
      <c r="G81" s="157">
        <v>553</v>
      </c>
    </row>
    <row r="82" spans="1:7" ht="12.75">
      <c r="A82" s="133" t="s">
        <v>223</v>
      </c>
      <c r="B82" s="157">
        <v>5</v>
      </c>
      <c r="C82" s="157">
        <v>6</v>
      </c>
      <c r="D82" s="157">
        <v>6</v>
      </c>
      <c r="E82" s="154">
        <v>1.2</v>
      </c>
      <c r="F82" s="154">
        <v>1</v>
      </c>
      <c r="G82" s="157">
        <v>1</v>
      </c>
    </row>
    <row r="83" spans="1:7" ht="12.75">
      <c r="A83" s="102" t="s">
        <v>250</v>
      </c>
      <c r="B83" s="155">
        <v>98</v>
      </c>
      <c r="C83" s="155">
        <v>91</v>
      </c>
      <c r="D83" s="155">
        <v>91</v>
      </c>
      <c r="E83" s="156">
        <v>0.929</v>
      </c>
      <c r="F83" s="156">
        <v>1</v>
      </c>
      <c r="G83" s="155">
        <v>8</v>
      </c>
    </row>
    <row r="84" spans="1:7" ht="12.75">
      <c r="A84" s="133" t="s">
        <v>222</v>
      </c>
      <c r="B84" s="157">
        <v>98</v>
      </c>
      <c r="C84" s="157">
        <v>91</v>
      </c>
      <c r="D84" s="157">
        <v>91</v>
      </c>
      <c r="E84" s="154">
        <v>0.929</v>
      </c>
      <c r="F84" s="154">
        <v>1</v>
      </c>
      <c r="G84" s="157">
        <v>8</v>
      </c>
    </row>
    <row r="85" spans="1:7" ht="38.25">
      <c r="A85" s="139" t="s">
        <v>251</v>
      </c>
      <c r="B85" s="155">
        <v>616</v>
      </c>
      <c r="C85" s="155">
        <v>616</v>
      </c>
      <c r="D85" s="155">
        <v>616</v>
      </c>
      <c r="E85" s="156">
        <v>1</v>
      </c>
      <c r="F85" s="156">
        <v>1</v>
      </c>
      <c r="G85" s="155">
        <v>71</v>
      </c>
    </row>
    <row r="86" spans="1:7" ht="12.75">
      <c r="A86" s="133" t="s">
        <v>222</v>
      </c>
      <c r="B86" s="157">
        <v>608</v>
      </c>
      <c r="C86" s="157">
        <v>608</v>
      </c>
      <c r="D86" s="157">
        <v>608</v>
      </c>
      <c r="E86" s="154">
        <v>1</v>
      </c>
      <c r="F86" s="154">
        <v>1</v>
      </c>
      <c r="G86" s="157">
        <v>71</v>
      </c>
    </row>
    <row r="87" spans="1:7" ht="12.75">
      <c r="A87" s="133" t="s">
        <v>223</v>
      </c>
      <c r="B87" s="157">
        <v>8</v>
      </c>
      <c r="C87" s="157">
        <v>8</v>
      </c>
      <c r="D87" s="157">
        <v>8</v>
      </c>
      <c r="E87" s="154">
        <v>1</v>
      </c>
      <c r="F87" s="154">
        <v>1</v>
      </c>
      <c r="G87" s="157">
        <v>0</v>
      </c>
    </row>
    <row r="88" spans="1:7" ht="38.25">
      <c r="A88" s="139" t="s">
        <v>252</v>
      </c>
      <c r="B88" s="155">
        <v>536</v>
      </c>
      <c r="C88" s="155">
        <v>536</v>
      </c>
      <c r="D88" s="155">
        <v>531</v>
      </c>
      <c r="E88" s="156">
        <v>0.991</v>
      </c>
      <c r="F88" s="156">
        <v>0.991</v>
      </c>
      <c r="G88" s="155">
        <v>169</v>
      </c>
    </row>
    <row r="89" spans="1:7" ht="12.75">
      <c r="A89" s="133" t="s">
        <v>222</v>
      </c>
      <c r="B89" s="157">
        <v>502</v>
      </c>
      <c r="C89" s="157">
        <v>502</v>
      </c>
      <c r="D89" s="157">
        <v>497</v>
      </c>
      <c r="E89" s="154">
        <v>0.99</v>
      </c>
      <c r="F89" s="154">
        <v>0.99</v>
      </c>
      <c r="G89" s="157">
        <v>156</v>
      </c>
    </row>
    <row r="90" spans="1:7" ht="12.75">
      <c r="A90" s="133" t="s">
        <v>223</v>
      </c>
      <c r="B90" s="157">
        <v>34</v>
      </c>
      <c r="C90" s="157">
        <v>34</v>
      </c>
      <c r="D90" s="157">
        <v>34</v>
      </c>
      <c r="E90" s="154">
        <v>1</v>
      </c>
      <c r="F90" s="154">
        <v>1</v>
      </c>
      <c r="G90" s="157">
        <v>13</v>
      </c>
    </row>
    <row r="91" spans="1:7" ht="12.75">
      <c r="A91" s="102" t="s">
        <v>253</v>
      </c>
      <c r="B91" s="155">
        <v>92888</v>
      </c>
      <c r="C91" s="155">
        <v>92888</v>
      </c>
      <c r="D91" s="155">
        <v>92800</v>
      </c>
      <c r="E91" s="156">
        <v>0.999</v>
      </c>
      <c r="F91" s="156">
        <v>0.999</v>
      </c>
      <c r="G91" s="155">
        <v>7229</v>
      </c>
    </row>
    <row r="92" spans="1:7" ht="12.75">
      <c r="A92" s="133" t="s">
        <v>222</v>
      </c>
      <c r="B92" s="157">
        <v>83765</v>
      </c>
      <c r="C92" s="157">
        <v>83765</v>
      </c>
      <c r="D92" s="157">
        <v>83677</v>
      </c>
      <c r="E92" s="154">
        <v>0.999</v>
      </c>
      <c r="F92" s="154">
        <v>0.999</v>
      </c>
      <c r="G92" s="157">
        <v>7030</v>
      </c>
    </row>
    <row r="93" spans="1:7" ht="12.75">
      <c r="A93" s="133" t="s">
        <v>223</v>
      </c>
      <c r="B93" s="157">
        <v>9123</v>
      </c>
      <c r="C93" s="157">
        <v>9123</v>
      </c>
      <c r="D93" s="157">
        <v>9123</v>
      </c>
      <c r="E93" s="154">
        <v>1</v>
      </c>
      <c r="F93" s="154">
        <v>1</v>
      </c>
      <c r="G93" s="157">
        <v>199</v>
      </c>
    </row>
    <row r="94" spans="1:7" ht="12.75">
      <c r="A94" s="102" t="s">
        <v>254</v>
      </c>
      <c r="B94" s="155">
        <v>9123</v>
      </c>
      <c r="C94" s="155">
        <v>9123</v>
      </c>
      <c r="D94" s="155">
        <v>8193</v>
      </c>
      <c r="E94" s="156">
        <v>0.898</v>
      </c>
      <c r="F94" s="156">
        <v>0.898</v>
      </c>
      <c r="G94" s="155">
        <v>-367</v>
      </c>
    </row>
    <row r="95" spans="1:7" ht="12.75">
      <c r="A95" s="135" t="s">
        <v>222</v>
      </c>
      <c r="B95" s="157">
        <v>9123</v>
      </c>
      <c r="C95" s="157">
        <v>9123</v>
      </c>
      <c r="D95" s="157">
        <v>8193</v>
      </c>
      <c r="E95" s="154">
        <v>0.898</v>
      </c>
      <c r="F95" s="154">
        <v>0.898</v>
      </c>
      <c r="G95" s="157">
        <v>-367</v>
      </c>
    </row>
    <row r="96" spans="1:7" ht="12.75">
      <c r="A96" s="162"/>
      <c r="B96" s="163"/>
      <c r="C96" s="163"/>
      <c r="D96" s="163"/>
      <c r="E96" s="164"/>
      <c r="F96" s="164"/>
      <c r="G96" s="2"/>
    </row>
    <row r="97" spans="1:7" ht="12.75">
      <c r="A97" s="115"/>
      <c r="B97" s="165"/>
      <c r="C97" s="146"/>
      <c r="D97" s="166"/>
      <c r="E97" s="166"/>
      <c r="F97" s="167"/>
      <c r="G97" s="2"/>
    </row>
    <row r="98" spans="1:7" ht="12.75">
      <c r="A98" s="115"/>
      <c r="B98" s="165"/>
      <c r="C98" s="146"/>
      <c r="D98" s="166"/>
      <c r="E98" s="166"/>
      <c r="F98" s="167"/>
      <c r="G98" s="2"/>
    </row>
    <row r="99" spans="1:7" ht="12.75">
      <c r="A99" s="115" t="s">
        <v>255</v>
      </c>
      <c r="B99" s="165"/>
      <c r="C99" s="146"/>
      <c r="D99" s="166"/>
      <c r="E99" s="166"/>
      <c r="F99" s="168"/>
      <c r="G99" s="2"/>
    </row>
    <row r="100" spans="1:7" ht="12.75">
      <c r="A100" s="2"/>
      <c r="F100" s="167"/>
      <c r="G100" s="2"/>
    </row>
    <row r="101" spans="1:7" ht="12.75">
      <c r="A101" s="2"/>
      <c r="B101" s="169"/>
      <c r="C101" s="149"/>
      <c r="D101" s="149"/>
      <c r="E101" s="170"/>
      <c r="F101" s="171"/>
      <c r="G101" s="2"/>
    </row>
    <row r="102" spans="1:7" ht="12.75">
      <c r="A102" s="2" t="s">
        <v>173</v>
      </c>
      <c r="C102" s="149"/>
      <c r="D102" s="172"/>
      <c r="E102" s="142"/>
      <c r="F102" s="168"/>
      <c r="G102" s="2"/>
    </row>
    <row r="103" ht="12.75">
      <c r="A103" s="2" t="s">
        <v>256</v>
      </c>
    </row>
    <row r="104" spans="6:7" ht="12.75">
      <c r="F104" s="167"/>
      <c r="G104" s="2"/>
    </row>
    <row r="105" ht="12.75"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7"/>
  <sheetViews>
    <sheetView workbookViewId="0" topLeftCell="A39">
      <selection activeCell="B49" sqref="B49"/>
    </sheetView>
  </sheetViews>
  <sheetFormatPr defaultColWidth="9.140625" defaultRowHeight="12.75"/>
  <cols>
    <col min="1" max="1" width="24.28125" style="49" customWidth="1"/>
    <col min="2" max="2" width="10.57421875" style="49" customWidth="1"/>
    <col min="3" max="3" width="9.7109375" style="49" customWidth="1"/>
    <col min="4" max="4" width="11.00390625" style="49" customWidth="1"/>
    <col min="5" max="5" width="7.8515625" style="49" customWidth="1"/>
    <col min="6" max="6" width="10.57421875" style="49" customWidth="1"/>
    <col min="7" max="7" width="9.421875" style="49" customWidth="1"/>
  </cols>
  <sheetData>
    <row r="1" ht="12.75">
      <c r="G1" s="49" t="s">
        <v>257</v>
      </c>
    </row>
    <row r="2" spans="1:7" ht="12.75">
      <c r="A2" s="35" t="s">
        <v>258</v>
      </c>
      <c r="B2" s="35"/>
      <c r="C2" s="115"/>
      <c r="D2" s="115"/>
      <c r="E2" s="35"/>
      <c r="F2" s="115"/>
      <c r="G2" s="2"/>
    </row>
    <row r="3" spans="1:7" ht="12.75">
      <c r="A3" s="173"/>
      <c r="B3" s="2"/>
      <c r="C3" s="2"/>
      <c r="D3" s="2"/>
      <c r="E3" s="2"/>
      <c r="F3" s="2"/>
      <c r="G3" s="2"/>
    </row>
    <row r="4" spans="1:7" ht="12.75">
      <c r="A4" s="173"/>
      <c r="B4" s="2"/>
      <c r="C4" s="2"/>
      <c r="D4" s="2"/>
      <c r="E4" s="2"/>
      <c r="F4" s="2"/>
      <c r="G4" s="2"/>
    </row>
    <row r="5" spans="1:7" ht="15.75">
      <c r="A5" s="150" t="s">
        <v>259</v>
      </c>
      <c r="B5" s="115"/>
      <c r="C5" s="115"/>
      <c r="D5" s="115"/>
      <c r="E5" s="115"/>
      <c r="F5" s="115"/>
      <c r="G5" s="2"/>
    </row>
    <row r="6" spans="1:7" ht="15.75">
      <c r="A6" s="150" t="s">
        <v>260</v>
      </c>
      <c r="B6" s="115"/>
      <c r="C6" s="115"/>
      <c r="D6" s="115"/>
      <c r="E6" s="115"/>
      <c r="F6" s="115"/>
      <c r="G6" s="2"/>
    </row>
    <row r="7" spans="1:7" ht="15.75">
      <c r="A7" s="150" t="s">
        <v>217</v>
      </c>
      <c r="B7" s="115"/>
      <c r="C7" s="115"/>
      <c r="D7" s="115"/>
      <c r="E7" s="115"/>
      <c r="F7" s="115"/>
      <c r="G7" s="2"/>
    </row>
    <row r="8" spans="1:7" ht="12.75">
      <c r="A8" s="2"/>
      <c r="B8" s="2"/>
      <c r="C8" s="2"/>
      <c r="D8" s="2"/>
      <c r="F8" s="2"/>
      <c r="G8" s="42" t="s">
        <v>178</v>
      </c>
    </row>
    <row r="9" spans="1:7" ht="67.5">
      <c r="A9" s="4" t="s">
        <v>2</v>
      </c>
      <c r="B9" s="4" t="s">
        <v>99</v>
      </c>
      <c r="C9" s="4" t="s">
        <v>261</v>
      </c>
      <c r="D9" s="4" t="s">
        <v>100</v>
      </c>
      <c r="E9" s="4" t="s">
        <v>262</v>
      </c>
      <c r="F9" s="4" t="s">
        <v>263</v>
      </c>
      <c r="G9" s="4" t="s">
        <v>6</v>
      </c>
    </row>
    <row r="10" spans="1:7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2.75">
      <c r="A11" s="102" t="s">
        <v>264</v>
      </c>
      <c r="B11" s="174">
        <v>703581</v>
      </c>
      <c r="C11" s="174">
        <v>703574</v>
      </c>
      <c r="D11" s="174">
        <v>697061</v>
      </c>
      <c r="E11" s="156">
        <v>0.991</v>
      </c>
      <c r="F11" s="156">
        <v>0.991</v>
      </c>
      <c r="G11" s="175">
        <v>55932</v>
      </c>
    </row>
    <row r="12" spans="1:7" ht="22.5">
      <c r="A12" s="135" t="s">
        <v>265</v>
      </c>
      <c r="B12" s="176">
        <v>635128</v>
      </c>
      <c r="C12" s="176">
        <v>635121</v>
      </c>
      <c r="D12" s="176">
        <v>635121</v>
      </c>
      <c r="E12" s="154">
        <v>1</v>
      </c>
      <c r="F12" s="154">
        <v>1</v>
      </c>
      <c r="G12" s="157">
        <v>49232</v>
      </c>
    </row>
    <row r="13" spans="1:7" ht="12.75">
      <c r="A13" s="135" t="s">
        <v>266</v>
      </c>
      <c r="B13" s="176">
        <v>1092</v>
      </c>
      <c r="C13" s="176">
        <v>1092</v>
      </c>
      <c r="D13" s="176">
        <v>241</v>
      </c>
      <c r="E13" s="154">
        <v>0.221</v>
      </c>
      <c r="F13" s="154">
        <v>0.221</v>
      </c>
      <c r="G13" s="157">
        <v>93</v>
      </c>
    </row>
    <row r="14" spans="1:7" ht="22.5">
      <c r="A14" s="135" t="s">
        <v>267</v>
      </c>
      <c r="B14" s="176">
        <v>67361</v>
      </c>
      <c r="C14" s="176">
        <v>67361</v>
      </c>
      <c r="D14" s="176">
        <v>61699</v>
      </c>
      <c r="E14" s="154">
        <v>0.916</v>
      </c>
      <c r="F14" s="154">
        <v>0.916</v>
      </c>
      <c r="G14" s="157">
        <v>6607</v>
      </c>
    </row>
    <row r="15" spans="1:7" ht="25.5">
      <c r="A15" s="102" t="s">
        <v>268</v>
      </c>
      <c r="B15" s="175">
        <v>704861</v>
      </c>
      <c r="C15" s="175">
        <v>704855</v>
      </c>
      <c r="D15" s="175">
        <v>692016</v>
      </c>
      <c r="E15" s="156">
        <v>0.982</v>
      </c>
      <c r="F15" s="156">
        <v>0.982</v>
      </c>
      <c r="G15" s="175">
        <v>70408</v>
      </c>
    </row>
    <row r="16" spans="1:7" ht="12.75">
      <c r="A16" s="177" t="s">
        <v>269</v>
      </c>
      <c r="B16" s="174">
        <v>640294</v>
      </c>
      <c r="C16" s="174">
        <v>640287</v>
      </c>
      <c r="D16" s="84">
        <v>627904</v>
      </c>
      <c r="E16" s="156">
        <v>0.981</v>
      </c>
      <c r="F16" s="156">
        <v>0.981</v>
      </c>
      <c r="G16" s="84">
        <v>58215</v>
      </c>
    </row>
    <row r="17" spans="1:7" ht="12.75">
      <c r="A17" s="128" t="s">
        <v>270</v>
      </c>
      <c r="B17" s="178">
        <v>320315</v>
      </c>
      <c r="C17" s="178">
        <v>320308</v>
      </c>
      <c r="D17" s="87">
        <v>312773</v>
      </c>
      <c r="E17" s="179">
        <v>0.976</v>
      </c>
      <c r="F17" s="179">
        <v>0.976</v>
      </c>
      <c r="G17" s="87">
        <v>34040</v>
      </c>
    </row>
    <row r="18" spans="1:7" ht="12.75">
      <c r="A18" s="92" t="s">
        <v>271</v>
      </c>
      <c r="B18" s="176">
        <v>150033</v>
      </c>
      <c r="C18" s="176">
        <v>150026</v>
      </c>
      <c r="D18" s="176">
        <v>149105</v>
      </c>
      <c r="E18" s="154">
        <v>0.994</v>
      </c>
      <c r="F18" s="154">
        <v>0.994</v>
      </c>
      <c r="G18" s="157">
        <v>16201</v>
      </c>
    </row>
    <row r="19" spans="1:7" ht="22.5">
      <c r="A19" s="135" t="s">
        <v>272</v>
      </c>
      <c r="B19" s="107" t="s">
        <v>9</v>
      </c>
      <c r="C19" s="107" t="s">
        <v>9</v>
      </c>
      <c r="D19" s="176">
        <v>39510</v>
      </c>
      <c r="E19" s="180" t="s">
        <v>9</v>
      </c>
      <c r="F19" s="181" t="s">
        <v>9</v>
      </c>
      <c r="G19" s="157">
        <v>4177</v>
      </c>
    </row>
    <row r="20" spans="1:7" ht="12.75">
      <c r="A20" s="135" t="s">
        <v>273</v>
      </c>
      <c r="B20" s="107" t="s">
        <v>9</v>
      </c>
      <c r="C20" s="107" t="s">
        <v>9</v>
      </c>
      <c r="D20" s="90">
        <v>123969</v>
      </c>
      <c r="E20" s="180" t="s">
        <v>9</v>
      </c>
      <c r="F20" s="181" t="s">
        <v>9</v>
      </c>
      <c r="G20" s="90">
        <v>13644</v>
      </c>
    </row>
    <row r="21" spans="1:7" ht="22.5">
      <c r="A21" s="136" t="s">
        <v>274</v>
      </c>
      <c r="B21" s="182" t="s">
        <v>9</v>
      </c>
      <c r="C21" s="182" t="s">
        <v>9</v>
      </c>
      <c r="D21" s="183">
        <v>112924</v>
      </c>
      <c r="E21" s="184" t="s">
        <v>9</v>
      </c>
      <c r="F21" s="185" t="s">
        <v>9</v>
      </c>
      <c r="G21" s="186">
        <v>13460</v>
      </c>
    </row>
    <row r="22" spans="1:7" ht="12.75">
      <c r="A22" s="187" t="s">
        <v>275</v>
      </c>
      <c r="B22" s="182" t="s">
        <v>9</v>
      </c>
      <c r="C22" s="182" t="s">
        <v>9</v>
      </c>
      <c r="D22" s="183">
        <v>11045</v>
      </c>
      <c r="E22" s="184" t="s">
        <v>9</v>
      </c>
      <c r="F22" s="185" t="s">
        <v>9</v>
      </c>
      <c r="G22" s="186">
        <v>184</v>
      </c>
    </row>
    <row r="23" spans="1:7" ht="12.75">
      <c r="A23" s="135" t="s">
        <v>276</v>
      </c>
      <c r="B23" s="107" t="s">
        <v>9</v>
      </c>
      <c r="C23" s="107" t="s">
        <v>9</v>
      </c>
      <c r="D23" s="176">
        <v>189</v>
      </c>
      <c r="E23" s="180" t="s">
        <v>9</v>
      </c>
      <c r="F23" s="181" t="s">
        <v>9</v>
      </c>
      <c r="G23" s="157">
        <v>18</v>
      </c>
    </row>
    <row r="24" spans="1:7" ht="22.5">
      <c r="A24" s="134" t="s">
        <v>277</v>
      </c>
      <c r="B24" s="105">
        <v>28871</v>
      </c>
      <c r="C24" s="105">
        <v>28871</v>
      </c>
      <c r="D24" s="87">
        <v>25306</v>
      </c>
      <c r="E24" s="179">
        <v>0.877</v>
      </c>
      <c r="F24" s="179">
        <v>0.877</v>
      </c>
      <c r="G24" s="87">
        <v>90</v>
      </c>
    </row>
    <row r="25" spans="1:7" ht="22.5">
      <c r="A25" s="135" t="s">
        <v>278</v>
      </c>
      <c r="B25" s="107" t="s">
        <v>9</v>
      </c>
      <c r="C25" s="107" t="s">
        <v>9</v>
      </c>
      <c r="D25" s="176">
        <v>13715</v>
      </c>
      <c r="E25" s="180" t="s">
        <v>9</v>
      </c>
      <c r="F25" s="181" t="s">
        <v>9</v>
      </c>
      <c r="G25" s="157">
        <v>233</v>
      </c>
    </row>
    <row r="26" spans="1:7" ht="22.5">
      <c r="A26" s="135" t="s">
        <v>279</v>
      </c>
      <c r="B26" s="107" t="s">
        <v>9</v>
      </c>
      <c r="C26" s="107" t="s">
        <v>9</v>
      </c>
      <c r="D26" s="176">
        <v>11460</v>
      </c>
      <c r="E26" s="180" t="s">
        <v>9</v>
      </c>
      <c r="F26" s="181" t="s">
        <v>9</v>
      </c>
      <c r="G26" s="157">
        <v>-148</v>
      </c>
    </row>
    <row r="27" spans="1:7" ht="22.5">
      <c r="A27" s="135" t="s">
        <v>280</v>
      </c>
      <c r="B27" s="107" t="s">
        <v>9</v>
      </c>
      <c r="C27" s="107" t="s">
        <v>9</v>
      </c>
      <c r="D27" s="176">
        <v>131</v>
      </c>
      <c r="E27" s="180" t="s">
        <v>9</v>
      </c>
      <c r="F27" s="181" t="s">
        <v>9</v>
      </c>
      <c r="G27" s="157">
        <v>5</v>
      </c>
    </row>
    <row r="28" spans="1:7" ht="12.75">
      <c r="A28" s="188" t="s">
        <v>281</v>
      </c>
      <c r="B28" s="105">
        <v>291107</v>
      </c>
      <c r="C28" s="105">
        <v>291107</v>
      </c>
      <c r="D28" s="87">
        <v>289828</v>
      </c>
      <c r="E28" s="179">
        <v>0.996</v>
      </c>
      <c r="F28" s="179">
        <v>0.996</v>
      </c>
      <c r="G28" s="87">
        <v>24085</v>
      </c>
    </row>
    <row r="29" spans="1:7" ht="12.75">
      <c r="A29" s="92" t="s">
        <v>282</v>
      </c>
      <c r="B29" s="107" t="s">
        <v>9</v>
      </c>
      <c r="C29" s="107" t="s">
        <v>9</v>
      </c>
      <c r="D29" s="189">
        <v>19307</v>
      </c>
      <c r="E29" s="180" t="s">
        <v>9</v>
      </c>
      <c r="F29" s="181" t="s">
        <v>9</v>
      </c>
      <c r="G29" s="157">
        <v>1957</v>
      </c>
    </row>
    <row r="30" spans="1:7" ht="22.5">
      <c r="A30" s="135" t="s">
        <v>283</v>
      </c>
      <c r="B30" s="107" t="s">
        <v>9</v>
      </c>
      <c r="C30" s="107" t="s">
        <v>9</v>
      </c>
      <c r="D30" s="176">
        <v>83677</v>
      </c>
      <c r="E30" s="180" t="s">
        <v>9</v>
      </c>
      <c r="F30" s="181" t="s">
        <v>9</v>
      </c>
      <c r="G30" s="157">
        <v>7030</v>
      </c>
    </row>
    <row r="31" spans="1:7" ht="12.75">
      <c r="A31" s="135" t="s">
        <v>284</v>
      </c>
      <c r="B31" s="107" t="s">
        <v>9</v>
      </c>
      <c r="C31" s="107" t="s">
        <v>9</v>
      </c>
      <c r="D31" s="176">
        <v>8193</v>
      </c>
      <c r="E31" s="180" t="s">
        <v>9</v>
      </c>
      <c r="F31" s="181" t="s">
        <v>9</v>
      </c>
      <c r="G31" s="157">
        <v>-367</v>
      </c>
    </row>
    <row r="32" spans="1:7" ht="22.5">
      <c r="A32" s="135" t="s">
        <v>285</v>
      </c>
      <c r="B32" s="107" t="s">
        <v>9</v>
      </c>
      <c r="C32" s="107" t="s">
        <v>9</v>
      </c>
      <c r="D32" s="190">
        <v>97474</v>
      </c>
      <c r="E32" s="180" t="s">
        <v>9</v>
      </c>
      <c r="F32" s="181" t="s">
        <v>9</v>
      </c>
      <c r="G32" s="90">
        <v>7658</v>
      </c>
    </row>
    <row r="33" spans="1:7" ht="22.5">
      <c r="A33" s="187" t="s">
        <v>286</v>
      </c>
      <c r="B33" s="182" t="s">
        <v>9</v>
      </c>
      <c r="C33" s="182" t="s">
        <v>9</v>
      </c>
      <c r="D33" s="183">
        <v>62928</v>
      </c>
      <c r="E33" s="184" t="s">
        <v>9</v>
      </c>
      <c r="F33" s="185" t="s">
        <v>9</v>
      </c>
      <c r="G33" s="186">
        <v>5760</v>
      </c>
    </row>
    <row r="34" spans="1:7" ht="12.75">
      <c r="A34" s="136" t="s">
        <v>287</v>
      </c>
      <c r="B34" s="182" t="s">
        <v>9</v>
      </c>
      <c r="C34" s="182" t="s">
        <v>9</v>
      </c>
      <c r="D34" s="183">
        <v>34546</v>
      </c>
      <c r="E34" s="184" t="s">
        <v>9</v>
      </c>
      <c r="F34" s="185" t="s">
        <v>9</v>
      </c>
      <c r="G34" s="186">
        <v>1898</v>
      </c>
    </row>
    <row r="35" spans="1:7" ht="12.75">
      <c r="A35" s="135" t="s">
        <v>288</v>
      </c>
      <c r="B35" s="107" t="s">
        <v>9</v>
      </c>
      <c r="C35" s="107" t="s">
        <v>9</v>
      </c>
      <c r="D35" s="190">
        <v>77541</v>
      </c>
      <c r="E35" s="180" t="s">
        <v>9</v>
      </c>
      <c r="F35" s="181" t="s">
        <v>9</v>
      </c>
      <c r="G35" s="90">
        <v>7454</v>
      </c>
    </row>
    <row r="36" spans="1:7" ht="12.75">
      <c r="A36" s="187" t="s">
        <v>289</v>
      </c>
      <c r="B36" s="182" t="s">
        <v>9</v>
      </c>
      <c r="C36" s="182" t="s">
        <v>9</v>
      </c>
      <c r="D36" s="183">
        <v>3899</v>
      </c>
      <c r="E36" s="184" t="s">
        <v>9</v>
      </c>
      <c r="F36" s="185" t="s">
        <v>9</v>
      </c>
      <c r="G36" s="186">
        <v>404</v>
      </c>
    </row>
    <row r="37" spans="1:7" ht="12.75">
      <c r="A37" s="136" t="s">
        <v>290</v>
      </c>
      <c r="B37" s="182" t="s">
        <v>9</v>
      </c>
      <c r="C37" s="182" t="s">
        <v>9</v>
      </c>
      <c r="D37" s="183">
        <v>60904</v>
      </c>
      <c r="E37" s="184" t="s">
        <v>9</v>
      </c>
      <c r="F37" s="185" t="s">
        <v>9</v>
      </c>
      <c r="G37" s="186">
        <v>5505</v>
      </c>
    </row>
    <row r="38" spans="1:7" ht="12.75">
      <c r="A38" s="136" t="s">
        <v>291</v>
      </c>
      <c r="B38" s="182" t="s">
        <v>9</v>
      </c>
      <c r="C38" s="182" t="s">
        <v>9</v>
      </c>
      <c r="D38" s="183">
        <v>7162</v>
      </c>
      <c r="E38" s="184" t="s">
        <v>9</v>
      </c>
      <c r="F38" s="185" t="s">
        <v>9</v>
      </c>
      <c r="G38" s="186">
        <v>997</v>
      </c>
    </row>
    <row r="39" spans="1:7" ht="12.75">
      <c r="A39" s="136" t="s">
        <v>292</v>
      </c>
      <c r="B39" s="182" t="s">
        <v>9</v>
      </c>
      <c r="C39" s="182" t="s">
        <v>9</v>
      </c>
      <c r="D39" s="183">
        <v>5576</v>
      </c>
      <c r="E39" s="184" t="s">
        <v>9</v>
      </c>
      <c r="F39" s="185" t="s">
        <v>9</v>
      </c>
      <c r="G39" s="186">
        <v>548</v>
      </c>
    </row>
    <row r="40" spans="1:7" ht="22.5">
      <c r="A40" s="135" t="s">
        <v>293</v>
      </c>
      <c r="B40" s="106">
        <v>4487</v>
      </c>
      <c r="C40" s="106">
        <v>4487</v>
      </c>
      <c r="D40" s="176">
        <v>3636</v>
      </c>
      <c r="E40" s="154">
        <v>0.81</v>
      </c>
      <c r="F40" s="154">
        <v>0.81</v>
      </c>
      <c r="G40" s="157">
        <v>353</v>
      </c>
    </row>
    <row r="41" spans="1:7" ht="25.5">
      <c r="A41" s="191" t="s">
        <v>294</v>
      </c>
      <c r="B41" s="84">
        <v>64567</v>
      </c>
      <c r="C41" s="84">
        <v>64568</v>
      </c>
      <c r="D41" s="84">
        <v>64112</v>
      </c>
      <c r="E41" s="156">
        <v>0.993</v>
      </c>
      <c r="F41" s="156">
        <v>0.993</v>
      </c>
      <c r="G41" s="84">
        <v>12193</v>
      </c>
    </row>
    <row r="42" spans="1:7" ht="12.75">
      <c r="A42" s="192" t="s">
        <v>295</v>
      </c>
      <c r="B42" s="193">
        <v>14643</v>
      </c>
      <c r="C42" s="193">
        <v>14643</v>
      </c>
      <c r="D42" s="176">
        <v>14340</v>
      </c>
      <c r="E42" s="154">
        <v>0.979</v>
      </c>
      <c r="F42" s="154">
        <v>0.979</v>
      </c>
      <c r="G42" s="157">
        <v>2774</v>
      </c>
    </row>
    <row r="43" spans="1:7" ht="12.75">
      <c r="A43" s="135" t="s">
        <v>296</v>
      </c>
      <c r="B43" s="193">
        <v>49924</v>
      </c>
      <c r="C43" s="193">
        <v>49925</v>
      </c>
      <c r="D43" s="176">
        <v>49772</v>
      </c>
      <c r="E43" s="154">
        <v>0.997</v>
      </c>
      <c r="F43" s="154">
        <v>0.997</v>
      </c>
      <c r="G43" s="157">
        <v>9419</v>
      </c>
    </row>
    <row r="44" spans="1:7" ht="25.5">
      <c r="A44" s="102" t="s">
        <v>297</v>
      </c>
      <c r="B44" s="107" t="s">
        <v>9</v>
      </c>
      <c r="C44" s="107" t="s">
        <v>9</v>
      </c>
      <c r="D44" s="84">
        <v>71420</v>
      </c>
      <c r="E44" s="180" t="s">
        <v>9</v>
      </c>
      <c r="F44" s="181" t="s">
        <v>9</v>
      </c>
      <c r="G44" s="84">
        <v>2463</v>
      </c>
    </row>
    <row r="45" spans="1:7" ht="12.75">
      <c r="A45" s="92" t="s">
        <v>298</v>
      </c>
      <c r="B45" s="193">
        <v>0</v>
      </c>
      <c r="C45" s="194" t="s">
        <v>9</v>
      </c>
      <c r="D45" s="176">
        <v>126492</v>
      </c>
      <c r="E45" s="180" t="s">
        <v>9</v>
      </c>
      <c r="F45" s="180" t="s">
        <v>9</v>
      </c>
      <c r="G45" s="157">
        <v>21123</v>
      </c>
    </row>
    <row r="46" spans="1:7" ht="22.5">
      <c r="A46" s="160" t="s">
        <v>299</v>
      </c>
      <c r="B46" s="193">
        <v>0</v>
      </c>
      <c r="C46" s="194" t="s">
        <v>9</v>
      </c>
      <c r="D46" s="176">
        <v>55072</v>
      </c>
      <c r="E46" s="180" t="s">
        <v>9</v>
      </c>
      <c r="F46" s="180" t="s">
        <v>9</v>
      </c>
      <c r="G46" s="157">
        <v>18660</v>
      </c>
    </row>
    <row r="47" spans="1:7" ht="14.25">
      <c r="A47" s="59"/>
      <c r="B47" s="33"/>
      <c r="C47" s="33"/>
      <c r="D47" s="33"/>
      <c r="E47" s="195"/>
      <c r="F47" s="171"/>
      <c r="G47" s="2"/>
    </row>
    <row r="48" spans="1:7" ht="12.75">
      <c r="A48" s="115"/>
      <c r="B48" s="146"/>
      <c r="C48" s="146"/>
      <c r="D48" s="146"/>
      <c r="E48" s="166"/>
      <c r="F48" s="196"/>
      <c r="G48" s="2"/>
    </row>
    <row r="49" spans="6:7" ht="12.75">
      <c r="F49" s="168"/>
      <c r="G49" s="2"/>
    </row>
    <row r="50" spans="2:7" ht="12.75">
      <c r="B50" s="42"/>
      <c r="C50" s="42"/>
      <c r="D50" s="42"/>
      <c r="E50" s="42"/>
      <c r="F50" s="42"/>
      <c r="G50" s="2"/>
    </row>
    <row r="51" spans="2:7" ht="12.75">
      <c r="B51" s="2"/>
      <c r="C51" s="2"/>
      <c r="D51" s="2"/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6:7" ht="12.75"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ht="12.75">
      <c r="G57" s="2"/>
    </row>
    <row r="60" ht="12.75">
      <c r="A60" s="113" t="s">
        <v>301</v>
      </c>
    </row>
    <row r="77" ht="12.75">
      <c r="A77" s="42"/>
    </row>
    <row r="78" ht="12.75">
      <c r="A78" s="2"/>
    </row>
    <row r="85" ht="12.75">
      <c r="A85" s="2" t="s">
        <v>173</v>
      </c>
    </row>
    <row r="86" ht="12.75">
      <c r="A86" s="2" t="s">
        <v>44</v>
      </c>
    </row>
    <row r="93" ht="12.75">
      <c r="A93" s="2"/>
    </row>
    <row r="94" ht="12.75">
      <c r="A94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A18" sqref="A18"/>
    </sheetView>
  </sheetViews>
  <sheetFormatPr defaultColWidth="9.140625" defaultRowHeight="12.75"/>
  <cols>
    <col min="1" max="1" width="48.8515625" style="0" customWidth="1"/>
    <col min="2" max="2" width="11.140625" style="0" customWidth="1"/>
    <col min="3" max="3" width="11.421875" style="0" customWidth="1"/>
    <col min="4" max="4" width="10.140625" style="0" customWidth="1"/>
    <col min="5" max="5" width="10.28125" style="0" customWidth="1"/>
    <col min="6" max="6" width="9.00390625" style="0" customWidth="1"/>
  </cols>
  <sheetData>
    <row r="1" ht="12.75">
      <c r="F1" s="197" t="s">
        <v>302</v>
      </c>
    </row>
    <row r="2" spans="1:6" ht="12.75">
      <c r="A2" s="269" t="s">
        <v>96</v>
      </c>
      <c r="B2" s="269"/>
      <c r="C2" s="269"/>
      <c r="D2" s="269"/>
      <c r="E2" s="269"/>
      <c r="F2" s="269"/>
    </row>
    <row r="4" spans="1:6" ht="15.75">
      <c r="A4" s="270" t="s">
        <v>303</v>
      </c>
      <c r="B4" s="270"/>
      <c r="C4" s="270"/>
      <c r="D4" s="270"/>
      <c r="E4" s="270"/>
      <c r="F4" s="270"/>
    </row>
    <row r="5" spans="1:6" ht="15.75">
      <c r="A5" s="270" t="s">
        <v>304</v>
      </c>
      <c r="B5" s="270"/>
      <c r="C5" s="270"/>
      <c r="D5" s="270"/>
      <c r="E5" s="270"/>
      <c r="F5" s="270"/>
    </row>
    <row r="6" ht="12.75">
      <c r="F6" s="30" t="s">
        <v>305</v>
      </c>
    </row>
    <row r="7" spans="1:6" ht="33.75">
      <c r="A7" s="4" t="s">
        <v>2</v>
      </c>
      <c r="B7" s="4" t="s">
        <v>99</v>
      </c>
      <c r="C7" s="4" t="s">
        <v>306</v>
      </c>
      <c r="D7" s="4" t="s">
        <v>100</v>
      </c>
      <c r="E7" s="4" t="s">
        <v>307</v>
      </c>
      <c r="F7" s="4" t="s">
        <v>181</v>
      </c>
    </row>
    <row r="8" spans="1:6" ht="12.75">
      <c r="A8" s="3">
        <v>1</v>
      </c>
      <c r="B8" s="119">
        <v>2</v>
      </c>
      <c r="C8" s="120">
        <v>3</v>
      </c>
      <c r="D8" s="120">
        <v>4</v>
      </c>
      <c r="E8" s="120">
        <v>5</v>
      </c>
      <c r="F8" s="3">
        <v>6</v>
      </c>
    </row>
    <row r="9" spans="1:6" ht="12.75">
      <c r="A9" s="29" t="s">
        <v>308</v>
      </c>
      <c r="B9" s="175">
        <v>732871</v>
      </c>
      <c r="C9" s="175">
        <v>732871</v>
      </c>
      <c r="D9" s="175">
        <v>703898</v>
      </c>
      <c r="E9" s="85">
        <v>0.96</v>
      </c>
      <c r="F9" s="175">
        <v>73983</v>
      </c>
    </row>
    <row r="10" spans="1:6" ht="12.75">
      <c r="A10" s="29" t="s">
        <v>309</v>
      </c>
      <c r="B10" s="175">
        <v>824567</v>
      </c>
      <c r="C10" s="175">
        <v>824567</v>
      </c>
      <c r="D10" s="175">
        <v>790301</v>
      </c>
      <c r="E10" s="85">
        <v>0.958</v>
      </c>
      <c r="F10" s="175">
        <v>76641</v>
      </c>
    </row>
    <row r="11" spans="1:6" ht="12.75">
      <c r="A11" s="198" t="s">
        <v>310</v>
      </c>
      <c r="B11" s="90">
        <v>775773</v>
      </c>
      <c r="C11" s="22">
        <v>775773</v>
      </c>
      <c r="D11" s="22">
        <v>743738</v>
      </c>
      <c r="E11" s="91">
        <v>0.959</v>
      </c>
      <c r="F11" s="22">
        <v>73404</v>
      </c>
    </row>
    <row r="12" spans="1:6" ht="12.75">
      <c r="A12" s="198" t="s">
        <v>311</v>
      </c>
      <c r="B12" s="90">
        <v>48794</v>
      </c>
      <c r="C12" s="22">
        <v>48794</v>
      </c>
      <c r="D12" s="22">
        <v>46563</v>
      </c>
      <c r="E12" s="91">
        <v>0.954</v>
      </c>
      <c r="F12" s="22">
        <v>3237</v>
      </c>
    </row>
    <row r="13" spans="1:6" ht="12.75">
      <c r="A13" s="29" t="s">
        <v>312</v>
      </c>
      <c r="B13" s="175">
        <v>3756</v>
      </c>
      <c r="C13" s="175">
        <v>0</v>
      </c>
      <c r="D13" s="175">
        <v>3175</v>
      </c>
      <c r="E13" s="85">
        <v>0.845</v>
      </c>
      <c r="F13" s="175">
        <v>618</v>
      </c>
    </row>
    <row r="14" spans="1:6" ht="12.75">
      <c r="A14" s="29" t="s">
        <v>313</v>
      </c>
      <c r="B14" s="175">
        <v>5</v>
      </c>
      <c r="C14" s="175">
        <v>0</v>
      </c>
      <c r="D14" s="175">
        <v>0</v>
      </c>
      <c r="E14" s="85">
        <v>0</v>
      </c>
      <c r="F14" s="175">
        <v>0</v>
      </c>
    </row>
    <row r="15" spans="1:6" ht="12.75">
      <c r="A15" s="29" t="s">
        <v>314</v>
      </c>
      <c r="B15" s="5">
        <v>-95447</v>
      </c>
      <c r="C15" s="125">
        <v>-91696</v>
      </c>
      <c r="D15" s="125">
        <v>-89578</v>
      </c>
      <c r="E15" s="85">
        <v>0.939</v>
      </c>
      <c r="F15" s="125">
        <v>-3276</v>
      </c>
    </row>
    <row r="16" spans="1:6" ht="12.75">
      <c r="A16" s="199" t="s">
        <v>315</v>
      </c>
      <c r="B16" s="5">
        <v>78216</v>
      </c>
      <c r="C16" s="175">
        <v>0</v>
      </c>
      <c r="D16" s="175">
        <v>60089</v>
      </c>
      <c r="E16" s="85">
        <v>0.768</v>
      </c>
      <c r="F16" s="175">
        <v>-5274</v>
      </c>
    </row>
    <row r="17" spans="1:6" ht="12.75">
      <c r="A17" s="29" t="s">
        <v>229</v>
      </c>
      <c r="B17" s="200"/>
      <c r="C17" s="200"/>
      <c r="D17" s="200"/>
      <c r="E17" s="88"/>
      <c r="F17" s="200"/>
    </row>
    <row r="18" spans="1:6" ht="12.75">
      <c r="A18" s="201" t="s">
        <v>316</v>
      </c>
      <c r="B18" s="190"/>
      <c r="C18" s="190"/>
      <c r="D18" s="190"/>
      <c r="E18" s="88"/>
      <c r="F18" s="190"/>
    </row>
    <row r="19" spans="1:6" ht="12.75">
      <c r="A19" s="202" t="s">
        <v>317</v>
      </c>
      <c r="B19" s="90">
        <v>11112</v>
      </c>
      <c r="C19" s="90">
        <v>11112</v>
      </c>
      <c r="D19" s="90">
        <v>6213</v>
      </c>
      <c r="E19" s="91">
        <v>0.559</v>
      </c>
      <c r="F19" s="90">
        <v>675</v>
      </c>
    </row>
    <row r="20" spans="1:6" ht="12.75">
      <c r="A20" s="202" t="s">
        <v>318</v>
      </c>
      <c r="B20" s="90">
        <v>11774</v>
      </c>
      <c r="C20" s="22">
        <v>11774</v>
      </c>
      <c r="D20" s="22">
        <v>6799</v>
      </c>
      <c r="E20" s="91">
        <v>0.577</v>
      </c>
      <c r="F20" s="190">
        <v>2312</v>
      </c>
    </row>
    <row r="21" spans="1:6" ht="12.75">
      <c r="A21" s="202" t="s">
        <v>319</v>
      </c>
      <c r="B21" s="90">
        <v>11774</v>
      </c>
      <c r="C21" s="90">
        <v>11774</v>
      </c>
      <c r="D21" s="90">
        <v>6799</v>
      </c>
      <c r="E21" s="91">
        <v>0.577</v>
      </c>
      <c r="F21" s="90">
        <v>2312</v>
      </c>
    </row>
    <row r="22" spans="1:6" ht="12.75">
      <c r="A22" s="203" t="s">
        <v>320</v>
      </c>
      <c r="B22" s="97">
        <v>4636</v>
      </c>
      <c r="C22" s="97">
        <v>0</v>
      </c>
      <c r="D22" s="97">
        <v>4636</v>
      </c>
      <c r="E22" s="98">
        <v>1</v>
      </c>
      <c r="F22" s="97">
        <v>1000</v>
      </c>
    </row>
    <row r="23" spans="1:6" ht="12.75">
      <c r="A23" s="201" t="s">
        <v>321</v>
      </c>
      <c r="B23" s="190"/>
      <c r="C23" s="190"/>
      <c r="D23" s="190"/>
      <c r="E23" s="91"/>
      <c r="F23" s="190"/>
    </row>
    <row r="24" spans="1:6" ht="12.75">
      <c r="A24" s="202" t="s">
        <v>317</v>
      </c>
      <c r="B24" s="90">
        <v>3308</v>
      </c>
      <c r="C24" s="90">
        <v>3308</v>
      </c>
      <c r="D24" s="90">
        <v>2639</v>
      </c>
      <c r="E24" s="91">
        <v>0.798</v>
      </c>
      <c r="F24" s="90">
        <v>221</v>
      </c>
    </row>
    <row r="25" spans="1:6" ht="12.75">
      <c r="A25" s="202" t="s">
        <v>318</v>
      </c>
      <c r="B25" s="190">
        <v>2608</v>
      </c>
      <c r="C25" s="190">
        <v>2608</v>
      </c>
      <c r="D25" s="190">
        <v>2539</v>
      </c>
      <c r="E25" s="91">
        <v>0.974</v>
      </c>
      <c r="F25" s="190">
        <v>293</v>
      </c>
    </row>
    <row r="26" spans="1:6" ht="12.75">
      <c r="A26" s="202" t="s">
        <v>319</v>
      </c>
      <c r="B26" s="90">
        <v>2522</v>
      </c>
      <c r="C26" s="90">
        <v>2522</v>
      </c>
      <c r="D26" s="90">
        <v>2472</v>
      </c>
      <c r="E26" s="91">
        <v>0.98</v>
      </c>
      <c r="F26" s="90">
        <v>281</v>
      </c>
    </row>
    <row r="27" spans="1:6" ht="12.75">
      <c r="A27" s="202" t="s">
        <v>311</v>
      </c>
      <c r="B27" s="90">
        <v>86</v>
      </c>
      <c r="C27" s="90">
        <v>86</v>
      </c>
      <c r="D27" s="90">
        <v>67</v>
      </c>
      <c r="E27" s="91">
        <v>0.779</v>
      </c>
      <c r="F27" s="90">
        <v>12</v>
      </c>
    </row>
    <row r="28" spans="1:6" ht="12.75">
      <c r="A28" s="29" t="s">
        <v>230</v>
      </c>
      <c r="B28" s="200"/>
      <c r="C28" s="200"/>
      <c r="D28" s="200"/>
      <c r="E28" s="91"/>
      <c r="F28" s="200"/>
    </row>
    <row r="29" spans="1:6" ht="22.5">
      <c r="A29" s="204" t="s">
        <v>322</v>
      </c>
      <c r="B29" s="190"/>
      <c r="C29" s="190"/>
      <c r="D29" s="190"/>
      <c r="E29" s="91"/>
      <c r="F29" s="190"/>
    </row>
    <row r="30" spans="1:6" ht="12.75">
      <c r="A30" s="202" t="s">
        <v>317</v>
      </c>
      <c r="B30" s="190">
        <v>1764</v>
      </c>
      <c r="C30" s="90">
        <v>1764</v>
      </c>
      <c r="D30" s="190">
        <v>2601</v>
      </c>
      <c r="E30" s="91">
        <v>1.474</v>
      </c>
      <c r="F30" s="190">
        <v>168</v>
      </c>
    </row>
    <row r="31" spans="1:6" ht="12.75">
      <c r="A31" s="135" t="s">
        <v>323</v>
      </c>
      <c r="B31" s="90">
        <v>1550</v>
      </c>
      <c r="C31" s="90">
        <v>0</v>
      </c>
      <c r="D31" s="90">
        <v>2257</v>
      </c>
      <c r="E31" s="91">
        <v>1.456</v>
      </c>
      <c r="F31" s="90">
        <v>123</v>
      </c>
    </row>
    <row r="32" spans="1:6" ht="12.75">
      <c r="A32" s="192" t="s">
        <v>324</v>
      </c>
      <c r="B32" s="90">
        <v>214</v>
      </c>
      <c r="C32" s="90">
        <v>0</v>
      </c>
      <c r="D32" s="90">
        <v>344</v>
      </c>
      <c r="E32" s="91">
        <v>1.607</v>
      </c>
      <c r="F32" s="90">
        <v>45</v>
      </c>
    </row>
    <row r="33" spans="1:6" ht="12.75">
      <c r="A33" s="202" t="s">
        <v>318</v>
      </c>
      <c r="B33" s="190">
        <v>764</v>
      </c>
      <c r="C33" s="190">
        <v>764</v>
      </c>
      <c r="D33" s="190">
        <v>728</v>
      </c>
      <c r="E33" s="91">
        <v>0.953</v>
      </c>
      <c r="F33" s="190">
        <v>63</v>
      </c>
    </row>
    <row r="34" spans="1:6" ht="12.75">
      <c r="A34" s="202" t="s">
        <v>319</v>
      </c>
      <c r="B34" s="90">
        <v>764</v>
      </c>
      <c r="C34" s="90">
        <v>764</v>
      </c>
      <c r="D34" s="90">
        <v>728</v>
      </c>
      <c r="E34" s="91">
        <v>0.953</v>
      </c>
      <c r="F34" s="90">
        <v>63</v>
      </c>
    </row>
    <row r="35" spans="1:6" ht="22.5">
      <c r="A35" s="204" t="s">
        <v>325</v>
      </c>
      <c r="B35" s="190"/>
      <c r="C35" s="190"/>
      <c r="D35" s="190"/>
      <c r="E35" s="91"/>
      <c r="F35" s="190"/>
    </row>
    <row r="36" spans="1:6" ht="12.75">
      <c r="A36" s="202" t="s">
        <v>317</v>
      </c>
      <c r="B36" s="190">
        <v>147</v>
      </c>
      <c r="C36" s="90">
        <v>147</v>
      </c>
      <c r="D36" s="190">
        <v>220</v>
      </c>
      <c r="E36" s="91">
        <v>1.497</v>
      </c>
      <c r="F36" s="190">
        <v>0</v>
      </c>
    </row>
    <row r="37" spans="1:6" ht="12.75">
      <c r="A37" s="135" t="s">
        <v>326</v>
      </c>
      <c r="B37" s="90">
        <v>147</v>
      </c>
      <c r="C37" s="90">
        <v>0</v>
      </c>
      <c r="D37" s="90">
        <v>220</v>
      </c>
      <c r="E37" s="91">
        <v>1.497</v>
      </c>
      <c r="F37" s="90">
        <v>0</v>
      </c>
    </row>
    <row r="38" spans="1:6" ht="12.75">
      <c r="A38" s="135" t="s">
        <v>324</v>
      </c>
      <c r="B38" s="90">
        <v>0</v>
      </c>
      <c r="C38" s="190"/>
      <c r="D38" s="190"/>
      <c r="E38" s="91" t="s">
        <v>113</v>
      </c>
      <c r="F38" s="90">
        <v>0</v>
      </c>
    </row>
    <row r="39" spans="1:6" ht="12.75">
      <c r="A39" s="202" t="s">
        <v>318</v>
      </c>
      <c r="B39" s="190">
        <v>0</v>
      </c>
      <c r="C39" s="190">
        <v>0</v>
      </c>
      <c r="D39" s="190">
        <v>0</v>
      </c>
      <c r="E39" s="91" t="s">
        <v>113</v>
      </c>
      <c r="F39" s="190">
        <v>0</v>
      </c>
    </row>
    <row r="40" spans="1:6" ht="12.75">
      <c r="A40" s="202" t="s">
        <v>319</v>
      </c>
      <c r="B40" s="90">
        <v>0</v>
      </c>
      <c r="C40" s="90">
        <v>0</v>
      </c>
      <c r="D40" s="90">
        <v>0</v>
      </c>
      <c r="E40" s="91" t="s">
        <v>113</v>
      </c>
      <c r="F40" s="90">
        <v>0</v>
      </c>
    </row>
    <row r="41" spans="1:6" ht="12.75">
      <c r="A41" s="204" t="s">
        <v>327</v>
      </c>
      <c r="B41" s="190"/>
      <c r="C41" s="190"/>
      <c r="D41" s="190"/>
      <c r="E41" s="91"/>
      <c r="F41" s="190"/>
    </row>
    <row r="42" spans="1:6" ht="12.75">
      <c r="A42" s="202" t="s">
        <v>317</v>
      </c>
      <c r="B42" s="190">
        <v>88</v>
      </c>
      <c r="C42" s="90">
        <v>88</v>
      </c>
      <c r="D42" s="190">
        <v>122</v>
      </c>
      <c r="E42" s="91">
        <v>1.386</v>
      </c>
      <c r="F42" s="190">
        <v>0</v>
      </c>
    </row>
    <row r="43" spans="1:6" ht="12.75">
      <c r="A43" s="135" t="s">
        <v>326</v>
      </c>
      <c r="B43" s="90">
        <v>88</v>
      </c>
      <c r="C43" s="90">
        <v>0</v>
      </c>
      <c r="D43" s="90">
        <v>122</v>
      </c>
      <c r="E43" s="91">
        <v>1.386</v>
      </c>
      <c r="F43" s="90">
        <v>0</v>
      </c>
    </row>
    <row r="44" spans="1:6" ht="12.75">
      <c r="A44" s="202" t="s">
        <v>318</v>
      </c>
      <c r="B44" s="190">
        <v>180</v>
      </c>
      <c r="C44" s="190">
        <v>180</v>
      </c>
      <c r="D44" s="190">
        <v>179</v>
      </c>
      <c r="E44" s="91">
        <v>0.994</v>
      </c>
      <c r="F44" s="190">
        <v>35</v>
      </c>
    </row>
    <row r="45" spans="1:6" ht="12.75">
      <c r="A45" s="202" t="s">
        <v>319</v>
      </c>
      <c r="B45" s="90">
        <v>180</v>
      </c>
      <c r="C45" s="90">
        <v>180</v>
      </c>
      <c r="D45" s="90">
        <v>179</v>
      </c>
      <c r="E45" s="91">
        <v>0.994</v>
      </c>
      <c r="F45" s="90">
        <v>35</v>
      </c>
    </row>
    <row r="46" spans="1:6" ht="22.5">
      <c r="A46" s="204" t="s">
        <v>328</v>
      </c>
      <c r="B46" s="107"/>
      <c r="C46" s="107"/>
      <c r="D46" s="107"/>
      <c r="E46" s="91"/>
      <c r="F46" s="107"/>
    </row>
    <row r="47" spans="1:6" ht="12.75">
      <c r="A47" s="202" t="s">
        <v>317</v>
      </c>
      <c r="B47" s="190">
        <v>1300</v>
      </c>
      <c r="C47" s="90">
        <v>1300</v>
      </c>
      <c r="D47" s="190">
        <v>1293</v>
      </c>
      <c r="E47" s="91">
        <v>0.995</v>
      </c>
      <c r="F47" s="190">
        <v>3</v>
      </c>
    </row>
    <row r="48" spans="1:6" ht="12.75">
      <c r="A48" s="160" t="s">
        <v>329</v>
      </c>
      <c r="B48" s="90">
        <v>500</v>
      </c>
      <c r="C48" s="90">
        <v>0</v>
      </c>
      <c r="D48" s="90">
        <v>500</v>
      </c>
      <c r="E48" s="91">
        <v>1</v>
      </c>
      <c r="F48" s="90">
        <v>0</v>
      </c>
    </row>
    <row r="49" spans="1:6" ht="12.75">
      <c r="A49" s="205" t="s">
        <v>330</v>
      </c>
      <c r="B49" s="90">
        <v>800</v>
      </c>
      <c r="C49" s="90">
        <v>0</v>
      </c>
      <c r="D49" s="90">
        <v>793</v>
      </c>
      <c r="E49" s="91">
        <v>0.991</v>
      </c>
      <c r="F49" s="90">
        <v>3</v>
      </c>
    </row>
    <row r="50" spans="1:6" ht="12.75">
      <c r="A50" s="202" t="s">
        <v>318</v>
      </c>
      <c r="B50" s="190">
        <v>80</v>
      </c>
      <c r="C50" s="190">
        <v>80</v>
      </c>
      <c r="D50" s="190">
        <v>63</v>
      </c>
      <c r="E50" s="91">
        <v>0.788</v>
      </c>
      <c r="F50" s="190">
        <v>4</v>
      </c>
    </row>
    <row r="51" spans="1:6" ht="12.75">
      <c r="A51" s="202" t="s">
        <v>319</v>
      </c>
      <c r="B51" s="90">
        <v>68</v>
      </c>
      <c r="C51" s="90">
        <v>68</v>
      </c>
      <c r="D51" s="90">
        <v>56</v>
      </c>
      <c r="E51" s="91">
        <v>0.824</v>
      </c>
      <c r="F51" s="90">
        <v>4</v>
      </c>
    </row>
    <row r="52" spans="1:6" ht="12.75">
      <c r="A52" s="202" t="s">
        <v>311</v>
      </c>
      <c r="B52" s="90">
        <v>12</v>
      </c>
      <c r="C52" s="90">
        <v>12</v>
      </c>
      <c r="D52" s="90">
        <v>7</v>
      </c>
      <c r="E52" s="91">
        <v>0.583</v>
      </c>
      <c r="F52" s="90">
        <v>0</v>
      </c>
    </row>
    <row r="53" spans="1:6" ht="12.75">
      <c r="A53" s="29" t="s">
        <v>232</v>
      </c>
      <c r="B53" s="200"/>
      <c r="C53" s="200"/>
      <c r="D53" s="200"/>
      <c r="E53" s="91"/>
      <c r="F53" s="200"/>
    </row>
    <row r="54" spans="1:6" ht="12.75">
      <c r="A54" s="201" t="s">
        <v>331</v>
      </c>
      <c r="B54" s="190"/>
      <c r="C54" s="190"/>
      <c r="D54" s="190"/>
      <c r="E54" s="91"/>
      <c r="F54" s="190"/>
    </row>
    <row r="55" spans="1:6" ht="12.75">
      <c r="A55" s="202" t="s">
        <v>317</v>
      </c>
      <c r="B55" s="190">
        <v>2032</v>
      </c>
      <c r="C55" s="90">
        <v>2032</v>
      </c>
      <c r="D55" s="190">
        <v>2108</v>
      </c>
      <c r="E55" s="91">
        <v>1.037</v>
      </c>
      <c r="F55" s="190">
        <v>418</v>
      </c>
    </row>
    <row r="56" spans="1:6" ht="12.75">
      <c r="A56" s="135" t="s">
        <v>332</v>
      </c>
      <c r="B56" s="90">
        <v>2032</v>
      </c>
      <c r="C56" s="90">
        <v>0</v>
      </c>
      <c r="D56" s="90">
        <v>2108</v>
      </c>
      <c r="E56" s="91">
        <v>1.037</v>
      </c>
      <c r="F56" s="90">
        <v>418</v>
      </c>
    </row>
    <row r="57" spans="1:6" ht="12.75">
      <c r="A57" s="202" t="s">
        <v>318</v>
      </c>
      <c r="B57" s="190">
        <v>2032</v>
      </c>
      <c r="C57" s="190">
        <v>2032</v>
      </c>
      <c r="D57" s="190">
        <v>2032</v>
      </c>
      <c r="E57" s="91">
        <v>1</v>
      </c>
      <c r="F57" s="190">
        <v>280</v>
      </c>
    </row>
    <row r="58" spans="1:6" ht="12.75">
      <c r="A58" s="202" t="s">
        <v>319</v>
      </c>
      <c r="B58" s="90">
        <v>1391</v>
      </c>
      <c r="C58" s="90">
        <v>1391</v>
      </c>
      <c r="D58" s="90">
        <v>1391</v>
      </c>
      <c r="E58" s="91">
        <v>1</v>
      </c>
      <c r="F58" s="90">
        <v>276</v>
      </c>
    </row>
    <row r="59" spans="1:6" ht="12.75">
      <c r="A59" s="202" t="s">
        <v>311</v>
      </c>
      <c r="B59" s="90">
        <v>641</v>
      </c>
      <c r="C59" s="90">
        <v>641</v>
      </c>
      <c r="D59" s="90">
        <v>641</v>
      </c>
      <c r="E59" s="91">
        <v>1</v>
      </c>
      <c r="F59" s="90">
        <v>4</v>
      </c>
    </row>
    <row r="60" spans="1:6" ht="12.75">
      <c r="A60" s="204" t="s">
        <v>333</v>
      </c>
      <c r="B60" s="190"/>
      <c r="C60" s="190"/>
      <c r="D60" s="190"/>
      <c r="E60" s="91"/>
      <c r="F60" s="190"/>
    </row>
    <row r="61" spans="1:6" ht="12.75">
      <c r="A61" s="202" t="s">
        <v>317</v>
      </c>
      <c r="B61" s="190">
        <v>257</v>
      </c>
      <c r="C61" s="90">
        <v>257</v>
      </c>
      <c r="D61" s="190">
        <v>257</v>
      </c>
      <c r="E61" s="91">
        <v>1</v>
      </c>
      <c r="F61" s="190">
        <v>40</v>
      </c>
    </row>
    <row r="62" spans="1:6" ht="12.75">
      <c r="A62" s="135" t="s">
        <v>334</v>
      </c>
      <c r="B62" s="90">
        <v>257</v>
      </c>
      <c r="C62" s="90">
        <v>0</v>
      </c>
      <c r="D62" s="90">
        <v>257</v>
      </c>
      <c r="E62" s="91">
        <v>1</v>
      </c>
      <c r="F62" s="90">
        <v>40</v>
      </c>
    </row>
    <row r="63" spans="1:6" ht="12.75">
      <c r="A63" s="202" t="s">
        <v>318</v>
      </c>
      <c r="B63" s="190">
        <v>262</v>
      </c>
      <c r="C63" s="190">
        <v>262</v>
      </c>
      <c r="D63" s="190">
        <v>94</v>
      </c>
      <c r="E63" s="91">
        <v>0.359</v>
      </c>
      <c r="F63" s="190">
        <v>6</v>
      </c>
    </row>
    <row r="64" spans="1:6" ht="12.75">
      <c r="A64" s="202" t="s">
        <v>319</v>
      </c>
      <c r="B64" s="90">
        <v>260</v>
      </c>
      <c r="C64" s="90">
        <v>260</v>
      </c>
      <c r="D64" s="90">
        <v>92</v>
      </c>
      <c r="E64" s="91">
        <v>0.354</v>
      </c>
      <c r="F64" s="90">
        <v>6</v>
      </c>
    </row>
    <row r="65" spans="1:6" ht="12.75">
      <c r="A65" s="202" t="s">
        <v>311</v>
      </c>
      <c r="B65" s="90">
        <v>2</v>
      </c>
      <c r="C65" s="90">
        <v>2</v>
      </c>
      <c r="D65" s="90">
        <v>2</v>
      </c>
      <c r="E65" s="91">
        <v>1</v>
      </c>
      <c r="F65" s="90">
        <v>0</v>
      </c>
    </row>
    <row r="66" spans="1:6" ht="12.75">
      <c r="A66" s="202" t="s">
        <v>312</v>
      </c>
      <c r="B66" s="90">
        <v>3756</v>
      </c>
      <c r="C66" s="90">
        <v>0</v>
      </c>
      <c r="D66" s="90">
        <v>3175</v>
      </c>
      <c r="E66" s="91">
        <v>0.845</v>
      </c>
      <c r="F66" s="90">
        <v>618</v>
      </c>
    </row>
    <row r="67" spans="1:6" ht="12.75">
      <c r="A67" s="202" t="s">
        <v>313</v>
      </c>
      <c r="B67" s="90">
        <v>5</v>
      </c>
      <c r="C67" s="90">
        <v>0</v>
      </c>
      <c r="D67" s="90">
        <v>0</v>
      </c>
      <c r="E67" s="91">
        <v>0</v>
      </c>
      <c r="F67" s="90">
        <v>0</v>
      </c>
    </row>
    <row r="68" spans="1:6" ht="12.75">
      <c r="A68" s="202" t="s">
        <v>314</v>
      </c>
      <c r="B68" s="90">
        <v>-3756</v>
      </c>
      <c r="C68" s="90">
        <v>-5</v>
      </c>
      <c r="D68" s="90">
        <v>-3012</v>
      </c>
      <c r="E68" s="91">
        <v>0.802</v>
      </c>
      <c r="F68" s="90">
        <v>-584</v>
      </c>
    </row>
    <row r="69" spans="1:6" ht="12.75">
      <c r="A69" s="202" t="s">
        <v>315</v>
      </c>
      <c r="B69" s="90">
        <v>3756</v>
      </c>
      <c r="C69" s="90">
        <v>0</v>
      </c>
      <c r="D69" s="90">
        <v>3175</v>
      </c>
      <c r="E69" s="91">
        <v>0.845</v>
      </c>
      <c r="F69" s="90">
        <v>618</v>
      </c>
    </row>
    <row r="70" spans="1:6" ht="12.75">
      <c r="A70" s="102" t="s">
        <v>233</v>
      </c>
      <c r="B70" s="200"/>
      <c r="C70" s="200"/>
      <c r="D70" s="200"/>
      <c r="E70" s="91"/>
      <c r="F70" s="200"/>
    </row>
    <row r="71" spans="1:6" ht="12.75">
      <c r="A71" s="201" t="s">
        <v>335</v>
      </c>
      <c r="B71" s="190"/>
      <c r="C71" s="190"/>
      <c r="D71" s="190"/>
      <c r="E71" s="91"/>
      <c r="F71" s="190"/>
    </row>
    <row r="72" spans="1:6" ht="12.75">
      <c r="A72" s="202" t="s">
        <v>317</v>
      </c>
      <c r="B72" s="190">
        <v>785</v>
      </c>
      <c r="C72" s="90">
        <v>785</v>
      </c>
      <c r="D72" s="190">
        <v>516</v>
      </c>
      <c r="E72" s="91">
        <v>0.657</v>
      </c>
      <c r="F72" s="190">
        <v>18</v>
      </c>
    </row>
    <row r="73" spans="1:6" ht="12.75">
      <c r="A73" s="135" t="s">
        <v>336</v>
      </c>
      <c r="B73" s="90">
        <v>510</v>
      </c>
      <c r="C73" s="90">
        <v>0</v>
      </c>
      <c r="D73" s="90">
        <v>282</v>
      </c>
      <c r="E73" s="91">
        <v>0.553</v>
      </c>
      <c r="F73" s="90">
        <v>10</v>
      </c>
    </row>
    <row r="74" spans="1:6" ht="12.75">
      <c r="A74" s="135" t="s">
        <v>324</v>
      </c>
      <c r="B74" s="90">
        <v>275</v>
      </c>
      <c r="C74" s="90">
        <v>0</v>
      </c>
      <c r="D74" s="90">
        <v>234</v>
      </c>
      <c r="E74" s="91">
        <v>0.851</v>
      </c>
      <c r="F74" s="90">
        <v>8</v>
      </c>
    </row>
    <row r="75" spans="1:6" ht="12.75">
      <c r="A75" s="202" t="s">
        <v>318</v>
      </c>
      <c r="B75" s="190">
        <v>785</v>
      </c>
      <c r="C75" s="190">
        <v>785</v>
      </c>
      <c r="D75" s="190">
        <v>693</v>
      </c>
      <c r="E75" s="91">
        <v>0.883</v>
      </c>
      <c r="F75" s="190">
        <v>88</v>
      </c>
    </row>
    <row r="76" spans="1:6" ht="12.75">
      <c r="A76" s="202" t="s">
        <v>319</v>
      </c>
      <c r="B76" s="90">
        <v>701</v>
      </c>
      <c r="C76" s="90">
        <v>701</v>
      </c>
      <c r="D76" s="90">
        <v>614</v>
      </c>
      <c r="E76" s="91">
        <v>0.876</v>
      </c>
      <c r="F76" s="90">
        <v>88</v>
      </c>
    </row>
    <row r="77" spans="1:6" ht="12.75">
      <c r="A77" s="202" t="s">
        <v>311</v>
      </c>
      <c r="B77" s="90">
        <v>84</v>
      </c>
      <c r="C77" s="90">
        <v>84</v>
      </c>
      <c r="D77" s="90">
        <v>79</v>
      </c>
      <c r="E77" s="91">
        <v>0.94</v>
      </c>
      <c r="F77" s="90">
        <v>0</v>
      </c>
    </row>
    <row r="78" spans="1:6" ht="12.75">
      <c r="A78" s="201" t="s">
        <v>337</v>
      </c>
      <c r="B78" s="190"/>
      <c r="C78" s="190"/>
      <c r="D78" s="190"/>
      <c r="E78" s="91"/>
      <c r="F78" s="190"/>
    </row>
    <row r="79" spans="1:6" ht="12.75">
      <c r="A79" s="202" t="s">
        <v>317</v>
      </c>
      <c r="B79" s="190">
        <v>24000</v>
      </c>
      <c r="C79" s="90">
        <v>24000</v>
      </c>
      <c r="D79" s="190">
        <v>19495</v>
      </c>
      <c r="E79" s="91">
        <v>0.812</v>
      </c>
      <c r="F79" s="190">
        <v>2205</v>
      </c>
    </row>
    <row r="80" spans="1:6" ht="12.75">
      <c r="A80" s="135" t="s">
        <v>338</v>
      </c>
      <c r="B80" s="90">
        <v>18919</v>
      </c>
      <c r="C80" s="90">
        <v>0</v>
      </c>
      <c r="D80" s="90">
        <v>17362</v>
      </c>
      <c r="E80" s="91">
        <v>0.918</v>
      </c>
      <c r="F80" s="90">
        <v>1993</v>
      </c>
    </row>
    <row r="81" spans="1:6" ht="12.75">
      <c r="A81" s="202" t="s">
        <v>267</v>
      </c>
      <c r="B81" s="90">
        <v>5081</v>
      </c>
      <c r="C81" s="90">
        <v>0</v>
      </c>
      <c r="D81" s="90">
        <v>2133</v>
      </c>
      <c r="E81" s="91">
        <v>0.42</v>
      </c>
      <c r="F81" s="90">
        <v>212</v>
      </c>
    </row>
    <row r="82" spans="1:6" ht="12.75">
      <c r="A82" s="202" t="s">
        <v>318</v>
      </c>
      <c r="B82" s="190">
        <v>23000</v>
      </c>
      <c r="C82" s="190">
        <v>23000</v>
      </c>
      <c r="D82" s="190">
        <v>22889</v>
      </c>
      <c r="E82" s="91">
        <v>0.995</v>
      </c>
      <c r="F82" s="190">
        <v>4381</v>
      </c>
    </row>
    <row r="83" spans="1:6" ht="12.75">
      <c r="A83" s="202" t="s">
        <v>319</v>
      </c>
      <c r="B83" s="90">
        <v>21164</v>
      </c>
      <c r="C83" s="90">
        <v>21164</v>
      </c>
      <c r="D83" s="90">
        <v>21055</v>
      </c>
      <c r="E83" s="91">
        <v>0.995</v>
      </c>
      <c r="F83" s="90">
        <v>4078</v>
      </c>
    </row>
    <row r="84" spans="1:6" ht="12.75">
      <c r="A84" s="202" t="s">
        <v>311</v>
      </c>
      <c r="B84" s="90">
        <v>1836</v>
      </c>
      <c r="C84" s="90">
        <v>1836</v>
      </c>
      <c r="D84" s="90">
        <v>1834</v>
      </c>
      <c r="E84" s="91">
        <v>0.999</v>
      </c>
      <c r="F84" s="90">
        <v>303</v>
      </c>
    </row>
    <row r="85" spans="1:6" ht="12.75">
      <c r="A85" s="29" t="s">
        <v>234</v>
      </c>
      <c r="B85" s="90"/>
      <c r="C85" s="90"/>
      <c r="D85" s="90"/>
      <c r="E85" s="91"/>
      <c r="F85" s="90"/>
    </row>
    <row r="86" spans="1:6" ht="12.75">
      <c r="A86" s="201" t="s">
        <v>339</v>
      </c>
      <c r="B86" s="190"/>
      <c r="C86" s="190"/>
      <c r="D86" s="190"/>
      <c r="E86" s="91"/>
      <c r="F86" s="190"/>
    </row>
    <row r="87" spans="1:6" ht="12.75">
      <c r="A87" s="202" t="s">
        <v>317</v>
      </c>
      <c r="B87" s="190">
        <v>61799</v>
      </c>
      <c r="C87" s="90">
        <v>61799</v>
      </c>
      <c r="D87" s="190">
        <v>57318</v>
      </c>
      <c r="E87" s="91">
        <v>0.927</v>
      </c>
      <c r="F87" s="190">
        <v>6100</v>
      </c>
    </row>
    <row r="88" spans="1:6" ht="12.75">
      <c r="A88" s="202" t="s">
        <v>340</v>
      </c>
      <c r="B88" s="90">
        <v>7800</v>
      </c>
      <c r="C88" s="90">
        <v>0</v>
      </c>
      <c r="D88" s="90">
        <v>8004</v>
      </c>
      <c r="E88" s="91">
        <v>1.026</v>
      </c>
      <c r="F88" s="90">
        <v>412</v>
      </c>
    </row>
    <row r="89" spans="1:6" ht="12.75">
      <c r="A89" s="202" t="s">
        <v>341</v>
      </c>
      <c r="B89" s="90">
        <v>53949</v>
      </c>
      <c r="C89" s="90">
        <v>0</v>
      </c>
      <c r="D89" s="90">
        <v>49285</v>
      </c>
      <c r="E89" s="91">
        <v>0.914</v>
      </c>
      <c r="F89" s="90">
        <v>5684</v>
      </c>
    </row>
    <row r="90" spans="1:6" ht="12.75">
      <c r="A90" s="202" t="s">
        <v>267</v>
      </c>
      <c r="B90" s="90">
        <v>50</v>
      </c>
      <c r="C90" s="90">
        <v>0</v>
      </c>
      <c r="D90" s="90">
        <v>29</v>
      </c>
      <c r="E90" s="91">
        <v>0.58</v>
      </c>
      <c r="F90" s="90">
        <v>4</v>
      </c>
    </row>
    <row r="91" spans="1:6" ht="12.75">
      <c r="A91" s="202" t="s">
        <v>318</v>
      </c>
      <c r="B91" s="190">
        <v>81513</v>
      </c>
      <c r="C91" s="190">
        <v>81513</v>
      </c>
      <c r="D91" s="190">
        <v>77741</v>
      </c>
      <c r="E91" s="91">
        <v>0.954</v>
      </c>
      <c r="F91" s="190">
        <v>3892</v>
      </c>
    </row>
    <row r="92" spans="1:6" ht="12.75">
      <c r="A92" s="202" t="s">
        <v>319</v>
      </c>
      <c r="B92" s="90">
        <v>52743</v>
      </c>
      <c r="C92" s="90">
        <v>52743</v>
      </c>
      <c r="D92" s="90">
        <v>48985</v>
      </c>
      <c r="E92" s="91">
        <v>0.929</v>
      </c>
      <c r="F92" s="90">
        <v>3998</v>
      </c>
    </row>
    <row r="93" spans="1:6" ht="12.75">
      <c r="A93" s="202" t="s">
        <v>342</v>
      </c>
      <c r="B93" s="90">
        <v>28770</v>
      </c>
      <c r="C93" s="90">
        <v>28770</v>
      </c>
      <c r="D93" s="90">
        <v>28756</v>
      </c>
      <c r="E93" s="91">
        <v>1</v>
      </c>
      <c r="F93" s="90">
        <v>-106</v>
      </c>
    </row>
    <row r="94" spans="1:6" ht="12.75">
      <c r="A94" s="202" t="s">
        <v>314</v>
      </c>
      <c r="B94" s="190">
        <v>-19714</v>
      </c>
      <c r="C94" s="190">
        <v>-19714</v>
      </c>
      <c r="D94" s="190">
        <v>-20423</v>
      </c>
      <c r="E94" s="91">
        <v>1.036</v>
      </c>
      <c r="F94" s="190">
        <v>2208</v>
      </c>
    </row>
    <row r="95" spans="1:6" ht="12.75">
      <c r="A95" s="202" t="s">
        <v>315</v>
      </c>
      <c r="B95" s="90">
        <v>15750</v>
      </c>
      <c r="C95" s="190"/>
      <c r="D95" s="90">
        <v>15739</v>
      </c>
      <c r="E95" s="91">
        <v>0.999</v>
      </c>
      <c r="F95" s="90">
        <v>-2634</v>
      </c>
    </row>
    <row r="96" spans="1:6" ht="12.75">
      <c r="A96" s="201" t="s">
        <v>343</v>
      </c>
      <c r="B96" s="190"/>
      <c r="C96" s="190"/>
      <c r="D96" s="190"/>
      <c r="E96" s="91"/>
      <c r="F96" s="90"/>
    </row>
    <row r="97" spans="1:6" ht="12.75">
      <c r="A97" s="202" t="s">
        <v>317</v>
      </c>
      <c r="B97" s="190">
        <v>21878</v>
      </c>
      <c r="C97" s="190">
        <v>21878</v>
      </c>
      <c r="D97" s="190">
        <v>6029</v>
      </c>
      <c r="E97" s="91">
        <v>0.276</v>
      </c>
      <c r="F97" s="190">
        <v>2341</v>
      </c>
    </row>
    <row r="98" spans="1:6" ht="12.75">
      <c r="A98" s="202" t="s">
        <v>267</v>
      </c>
      <c r="B98" s="90">
        <v>19278</v>
      </c>
      <c r="C98" s="90">
        <v>0</v>
      </c>
      <c r="D98" s="90">
        <v>4554</v>
      </c>
      <c r="E98" s="91">
        <v>0.236</v>
      </c>
      <c r="F98" s="90">
        <v>2369</v>
      </c>
    </row>
    <row r="99" spans="1:6" ht="12.75">
      <c r="A99" s="202" t="s">
        <v>344</v>
      </c>
      <c r="B99" s="90">
        <v>2600</v>
      </c>
      <c r="C99" s="90">
        <v>0</v>
      </c>
      <c r="D99" s="90">
        <v>1475</v>
      </c>
      <c r="E99" s="91">
        <v>0.567</v>
      </c>
      <c r="F99" s="90">
        <v>-28</v>
      </c>
    </row>
    <row r="100" spans="1:6" ht="12.75">
      <c r="A100" s="202" t="s">
        <v>318</v>
      </c>
      <c r="B100" s="190">
        <v>21878</v>
      </c>
      <c r="C100" s="190">
        <v>21878</v>
      </c>
      <c r="D100" s="190">
        <v>6001</v>
      </c>
      <c r="E100" s="91">
        <v>0.274</v>
      </c>
      <c r="F100" s="190">
        <v>2739</v>
      </c>
    </row>
    <row r="101" spans="1:6" ht="12.75">
      <c r="A101" s="202" t="s">
        <v>319</v>
      </c>
      <c r="B101" s="90">
        <v>21860</v>
      </c>
      <c r="C101" s="90">
        <v>21860</v>
      </c>
      <c r="D101" s="90">
        <v>5983</v>
      </c>
      <c r="E101" s="91">
        <v>0.274</v>
      </c>
      <c r="F101" s="90">
        <v>2730</v>
      </c>
    </row>
    <row r="102" spans="1:6" ht="12.75">
      <c r="A102" s="202" t="s">
        <v>311</v>
      </c>
      <c r="B102" s="90">
        <v>18</v>
      </c>
      <c r="C102" s="90">
        <v>18</v>
      </c>
      <c r="D102" s="90">
        <v>18</v>
      </c>
      <c r="E102" s="91">
        <v>1</v>
      </c>
      <c r="F102" s="90">
        <v>9</v>
      </c>
    </row>
    <row r="103" spans="1:6" ht="12.75">
      <c r="A103" s="201" t="s">
        <v>345</v>
      </c>
      <c r="B103" s="190"/>
      <c r="C103" s="190"/>
      <c r="D103" s="190"/>
      <c r="E103" s="91"/>
      <c r="F103" s="190"/>
    </row>
    <row r="104" spans="1:6" ht="12.75">
      <c r="A104" s="202" t="s">
        <v>317</v>
      </c>
      <c r="B104" s="190">
        <v>840</v>
      </c>
      <c r="C104" s="90">
        <v>840</v>
      </c>
      <c r="D104" s="190">
        <v>755</v>
      </c>
      <c r="E104" s="91">
        <v>0.899</v>
      </c>
      <c r="F104" s="190">
        <v>61</v>
      </c>
    </row>
    <row r="105" spans="1:6" ht="12.75">
      <c r="A105" s="202" t="s">
        <v>346</v>
      </c>
      <c r="B105" s="90">
        <v>840</v>
      </c>
      <c r="C105" s="90">
        <v>0</v>
      </c>
      <c r="D105" s="90">
        <v>751</v>
      </c>
      <c r="E105" s="91">
        <v>0.894</v>
      </c>
      <c r="F105" s="90">
        <v>61</v>
      </c>
    </row>
    <row r="106" spans="1:6" ht="12.75">
      <c r="A106" s="202" t="s">
        <v>324</v>
      </c>
      <c r="B106" s="90">
        <v>0</v>
      </c>
      <c r="C106" s="90">
        <v>0</v>
      </c>
      <c r="D106" s="90">
        <v>4</v>
      </c>
      <c r="E106" s="91" t="s">
        <v>113</v>
      </c>
      <c r="F106" s="90">
        <v>0</v>
      </c>
    </row>
    <row r="107" spans="1:6" ht="12.75">
      <c r="A107" s="202" t="s">
        <v>318</v>
      </c>
      <c r="B107" s="190">
        <v>840</v>
      </c>
      <c r="C107" s="190">
        <v>840</v>
      </c>
      <c r="D107" s="190">
        <v>791</v>
      </c>
      <c r="E107" s="91">
        <v>0.942</v>
      </c>
      <c r="F107" s="190">
        <v>144</v>
      </c>
    </row>
    <row r="108" spans="1:6" ht="12.75">
      <c r="A108" s="202" t="s">
        <v>319</v>
      </c>
      <c r="B108" s="90">
        <v>488</v>
      </c>
      <c r="C108" s="90">
        <v>488</v>
      </c>
      <c r="D108" s="90">
        <v>439</v>
      </c>
      <c r="E108" s="91">
        <v>0.9</v>
      </c>
      <c r="F108" s="90">
        <v>44</v>
      </c>
    </row>
    <row r="109" spans="1:6" ht="12.75">
      <c r="A109" s="202" t="s">
        <v>311</v>
      </c>
      <c r="B109" s="90">
        <v>352</v>
      </c>
      <c r="C109" s="90">
        <v>352</v>
      </c>
      <c r="D109" s="90">
        <v>352</v>
      </c>
      <c r="E109" s="91">
        <v>1</v>
      </c>
      <c r="F109" s="90">
        <v>100</v>
      </c>
    </row>
    <row r="110" spans="1:6" ht="12.75">
      <c r="A110" s="201" t="s">
        <v>347</v>
      </c>
      <c r="B110" s="190"/>
      <c r="C110" s="190"/>
      <c r="D110" s="190"/>
      <c r="E110" s="91"/>
      <c r="F110" s="190"/>
    </row>
    <row r="111" spans="1:6" ht="12.75">
      <c r="A111" s="202" t="s">
        <v>317</v>
      </c>
      <c r="B111" s="90">
        <v>1882</v>
      </c>
      <c r="C111" s="90">
        <v>1882</v>
      </c>
      <c r="D111" s="90">
        <v>1954</v>
      </c>
      <c r="E111" s="91">
        <v>1.038</v>
      </c>
      <c r="F111" s="90">
        <v>36</v>
      </c>
    </row>
    <row r="112" spans="1:6" ht="12.75">
      <c r="A112" s="202" t="s">
        <v>318</v>
      </c>
      <c r="B112" s="190">
        <v>3611</v>
      </c>
      <c r="C112" s="190">
        <v>3611</v>
      </c>
      <c r="D112" s="190">
        <v>3587</v>
      </c>
      <c r="E112" s="91">
        <v>0.993</v>
      </c>
      <c r="F112" s="190">
        <v>22</v>
      </c>
    </row>
    <row r="113" spans="1:6" ht="12.75">
      <c r="A113" s="202" t="s">
        <v>311</v>
      </c>
      <c r="B113" s="90">
        <v>3611</v>
      </c>
      <c r="C113" s="90">
        <v>3611</v>
      </c>
      <c r="D113" s="90">
        <v>3587</v>
      </c>
      <c r="E113" s="91">
        <v>0.993</v>
      </c>
      <c r="F113" s="90">
        <v>22</v>
      </c>
    </row>
    <row r="114" spans="1:6" ht="12.75">
      <c r="A114" s="29" t="s">
        <v>235</v>
      </c>
      <c r="B114" s="190"/>
      <c r="C114" s="190"/>
      <c r="D114" s="190"/>
      <c r="E114" s="91"/>
      <c r="F114" s="190"/>
    </row>
    <row r="115" spans="1:6" ht="12.75">
      <c r="A115" s="201" t="s">
        <v>348</v>
      </c>
      <c r="B115" s="190"/>
      <c r="C115" s="190"/>
      <c r="D115" s="190"/>
      <c r="E115" s="91"/>
      <c r="F115" s="190"/>
    </row>
    <row r="116" spans="1:6" ht="12.75">
      <c r="A116" s="202" t="s">
        <v>317</v>
      </c>
      <c r="B116" s="190">
        <v>453825</v>
      </c>
      <c r="C116" s="90">
        <v>453825</v>
      </c>
      <c r="D116" s="190">
        <v>460202</v>
      </c>
      <c r="E116" s="91">
        <v>1.014</v>
      </c>
      <c r="F116" s="90">
        <v>48505</v>
      </c>
    </row>
    <row r="117" spans="1:6" ht="12.75">
      <c r="A117" s="202" t="s">
        <v>349</v>
      </c>
      <c r="B117" s="90">
        <v>445682</v>
      </c>
      <c r="C117" s="90">
        <v>0</v>
      </c>
      <c r="D117" s="90">
        <v>452622</v>
      </c>
      <c r="E117" s="91">
        <v>1.016</v>
      </c>
      <c r="F117" s="90">
        <v>47910</v>
      </c>
    </row>
    <row r="118" spans="1:6" ht="12.75">
      <c r="A118" s="202" t="s">
        <v>350</v>
      </c>
      <c r="B118" s="90">
        <v>5817</v>
      </c>
      <c r="C118" s="90">
        <v>0</v>
      </c>
      <c r="D118" s="90">
        <v>5817</v>
      </c>
      <c r="E118" s="91">
        <v>1</v>
      </c>
      <c r="F118" s="90">
        <v>519</v>
      </c>
    </row>
    <row r="119" spans="1:6" ht="12.75">
      <c r="A119" s="202" t="s">
        <v>351</v>
      </c>
      <c r="B119" s="90">
        <v>2326</v>
      </c>
      <c r="C119" s="90">
        <v>0</v>
      </c>
      <c r="D119" s="90">
        <v>1763</v>
      </c>
      <c r="E119" s="91">
        <v>0.758</v>
      </c>
      <c r="F119" s="90">
        <v>76</v>
      </c>
    </row>
    <row r="120" spans="1:6" ht="12.75">
      <c r="A120" s="202" t="s">
        <v>352</v>
      </c>
      <c r="B120" s="22">
        <v>523313</v>
      </c>
      <c r="C120" s="22">
        <v>523313</v>
      </c>
      <c r="D120" s="22">
        <v>517755</v>
      </c>
      <c r="E120" s="91">
        <v>0.989</v>
      </c>
      <c r="F120" s="190">
        <v>46502</v>
      </c>
    </row>
    <row r="121" spans="1:6" ht="12.75">
      <c r="A121" s="202" t="s">
        <v>319</v>
      </c>
      <c r="B121" s="90">
        <v>519657</v>
      </c>
      <c r="C121" s="90">
        <v>519657</v>
      </c>
      <c r="D121" s="90">
        <v>515311</v>
      </c>
      <c r="E121" s="91">
        <v>0.992</v>
      </c>
      <c r="F121" s="90">
        <v>46075</v>
      </c>
    </row>
    <row r="122" spans="1:6" ht="12.75">
      <c r="A122" s="202" t="s">
        <v>311</v>
      </c>
      <c r="B122" s="90">
        <v>3656</v>
      </c>
      <c r="C122" s="90">
        <v>3656</v>
      </c>
      <c r="D122" s="90">
        <v>2444</v>
      </c>
      <c r="E122" s="91">
        <v>0.668</v>
      </c>
      <c r="F122" s="90">
        <v>427</v>
      </c>
    </row>
    <row r="123" spans="1:6" ht="12.75">
      <c r="A123" s="202" t="s">
        <v>314</v>
      </c>
      <c r="B123" s="90">
        <v>-69488</v>
      </c>
      <c r="C123" s="90">
        <v>-69488</v>
      </c>
      <c r="D123" s="90">
        <v>-57553</v>
      </c>
      <c r="E123" s="91">
        <v>0.828</v>
      </c>
      <c r="F123" s="90">
        <v>2002</v>
      </c>
    </row>
    <row r="124" spans="1:6" ht="12.75">
      <c r="A124" s="202" t="s">
        <v>315</v>
      </c>
      <c r="B124" s="90">
        <v>54460</v>
      </c>
      <c r="C124" s="90">
        <v>0</v>
      </c>
      <c r="D124" s="90">
        <v>37323</v>
      </c>
      <c r="E124" s="91">
        <v>0.685</v>
      </c>
      <c r="F124" s="90">
        <v>-4365</v>
      </c>
    </row>
    <row r="125" spans="1:6" ht="12.75">
      <c r="A125" s="201" t="s">
        <v>353</v>
      </c>
      <c r="B125" s="190"/>
      <c r="C125" s="190"/>
      <c r="D125" s="190"/>
      <c r="E125" s="91"/>
      <c r="F125" s="190"/>
    </row>
    <row r="126" spans="1:6" ht="12.75">
      <c r="A126" s="202" t="s">
        <v>317</v>
      </c>
      <c r="B126" s="190">
        <v>359524</v>
      </c>
      <c r="C126" s="97">
        <v>359524</v>
      </c>
      <c r="D126" s="190">
        <v>365323</v>
      </c>
      <c r="E126" s="91">
        <v>1.016</v>
      </c>
      <c r="F126" s="90">
        <v>38712</v>
      </c>
    </row>
    <row r="127" spans="1:6" ht="12.75">
      <c r="A127" s="203" t="s">
        <v>349</v>
      </c>
      <c r="B127" s="97">
        <v>336991</v>
      </c>
      <c r="C127" s="97">
        <v>0</v>
      </c>
      <c r="D127" s="97">
        <v>342230</v>
      </c>
      <c r="E127" s="98">
        <v>1.016</v>
      </c>
      <c r="F127" s="97">
        <v>36246</v>
      </c>
    </row>
    <row r="128" spans="1:6" ht="12.75">
      <c r="A128" s="203" t="s">
        <v>350</v>
      </c>
      <c r="B128" s="97">
        <v>3354</v>
      </c>
      <c r="C128" s="97">
        <v>0</v>
      </c>
      <c r="D128" s="97">
        <v>3354</v>
      </c>
      <c r="E128" s="98">
        <v>1</v>
      </c>
      <c r="F128" s="97">
        <v>341</v>
      </c>
    </row>
    <row r="129" spans="1:6" ht="12.75">
      <c r="A129" s="203" t="s">
        <v>351</v>
      </c>
      <c r="B129" s="97">
        <v>19179</v>
      </c>
      <c r="C129" s="97">
        <v>0</v>
      </c>
      <c r="D129" s="97">
        <v>19739</v>
      </c>
      <c r="E129" s="98">
        <v>1.029</v>
      </c>
      <c r="F129" s="97">
        <v>2125</v>
      </c>
    </row>
    <row r="130" spans="1:6" ht="12.75">
      <c r="A130" s="202" t="s">
        <v>318</v>
      </c>
      <c r="B130" s="190">
        <v>405137</v>
      </c>
      <c r="C130" s="190">
        <v>405137</v>
      </c>
      <c r="D130" s="190">
        <v>403763</v>
      </c>
      <c r="E130" s="91">
        <v>0.997</v>
      </c>
      <c r="F130" s="190">
        <v>36877</v>
      </c>
    </row>
    <row r="131" spans="1:6" ht="12.75">
      <c r="A131" s="203" t="s">
        <v>354</v>
      </c>
      <c r="B131" s="97">
        <v>405137</v>
      </c>
      <c r="C131" s="97">
        <v>405137</v>
      </c>
      <c r="D131" s="97">
        <v>403763</v>
      </c>
      <c r="E131" s="98">
        <v>0.997</v>
      </c>
      <c r="F131" s="97">
        <v>36877</v>
      </c>
    </row>
    <row r="132" spans="1:6" ht="12.75">
      <c r="A132" s="202" t="s">
        <v>314</v>
      </c>
      <c r="B132" s="190">
        <v>-45613</v>
      </c>
      <c r="C132" s="190">
        <v>-45613</v>
      </c>
      <c r="D132" s="190">
        <v>-38440</v>
      </c>
      <c r="E132" s="91">
        <v>0.843</v>
      </c>
      <c r="F132" s="190">
        <v>1835</v>
      </c>
    </row>
    <row r="133" spans="1:6" ht="12.75">
      <c r="A133" s="202" t="s">
        <v>315</v>
      </c>
      <c r="B133" s="90">
        <v>40211</v>
      </c>
      <c r="C133" s="90">
        <v>0</v>
      </c>
      <c r="D133" s="90">
        <v>30885</v>
      </c>
      <c r="E133" s="91">
        <v>0.768</v>
      </c>
      <c r="F133" s="90">
        <v>-1878</v>
      </c>
    </row>
    <row r="134" spans="1:6" ht="12.75">
      <c r="A134" s="201" t="s">
        <v>355</v>
      </c>
      <c r="B134" s="190"/>
      <c r="C134" s="190"/>
      <c r="D134" s="190"/>
      <c r="E134" s="91"/>
      <c r="F134" s="190"/>
    </row>
    <row r="135" spans="1:6" ht="12.75">
      <c r="A135" s="202" t="s">
        <v>317</v>
      </c>
      <c r="B135" s="190">
        <v>32520</v>
      </c>
      <c r="C135" s="97">
        <v>32520</v>
      </c>
      <c r="D135" s="190">
        <v>32864</v>
      </c>
      <c r="E135" s="91">
        <v>1.011</v>
      </c>
      <c r="F135" s="90">
        <v>1872</v>
      </c>
    </row>
    <row r="136" spans="1:6" ht="12.75">
      <c r="A136" s="203" t="s">
        <v>349</v>
      </c>
      <c r="B136" s="97">
        <v>28197</v>
      </c>
      <c r="C136" s="97">
        <v>0</v>
      </c>
      <c r="D136" s="97">
        <v>28631</v>
      </c>
      <c r="E136" s="98">
        <v>1.015</v>
      </c>
      <c r="F136" s="97">
        <v>1621</v>
      </c>
    </row>
    <row r="137" spans="1:6" ht="12.75">
      <c r="A137" s="203" t="s">
        <v>350</v>
      </c>
      <c r="B137" s="97">
        <v>373</v>
      </c>
      <c r="C137" s="97">
        <v>0</v>
      </c>
      <c r="D137" s="97">
        <v>372</v>
      </c>
      <c r="E137" s="98">
        <v>0.997</v>
      </c>
      <c r="F137" s="97">
        <v>0</v>
      </c>
    </row>
    <row r="138" spans="1:6" ht="12.75">
      <c r="A138" s="203" t="s">
        <v>351</v>
      </c>
      <c r="B138" s="97">
        <v>3950</v>
      </c>
      <c r="C138" s="97">
        <v>0</v>
      </c>
      <c r="D138" s="97">
        <v>3861</v>
      </c>
      <c r="E138" s="98">
        <v>0.977</v>
      </c>
      <c r="F138" s="97">
        <v>251</v>
      </c>
    </row>
    <row r="139" spans="1:6" ht="12.75">
      <c r="A139" s="202" t="s">
        <v>318</v>
      </c>
      <c r="B139" s="190">
        <v>43020</v>
      </c>
      <c r="C139" s="190">
        <v>43020</v>
      </c>
      <c r="D139" s="190">
        <v>42949</v>
      </c>
      <c r="E139" s="91">
        <v>0.998</v>
      </c>
      <c r="F139" s="190">
        <v>2495</v>
      </c>
    </row>
    <row r="140" spans="1:6" ht="12.75">
      <c r="A140" s="203" t="s">
        <v>354</v>
      </c>
      <c r="B140" s="97">
        <v>43005</v>
      </c>
      <c r="C140" s="97">
        <v>43005</v>
      </c>
      <c r="D140" s="97">
        <v>42934</v>
      </c>
      <c r="E140" s="98">
        <v>0.998</v>
      </c>
      <c r="F140" s="97">
        <v>2495</v>
      </c>
    </row>
    <row r="141" spans="1:6" ht="12.75">
      <c r="A141" s="203" t="s">
        <v>356</v>
      </c>
      <c r="B141" s="97">
        <v>15</v>
      </c>
      <c r="C141" s="97">
        <v>15</v>
      </c>
      <c r="D141" s="97">
        <v>15</v>
      </c>
      <c r="E141" s="98">
        <v>1</v>
      </c>
      <c r="F141" s="97">
        <v>0</v>
      </c>
    </row>
    <row r="142" spans="1:6" ht="12.75">
      <c r="A142" s="202" t="s">
        <v>314</v>
      </c>
      <c r="B142" s="190">
        <v>-10500</v>
      </c>
      <c r="C142" s="190">
        <v>-10500</v>
      </c>
      <c r="D142" s="190">
        <v>-10085</v>
      </c>
      <c r="E142" s="91">
        <v>0.96</v>
      </c>
      <c r="F142" s="190">
        <v>-623</v>
      </c>
    </row>
    <row r="143" spans="1:6" ht="12.75">
      <c r="A143" s="202" t="s">
        <v>315</v>
      </c>
      <c r="B143" s="90">
        <v>1249</v>
      </c>
      <c r="C143" s="90">
        <v>0</v>
      </c>
      <c r="D143" s="90">
        <v>0</v>
      </c>
      <c r="E143" s="91"/>
      <c r="F143" s="90">
        <v>0</v>
      </c>
    </row>
    <row r="144" spans="1:6" ht="12.75">
      <c r="A144" s="201" t="s">
        <v>357</v>
      </c>
      <c r="B144" s="190"/>
      <c r="C144" s="190"/>
      <c r="D144" s="190"/>
      <c r="E144" s="91" t="s">
        <v>113</v>
      </c>
      <c r="F144" s="190"/>
    </row>
    <row r="145" spans="1:6" ht="12.75">
      <c r="A145" s="202" t="s">
        <v>317</v>
      </c>
      <c r="B145" s="190">
        <v>1073</v>
      </c>
      <c r="C145" s="97">
        <v>1072</v>
      </c>
      <c r="D145" s="190">
        <v>1080</v>
      </c>
      <c r="E145" s="91">
        <v>1.007</v>
      </c>
      <c r="F145" s="190">
        <v>110</v>
      </c>
    </row>
    <row r="146" spans="1:6" ht="12.75">
      <c r="A146" s="203" t="s">
        <v>349</v>
      </c>
      <c r="B146" s="97">
        <v>1025</v>
      </c>
      <c r="C146" s="97">
        <v>0</v>
      </c>
      <c r="D146" s="97">
        <v>1061</v>
      </c>
      <c r="E146" s="98">
        <v>1.035</v>
      </c>
      <c r="F146" s="97">
        <v>110</v>
      </c>
    </row>
    <row r="147" spans="1:6" ht="12.75">
      <c r="A147" s="203"/>
      <c r="B147" s="206"/>
      <c r="C147" s="206"/>
      <c r="D147" s="206"/>
      <c r="E147" s="98" t="s">
        <v>113</v>
      </c>
      <c r="F147" s="206"/>
    </row>
    <row r="148" spans="1:6" ht="12.75">
      <c r="A148" s="203" t="s">
        <v>351</v>
      </c>
      <c r="B148" s="97">
        <v>48</v>
      </c>
      <c r="C148" s="97">
        <v>0</v>
      </c>
      <c r="D148" s="97">
        <v>19</v>
      </c>
      <c r="E148" s="98">
        <v>0.396</v>
      </c>
      <c r="F148" s="90">
        <v>0</v>
      </c>
    </row>
    <row r="149" spans="1:6" ht="12.75">
      <c r="A149" s="202" t="s">
        <v>318</v>
      </c>
      <c r="B149" s="190">
        <v>1184</v>
      </c>
      <c r="C149" s="190">
        <v>1184</v>
      </c>
      <c r="D149" s="190">
        <v>618</v>
      </c>
      <c r="E149" s="91">
        <v>0.522</v>
      </c>
      <c r="F149" s="190">
        <v>72</v>
      </c>
    </row>
    <row r="150" spans="1:6" ht="12.75">
      <c r="A150" s="203" t="s">
        <v>354</v>
      </c>
      <c r="B150" s="97">
        <v>1184</v>
      </c>
      <c r="C150" s="97">
        <v>1184</v>
      </c>
      <c r="D150" s="97">
        <v>618</v>
      </c>
      <c r="E150" s="98">
        <v>0.522</v>
      </c>
      <c r="F150" s="97">
        <v>72</v>
      </c>
    </row>
    <row r="151" spans="1:6" ht="12.75">
      <c r="A151" s="202"/>
      <c r="B151" s="190"/>
      <c r="C151" s="190"/>
      <c r="D151" s="190"/>
      <c r="E151" s="91" t="s">
        <v>113</v>
      </c>
      <c r="F151" s="190"/>
    </row>
    <row r="152" spans="1:6" ht="12.75">
      <c r="A152" s="202" t="s">
        <v>314</v>
      </c>
      <c r="B152" s="190">
        <v>-111</v>
      </c>
      <c r="C152" s="190">
        <v>-112</v>
      </c>
      <c r="D152" s="190">
        <v>462</v>
      </c>
      <c r="E152" s="91">
        <v>-4.162</v>
      </c>
      <c r="F152" s="190">
        <v>38</v>
      </c>
    </row>
    <row r="153" spans="1:6" ht="12.75">
      <c r="A153" s="202" t="s">
        <v>315</v>
      </c>
      <c r="B153" s="90">
        <v>47</v>
      </c>
      <c r="C153" s="90">
        <v>0</v>
      </c>
      <c r="D153" s="90">
        <v>0</v>
      </c>
      <c r="E153" s="91">
        <v>0</v>
      </c>
      <c r="F153" s="90">
        <v>0</v>
      </c>
    </row>
    <row r="154" spans="1:6" ht="12.75">
      <c r="A154" s="204" t="s">
        <v>358</v>
      </c>
      <c r="B154" s="190"/>
      <c r="C154" s="190"/>
      <c r="D154" s="190"/>
      <c r="E154" s="91"/>
      <c r="F154" s="190"/>
    </row>
    <row r="155" spans="1:6" ht="12.75">
      <c r="A155" s="202" t="s">
        <v>317</v>
      </c>
      <c r="B155" s="190">
        <v>81672</v>
      </c>
      <c r="C155" s="90">
        <v>81672</v>
      </c>
      <c r="D155" s="190">
        <v>82916</v>
      </c>
      <c r="E155" s="91">
        <v>1.015</v>
      </c>
      <c r="F155" s="190">
        <v>9389</v>
      </c>
    </row>
    <row r="156" spans="1:6" ht="12.75">
      <c r="A156" s="203" t="s">
        <v>349</v>
      </c>
      <c r="B156" s="97">
        <v>79470</v>
      </c>
      <c r="C156" s="97">
        <v>0</v>
      </c>
      <c r="D156" s="97">
        <v>80700</v>
      </c>
      <c r="E156" s="98">
        <v>1.015</v>
      </c>
      <c r="F156" s="97">
        <v>9933</v>
      </c>
    </row>
    <row r="157" spans="1:6" ht="12.75">
      <c r="A157" s="203"/>
      <c r="B157" s="206"/>
      <c r="C157" s="206"/>
      <c r="D157" s="206"/>
      <c r="E157" s="98" t="s">
        <v>113</v>
      </c>
      <c r="F157" s="206"/>
    </row>
    <row r="158" spans="1:6" ht="12.75">
      <c r="A158" s="203" t="s">
        <v>351</v>
      </c>
      <c r="B158" s="97">
        <v>2202</v>
      </c>
      <c r="C158" s="97">
        <v>0</v>
      </c>
      <c r="D158" s="97">
        <v>2216</v>
      </c>
      <c r="E158" s="98">
        <v>1.006</v>
      </c>
      <c r="F158" s="97">
        <v>-544</v>
      </c>
    </row>
    <row r="159" spans="1:6" ht="12.75">
      <c r="A159" s="202" t="s">
        <v>318</v>
      </c>
      <c r="B159" s="190">
        <v>91407</v>
      </c>
      <c r="C159" s="190">
        <v>91407</v>
      </c>
      <c r="D159" s="190">
        <v>90510</v>
      </c>
      <c r="E159" s="91">
        <v>0.99</v>
      </c>
      <c r="F159" s="190">
        <v>8216</v>
      </c>
    </row>
    <row r="160" spans="1:6" ht="12.75">
      <c r="A160" s="203" t="s">
        <v>354</v>
      </c>
      <c r="B160" s="97">
        <v>91407</v>
      </c>
      <c r="C160" s="97">
        <v>91407</v>
      </c>
      <c r="D160" s="97">
        <v>90510</v>
      </c>
      <c r="E160" s="98">
        <v>0.99</v>
      </c>
      <c r="F160" s="97">
        <v>8216</v>
      </c>
    </row>
    <row r="161" spans="1:6" ht="12.75">
      <c r="A161" s="202" t="s">
        <v>314</v>
      </c>
      <c r="B161" s="190">
        <v>-9735</v>
      </c>
      <c r="C161" s="190">
        <v>-9735</v>
      </c>
      <c r="D161" s="190">
        <v>-7594</v>
      </c>
      <c r="E161" s="91">
        <v>0.78</v>
      </c>
      <c r="F161" s="190">
        <v>1173</v>
      </c>
    </row>
    <row r="162" spans="1:6" ht="12.75">
      <c r="A162" s="202" t="s">
        <v>315</v>
      </c>
      <c r="B162" s="90">
        <v>9511</v>
      </c>
      <c r="C162" s="90">
        <v>0</v>
      </c>
      <c r="D162" s="90">
        <v>6438</v>
      </c>
      <c r="E162" s="91">
        <v>0.677</v>
      </c>
      <c r="F162" s="90">
        <v>-1175</v>
      </c>
    </row>
    <row r="163" spans="1:6" ht="12.75">
      <c r="A163" s="201" t="s">
        <v>359</v>
      </c>
      <c r="B163" s="190"/>
      <c r="C163" s="190"/>
      <c r="D163" s="190"/>
      <c r="E163" s="91"/>
      <c r="F163" s="190"/>
    </row>
    <row r="164" spans="1:6" ht="12.75">
      <c r="A164" s="202" t="s">
        <v>317</v>
      </c>
      <c r="B164" s="190">
        <v>9907</v>
      </c>
      <c r="C164" s="90">
        <v>9907</v>
      </c>
      <c r="D164" s="190">
        <v>9907</v>
      </c>
      <c r="E164" s="91">
        <v>1</v>
      </c>
      <c r="F164" s="90">
        <v>700</v>
      </c>
    </row>
    <row r="165" spans="1:6" ht="12.75">
      <c r="A165" s="203" t="s">
        <v>350</v>
      </c>
      <c r="B165" s="97">
        <v>2090</v>
      </c>
      <c r="C165" s="97">
        <v>0</v>
      </c>
      <c r="D165" s="97">
        <v>2090</v>
      </c>
      <c r="E165" s="98">
        <v>1</v>
      </c>
      <c r="F165" s="97">
        <v>177</v>
      </c>
    </row>
    <row r="166" spans="1:6" ht="12.75">
      <c r="A166" s="203" t="s">
        <v>351</v>
      </c>
      <c r="B166" s="97">
        <v>7817</v>
      </c>
      <c r="C166" s="97">
        <v>0</v>
      </c>
      <c r="D166" s="97">
        <v>7817</v>
      </c>
      <c r="E166" s="98">
        <v>1</v>
      </c>
      <c r="F166" s="97">
        <v>523</v>
      </c>
    </row>
    <row r="167" spans="1:6" ht="12.75">
      <c r="A167" s="202" t="s">
        <v>318</v>
      </c>
      <c r="B167" s="190">
        <v>13434</v>
      </c>
      <c r="C167" s="190">
        <v>13434</v>
      </c>
      <c r="D167" s="190">
        <v>11802</v>
      </c>
      <c r="E167" s="91">
        <v>0.879</v>
      </c>
      <c r="F167" s="190">
        <v>1120</v>
      </c>
    </row>
    <row r="168" spans="1:6" ht="12.75">
      <c r="A168" s="96" t="s">
        <v>354</v>
      </c>
      <c r="B168" s="97">
        <v>9793</v>
      </c>
      <c r="C168" s="97">
        <v>9793</v>
      </c>
      <c r="D168" s="97">
        <v>9573</v>
      </c>
      <c r="E168" s="98">
        <v>0.978</v>
      </c>
      <c r="F168" s="97">
        <v>893</v>
      </c>
    </row>
    <row r="169" spans="1:6" ht="12.75">
      <c r="A169" s="96" t="s">
        <v>356</v>
      </c>
      <c r="B169" s="97">
        <v>3641</v>
      </c>
      <c r="C169" s="97">
        <v>3641</v>
      </c>
      <c r="D169" s="97">
        <v>2229</v>
      </c>
      <c r="E169" s="98">
        <v>0.612</v>
      </c>
      <c r="F169" s="97">
        <v>227</v>
      </c>
    </row>
    <row r="170" spans="1:6" ht="12.75">
      <c r="A170" s="202" t="s">
        <v>314</v>
      </c>
      <c r="B170" s="190">
        <v>-3527</v>
      </c>
      <c r="C170" s="190">
        <v>-3527</v>
      </c>
      <c r="D170" s="190">
        <v>-1895</v>
      </c>
      <c r="E170" s="91">
        <v>0.537</v>
      </c>
      <c r="F170" s="190">
        <v>-420</v>
      </c>
    </row>
    <row r="171" spans="1:6" ht="12.75">
      <c r="A171" s="202" t="s">
        <v>315</v>
      </c>
      <c r="B171" s="90">
        <v>3441</v>
      </c>
      <c r="C171" s="90">
        <v>0</v>
      </c>
      <c r="D171" s="90">
        <v>2029</v>
      </c>
      <c r="E171" s="91">
        <v>0.59</v>
      </c>
      <c r="F171" s="90">
        <v>717</v>
      </c>
    </row>
    <row r="172" spans="1:6" ht="12.75">
      <c r="A172" s="201" t="s">
        <v>360</v>
      </c>
      <c r="B172" s="190"/>
      <c r="C172" s="190"/>
      <c r="D172" s="190"/>
      <c r="E172" s="91"/>
      <c r="F172" s="190"/>
    </row>
    <row r="173" spans="1:6" ht="12.75">
      <c r="A173" s="202" t="s">
        <v>317</v>
      </c>
      <c r="B173" s="190">
        <v>137593</v>
      </c>
      <c r="C173" s="90">
        <v>137593</v>
      </c>
      <c r="D173" s="190">
        <v>132027</v>
      </c>
      <c r="E173" s="91">
        <v>0.96</v>
      </c>
      <c r="F173" s="190">
        <v>11545</v>
      </c>
    </row>
    <row r="174" spans="1:6" ht="12.75">
      <c r="A174" s="202" t="s">
        <v>361</v>
      </c>
      <c r="B174" s="90">
        <v>71126</v>
      </c>
      <c r="C174" s="90">
        <v>0</v>
      </c>
      <c r="D174" s="90">
        <v>68695</v>
      </c>
      <c r="E174" s="91">
        <v>0.966</v>
      </c>
      <c r="F174" s="90">
        <v>7287</v>
      </c>
    </row>
    <row r="175" spans="1:6" ht="12.75">
      <c r="A175" s="202" t="s">
        <v>362</v>
      </c>
      <c r="B175" s="90">
        <v>55986</v>
      </c>
      <c r="C175" s="90">
        <v>0</v>
      </c>
      <c r="D175" s="90">
        <v>55986</v>
      </c>
      <c r="E175" s="91">
        <v>1</v>
      </c>
      <c r="F175" s="90">
        <v>4125</v>
      </c>
    </row>
    <row r="176" spans="1:6" ht="12.75">
      <c r="A176" s="202" t="s">
        <v>267</v>
      </c>
      <c r="B176" s="90">
        <v>10481</v>
      </c>
      <c r="C176" s="90">
        <v>0</v>
      </c>
      <c r="D176" s="90">
        <v>7346</v>
      </c>
      <c r="E176" s="91">
        <v>0.701</v>
      </c>
      <c r="F176" s="90">
        <v>133</v>
      </c>
    </row>
    <row r="177" spans="1:6" ht="12.75">
      <c r="A177" s="202" t="s">
        <v>318</v>
      </c>
      <c r="B177" s="190">
        <v>142291</v>
      </c>
      <c r="C177" s="190">
        <v>142291</v>
      </c>
      <c r="D177" s="190">
        <v>138145</v>
      </c>
      <c r="E177" s="91">
        <v>0.971</v>
      </c>
      <c r="F177" s="190">
        <v>14334</v>
      </c>
    </row>
    <row r="178" spans="1:6" ht="12.75">
      <c r="A178" s="135" t="s">
        <v>319</v>
      </c>
      <c r="B178" s="90">
        <v>135856</v>
      </c>
      <c r="C178" s="90">
        <v>135856</v>
      </c>
      <c r="D178" s="90">
        <v>132235</v>
      </c>
      <c r="E178" s="91">
        <v>0.973</v>
      </c>
      <c r="F178" s="90">
        <v>12491</v>
      </c>
    </row>
    <row r="179" spans="1:6" ht="12.75">
      <c r="A179" s="202" t="s">
        <v>311</v>
      </c>
      <c r="B179" s="90">
        <v>6435</v>
      </c>
      <c r="C179" s="90">
        <v>6435</v>
      </c>
      <c r="D179" s="90">
        <v>5910</v>
      </c>
      <c r="E179" s="91">
        <v>0.918</v>
      </c>
      <c r="F179" s="90">
        <v>1843</v>
      </c>
    </row>
    <row r="180" spans="1:6" ht="12.75">
      <c r="A180" s="202" t="s">
        <v>314</v>
      </c>
      <c r="B180" s="190">
        <v>-4698</v>
      </c>
      <c r="C180" s="190">
        <v>-4698</v>
      </c>
      <c r="D180" s="190">
        <v>-6118</v>
      </c>
      <c r="E180" s="91">
        <v>1.302</v>
      </c>
      <c r="F180" s="190">
        <v>-2789</v>
      </c>
    </row>
    <row r="181" spans="1:6" ht="12.75">
      <c r="A181" s="202" t="s">
        <v>315</v>
      </c>
      <c r="B181" s="90">
        <v>4198</v>
      </c>
      <c r="C181" s="190"/>
      <c r="D181" s="90">
        <v>3852</v>
      </c>
      <c r="E181" s="91"/>
      <c r="F181" s="90">
        <v>1107</v>
      </c>
    </row>
    <row r="182" spans="1:6" ht="12.75">
      <c r="A182" s="102" t="s">
        <v>239</v>
      </c>
      <c r="B182" s="200"/>
      <c r="C182" s="200"/>
      <c r="D182" s="200"/>
      <c r="E182" s="91"/>
      <c r="F182" s="200"/>
    </row>
    <row r="183" spans="1:6" ht="12.75">
      <c r="A183" s="201" t="s">
        <v>363</v>
      </c>
      <c r="B183" s="190"/>
      <c r="C183" s="190"/>
      <c r="D183" s="190"/>
      <c r="E183" s="91"/>
      <c r="F183" s="190"/>
    </row>
    <row r="184" spans="1:6" ht="12.75">
      <c r="A184" s="202" t="s">
        <v>317</v>
      </c>
      <c r="B184" s="190">
        <v>8837</v>
      </c>
      <c r="C184" s="90">
        <v>8837</v>
      </c>
      <c r="D184" s="190">
        <v>7532</v>
      </c>
      <c r="E184" s="91">
        <v>0.852</v>
      </c>
      <c r="F184" s="190">
        <v>1184</v>
      </c>
    </row>
    <row r="185" spans="1:6" ht="12.75">
      <c r="A185" s="202" t="s">
        <v>364</v>
      </c>
      <c r="B185" s="90">
        <v>8245</v>
      </c>
      <c r="C185" s="90">
        <v>0</v>
      </c>
      <c r="D185" s="90">
        <v>7068</v>
      </c>
      <c r="E185" s="91">
        <v>0.857</v>
      </c>
      <c r="F185" s="90">
        <v>1114</v>
      </c>
    </row>
    <row r="186" spans="1:6" ht="12.75">
      <c r="A186" s="202" t="s">
        <v>365</v>
      </c>
      <c r="B186" s="90">
        <v>300</v>
      </c>
      <c r="C186" s="90">
        <v>0</v>
      </c>
      <c r="D186" s="90">
        <v>235</v>
      </c>
      <c r="E186" s="91">
        <v>0.783</v>
      </c>
      <c r="F186" s="90">
        <v>54</v>
      </c>
    </row>
    <row r="187" spans="1:6" ht="12.75">
      <c r="A187" s="202" t="s">
        <v>267</v>
      </c>
      <c r="B187" s="90">
        <v>292</v>
      </c>
      <c r="C187" s="90">
        <v>0</v>
      </c>
      <c r="D187" s="90">
        <v>229</v>
      </c>
      <c r="E187" s="91">
        <v>0.784</v>
      </c>
      <c r="F187" s="90">
        <v>16</v>
      </c>
    </row>
    <row r="188" spans="1:6" ht="12.75">
      <c r="A188" s="202" t="s">
        <v>318</v>
      </c>
      <c r="B188" s="190">
        <v>7808</v>
      </c>
      <c r="C188" s="190">
        <v>7808</v>
      </c>
      <c r="D188" s="190">
        <v>7400</v>
      </c>
      <c r="E188" s="91">
        <v>0.948</v>
      </c>
      <c r="F188" s="190">
        <v>1277</v>
      </c>
    </row>
    <row r="189" spans="1:6" ht="12.75">
      <c r="A189" s="202" t="s">
        <v>319</v>
      </c>
      <c r="B189" s="90">
        <v>5934</v>
      </c>
      <c r="C189" s="90">
        <v>5934</v>
      </c>
      <c r="D189" s="90">
        <v>5934</v>
      </c>
      <c r="E189" s="91">
        <v>1</v>
      </c>
      <c r="F189" s="90">
        <v>676</v>
      </c>
    </row>
    <row r="190" spans="1:6" ht="12.75">
      <c r="A190" s="202" t="s">
        <v>311</v>
      </c>
      <c r="B190" s="90">
        <v>1874</v>
      </c>
      <c r="C190" s="90">
        <v>1874</v>
      </c>
      <c r="D190" s="90">
        <v>1466</v>
      </c>
      <c r="E190" s="91">
        <v>0.782</v>
      </c>
      <c r="F190" s="90">
        <v>601</v>
      </c>
    </row>
    <row r="191" spans="1:6" ht="12.75">
      <c r="A191" s="201" t="s">
        <v>366</v>
      </c>
      <c r="B191" s="190"/>
      <c r="C191" s="190"/>
      <c r="D191" s="190"/>
      <c r="E191" s="91"/>
      <c r="F191" s="190"/>
    </row>
    <row r="192" spans="1:6" ht="12.75">
      <c r="A192" s="202" t="s">
        <v>317</v>
      </c>
      <c r="B192" s="90">
        <v>1450</v>
      </c>
      <c r="C192" s="90">
        <v>1450</v>
      </c>
      <c r="D192" s="90">
        <v>1463</v>
      </c>
      <c r="E192" s="91">
        <v>1.009</v>
      </c>
      <c r="F192" s="90">
        <v>0</v>
      </c>
    </row>
    <row r="193" spans="1:6" ht="12.75">
      <c r="A193" s="202" t="s">
        <v>318</v>
      </c>
      <c r="B193" s="190">
        <v>1450</v>
      </c>
      <c r="C193" s="190">
        <v>1450</v>
      </c>
      <c r="D193" s="190">
        <v>1432</v>
      </c>
      <c r="E193" s="91">
        <v>0.988</v>
      </c>
      <c r="F193" s="190">
        <v>21</v>
      </c>
    </row>
    <row r="194" spans="1:6" ht="12.75">
      <c r="A194" s="202" t="s">
        <v>319</v>
      </c>
      <c r="B194" s="90">
        <v>45</v>
      </c>
      <c r="C194" s="90">
        <v>45</v>
      </c>
      <c r="D194" s="90">
        <v>40</v>
      </c>
      <c r="E194" s="91">
        <v>0.889</v>
      </c>
      <c r="F194" s="90">
        <v>1</v>
      </c>
    </row>
    <row r="195" spans="1:6" ht="12.75">
      <c r="A195" s="202" t="s">
        <v>311</v>
      </c>
      <c r="B195" s="90">
        <v>1405</v>
      </c>
      <c r="C195" s="90">
        <v>1405</v>
      </c>
      <c r="D195" s="90">
        <v>1392</v>
      </c>
      <c r="E195" s="91">
        <v>0.991</v>
      </c>
      <c r="F195" s="90">
        <v>20</v>
      </c>
    </row>
    <row r="196" spans="1:6" ht="12.75">
      <c r="A196" s="29" t="s">
        <v>240</v>
      </c>
      <c r="B196" s="200"/>
      <c r="C196" s="200"/>
      <c r="D196" s="200"/>
      <c r="E196" s="91"/>
      <c r="F196" s="200"/>
    </row>
    <row r="197" spans="1:6" ht="12.75">
      <c r="A197" s="201" t="s">
        <v>367</v>
      </c>
      <c r="B197" s="190"/>
      <c r="C197" s="190"/>
      <c r="D197" s="190"/>
      <c r="E197" s="91"/>
      <c r="F197" s="190"/>
    </row>
    <row r="198" spans="1:6" ht="12.75">
      <c r="A198" s="202" t="s">
        <v>317</v>
      </c>
      <c r="B198" s="190">
        <v>2400</v>
      </c>
      <c r="C198" s="90">
        <v>2400</v>
      </c>
      <c r="D198" s="190">
        <v>2475</v>
      </c>
      <c r="E198" s="91">
        <v>1.031</v>
      </c>
      <c r="F198" s="190">
        <v>432</v>
      </c>
    </row>
    <row r="199" spans="1:6" ht="12.75">
      <c r="A199" s="135" t="s">
        <v>368</v>
      </c>
      <c r="B199" s="90">
        <v>2032</v>
      </c>
      <c r="C199" s="90">
        <v>0</v>
      </c>
      <c r="D199" s="90">
        <v>2107</v>
      </c>
      <c r="E199" s="91">
        <v>1.037</v>
      </c>
      <c r="F199" s="90">
        <v>432</v>
      </c>
    </row>
    <row r="200" spans="1:6" ht="12.75">
      <c r="A200" s="202" t="s">
        <v>362</v>
      </c>
      <c r="B200" s="90">
        <v>368</v>
      </c>
      <c r="C200" s="90">
        <v>0</v>
      </c>
      <c r="D200" s="90">
        <v>368</v>
      </c>
      <c r="E200" s="91">
        <v>1</v>
      </c>
      <c r="F200" s="90">
        <v>0</v>
      </c>
    </row>
    <row r="201" spans="1:6" ht="12.75">
      <c r="A201" s="202" t="s">
        <v>318</v>
      </c>
      <c r="B201" s="190">
        <v>2750</v>
      </c>
      <c r="C201" s="190">
        <v>2750</v>
      </c>
      <c r="D201" s="190">
        <v>2750</v>
      </c>
      <c r="E201" s="91">
        <v>1</v>
      </c>
      <c r="F201" s="190">
        <v>200</v>
      </c>
    </row>
    <row r="202" spans="1:6" ht="12.75">
      <c r="A202" s="202" t="s">
        <v>319</v>
      </c>
      <c r="B202" s="90">
        <v>2750</v>
      </c>
      <c r="C202" s="90">
        <v>2750</v>
      </c>
      <c r="D202" s="90">
        <v>2750</v>
      </c>
      <c r="E202" s="91">
        <v>1</v>
      </c>
      <c r="F202" s="90">
        <v>200</v>
      </c>
    </row>
    <row r="203" spans="1:6" ht="12.75">
      <c r="A203" s="29" t="s">
        <v>249</v>
      </c>
      <c r="B203" s="200"/>
      <c r="C203" s="200"/>
      <c r="D203" s="200"/>
      <c r="E203" s="91"/>
      <c r="F203" s="200"/>
    </row>
    <row r="204" spans="1:6" ht="12.75">
      <c r="A204" s="202" t="s">
        <v>317</v>
      </c>
      <c r="B204" s="190">
        <v>105</v>
      </c>
      <c r="C204" s="90">
        <v>105</v>
      </c>
      <c r="D204" s="90">
        <v>94</v>
      </c>
      <c r="E204" s="91">
        <v>0.895</v>
      </c>
      <c r="F204" s="190">
        <v>3</v>
      </c>
    </row>
    <row r="205" spans="1:6" ht="12.75">
      <c r="A205" s="202" t="s">
        <v>369</v>
      </c>
      <c r="B205" s="90">
        <v>101</v>
      </c>
      <c r="C205" s="90">
        <v>0</v>
      </c>
      <c r="D205" s="90">
        <v>94</v>
      </c>
      <c r="E205" s="91">
        <v>0.931</v>
      </c>
      <c r="F205" s="90">
        <v>19</v>
      </c>
    </row>
    <row r="206" spans="1:6" ht="12.75">
      <c r="A206" s="202" t="s">
        <v>370</v>
      </c>
      <c r="B206" s="90">
        <v>4</v>
      </c>
      <c r="C206" s="90">
        <v>0</v>
      </c>
      <c r="D206" s="90">
        <v>0</v>
      </c>
      <c r="E206" s="91">
        <v>0</v>
      </c>
      <c r="F206" s="90">
        <v>-16</v>
      </c>
    </row>
    <row r="207" spans="1:6" ht="12.75">
      <c r="A207" s="202" t="s">
        <v>318</v>
      </c>
      <c r="B207" s="190">
        <v>105</v>
      </c>
      <c r="C207" s="190">
        <v>105</v>
      </c>
      <c r="D207" s="190">
        <v>105</v>
      </c>
      <c r="E207" s="91">
        <v>1</v>
      </c>
      <c r="F207" s="190">
        <v>5</v>
      </c>
    </row>
    <row r="208" spans="1:6" ht="12.75">
      <c r="A208" s="202" t="s">
        <v>319</v>
      </c>
      <c r="B208" s="90">
        <v>102</v>
      </c>
      <c r="C208" s="90">
        <v>102</v>
      </c>
      <c r="D208" s="90">
        <v>102</v>
      </c>
      <c r="E208" s="91">
        <v>1</v>
      </c>
      <c r="F208" s="90">
        <v>3</v>
      </c>
    </row>
    <row r="209" spans="1:6" ht="12.75">
      <c r="A209" s="202" t="s">
        <v>311</v>
      </c>
      <c r="B209" s="90">
        <v>3</v>
      </c>
      <c r="C209" s="90">
        <v>3</v>
      </c>
      <c r="D209" s="90">
        <v>3</v>
      </c>
      <c r="E209" s="91">
        <v>1</v>
      </c>
      <c r="F209" s="90">
        <v>2</v>
      </c>
    </row>
    <row r="210" spans="1:6" ht="25.5">
      <c r="A210" s="102" t="s">
        <v>371</v>
      </c>
      <c r="B210" s="190"/>
      <c r="C210" s="190"/>
      <c r="D210" s="190"/>
      <c r="E210" s="91"/>
      <c r="F210" s="190"/>
    </row>
    <row r="211" spans="1:6" ht="12.75">
      <c r="A211" s="202" t="s">
        <v>317</v>
      </c>
      <c r="B211" s="190">
        <v>70</v>
      </c>
      <c r="C211" s="90">
        <v>70</v>
      </c>
      <c r="D211" s="190">
        <v>59</v>
      </c>
      <c r="E211" s="91">
        <v>0.843</v>
      </c>
      <c r="F211" s="190">
        <v>0</v>
      </c>
    </row>
    <row r="212" spans="1:6" ht="12.75">
      <c r="A212" s="135" t="s">
        <v>372</v>
      </c>
      <c r="B212" s="90">
        <v>70</v>
      </c>
      <c r="C212" s="90">
        <v>0</v>
      </c>
      <c r="D212" s="90">
        <v>59</v>
      </c>
      <c r="E212" s="91">
        <v>0.843</v>
      </c>
      <c r="F212" s="90">
        <v>0</v>
      </c>
    </row>
    <row r="213" spans="1:6" ht="12.75">
      <c r="A213" s="202" t="s">
        <v>318</v>
      </c>
      <c r="B213" s="190">
        <v>122</v>
      </c>
      <c r="C213" s="190">
        <v>122</v>
      </c>
      <c r="D213" s="190">
        <v>53</v>
      </c>
      <c r="E213" s="91">
        <v>0.434</v>
      </c>
      <c r="F213" s="190">
        <v>15</v>
      </c>
    </row>
    <row r="214" spans="1:6" ht="12.75">
      <c r="A214" s="202" t="s">
        <v>319</v>
      </c>
      <c r="B214" s="90">
        <v>114</v>
      </c>
      <c r="C214" s="90">
        <v>114</v>
      </c>
      <c r="D214" s="90">
        <v>48</v>
      </c>
      <c r="E214" s="91">
        <v>0.421</v>
      </c>
      <c r="F214" s="90">
        <v>15</v>
      </c>
    </row>
    <row r="215" spans="1:6" ht="12.75">
      <c r="A215" s="202" t="s">
        <v>311</v>
      </c>
      <c r="B215" s="90">
        <v>8</v>
      </c>
      <c r="C215" s="90">
        <v>8</v>
      </c>
      <c r="D215" s="90">
        <v>5</v>
      </c>
      <c r="E215" s="91">
        <v>0.625</v>
      </c>
      <c r="F215" s="90">
        <v>0</v>
      </c>
    </row>
    <row r="216" spans="1:6" ht="12.75">
      <c r="A216" s="202" t="s">
        <v>314</v>
      </c>
      <c r="B216" s="190">
        <v>-52</v>
      </c>
      <c r="C216" s="190">
        <v>-52</v>
      </c>
      <c r="D216" s="190">
        <v>6</v>
      </c>
      <c r="E216" s="91">
        <v>-0.115</v>
      </c>
      <c r="F216" s="190">
        <v>-15</v>
      </c>
    </row>
    <row r="217" spans="1:6" ht="12.75">
      <c r="A217" s="202" t="s">
        <v>315</v>
      </c>
      <c r="B217" s="190">
        <v>52</v>
      </c>
      <c r="C217" s="190"/>
      <c r="D217" s="190"/>
      <c r="E217" s="91"/>
      <c r="F217" s="190"/>
    </row>
    <row r="218" spans="1:6" ht="14.25">
      <c r="A218" s="207"/>
      <c r="B218" s="208"/>
      <c r="C218" s="208"/>
      <c r="D218" s="208"/>
      <c r="E218" s="208"/>
      <c r="F218" s="111"/>
    </row>
    <row r="219" spans="1:6" ht="12.75">
      <c r="A219" s="209" t="s">
        <v>373</v>
      </c>
      <c r="C219" s="208"/>
      <c r="D219" s="208"/>
      <c r="E219" s="208"/>
      <c r="F219" s="197"/>
    </row>
    <row r="220" spans="1:6" ht="12.75">
      <c r="A220" s="209" t="s">
        <v>374</v>
      </c>
      <c r="B220" s="209"/>
      <c r="C220" s="208"/>
      <c r="D220" s="208"/>
      <c r="E220" s="208"/>
      <c r="F220" s="197"/>
    </row>
    <row r="221" spans="1:6" ht="12.75">
      <c r="A221" s="208" t="s">
        <v>375</v>
      </c>
      <c r="B221" s="115"/>
      <c r="C221" s="115"/>
      <c r="D221" s="115"/>
      <c r="E221" s="114"/>
      <c r="F221" s="197"/>
    </row>
    <row r="222" spans="1:6" ht="12.75">
      <c r="A222" s="210"/>
      <c r="B222" s="210"/>
      <c r="C222" s="210"/>
      <c r="D222" s="210"/>
      <c r="E222" s="30"/>
      <c r="F222" s="197"/>
    </row>
    <row r="223" spans="1:6" ht="12.75">
      <c r="A223" s="210"/>
      <c r="B223" s="210"/>
      <c r="C223" s="210"/>
      <c r="D223" s="210"/>
      <c r="E223" s="30"/>
      <c r="F223" s="197"/>
    </row>
    <row r="224" spans="1:6" ht="12.75">
      <c r="A224" s="210"/>
      <c r="B224" s="210"/>
      <c r="C224" s="210"/>
      <c r="D224" s="210"/>
      <c r="E224" s="30"/>
      <c r="F224" s="197"/>
    </row>
    <row r="225" spans="1:6" ht="12.75">
      <c r="A225" s="210"/>
      <c r="B225" s="210"/>
      <c r="C225" s="210"/>
      <c r="D225" s="210"/>
      <c r="E225" s="30"/>
      <c r="F225" s="197"/>
    </row>
    <row r="226" spans="1:6" ht="12.75">
      <c r="A226" s="113"/>
      <c r="D226" s="210"/>
      <c r="E226" s="30"/>
      <c r="F226" s="197"/>
    </row>
    <row r="227" spans="1:6" ht="12.75">
      <c r="A227" s="210"/>
      <c r="B227" s="210"/>
      <c r="C227" s="210"/>
      <c r="D227" s="210"/>
      <c r="E227" s="30"/>
      <c r="F227" s="197"/>
    </row>
    <row r="228" spans="1:6" ht="12.75">
      <c r="A228" s="210"/>
      <c r="B228" s="210"/>
      <c r="C228" s="210"/>
      <c r="D228" s="210"/>
      <c r="E228" s="30"/>
      <c r="F228" s="197"/>
    </row>
    <row r="229" ht="12.75">
      <c r="E229" s="211"/>
    </row>
    <row r="230" ht="12.75">
      <c r="E230" s="211"/>
    </row>
    <row r="231" ht="12.75">
      <c r="A231" s="113"/>
    </row>
    <row r="232" ht="12.75">
      <c r="A232" s="210"/>
    </row>
    <row r="233" ht="12.75">
      <c r="A233" s="113" t="s">
        <v>376</v>
      </c>
    </row>
    <row r="241" ht="12.75">
      <c r="A241" s="113"/>
    </row>
    <row r="246" ht="12.75">
      <c r="A246" s="210"/>
    </row>
    <row r="247" ht="12.75">
      <c r="A247" s="210"/>
    </row>
    <row r="254" ht="12.75">
      <c r="A254" s="210" t="s">
        <v>173</v>
      </c>
    </row>
    <row r="255" ht="12.75">
      <c r="A255" s="210" t="s">
        <v>44</v>
      </c>
    </row>
  </sheetData>
  <mergeCells count="3">
    <mergeCell ref="A2:F2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C8" sqref="C8"/>
    </sheetView>
  </sheetViews>
  <sheetFormatPr defaultColWidth="9.140625" defaultRowHeight="12.75"/>
  <cols>
    <col min="1" max="1" width="32.8515625" style="49" customWidth="1"/>
    <col min="2" max="2" width="11.28125" style="49" customWidth="1"/>
    <col min="3" max="3" width="11.140625" style="49" customWidth="1"/>
    <col min="4" max="4" width="10.421875" style="49" customWidth="1"/>
    <col min="5" max="5" width="10.00390625" style="49" customWidth="1"/>
    <col min="6" max="7" width="10.421875" style="49" customWidth="1"/>
  </cols>
  <sheetData>
    <row r="1" spans="1:7" ht="12.75">
      <c r="A1" s="35" t="s">
        <v>377</v>
      </c>
      <c r="B1" s="35"/>
      <c r="C1" s="114"/>
      <c r="D1" s="114"/>
      <c r="E1" s="35"/>
      <c r="F1" s="35"/>
      <c r="G1" s="212" t="s">
        <v>378</v>
      </c>
    </row>
    <row r="2" spans="1:4" ht="12.75">
      <c r="A2" s="42"/>
      <c r="B2" s="42"/>
      <c r="C2" s="42"/>
      <c r="D2" s="42"/>
    </row>
    <row r="3" spans="1:4" ht="12.75">
      <c r="A3" s="42"/>
      <c r="B3" s="42"/>
      <c r="C3" s="42"/>
      <c r="D3" s="42"/>
    </row>
    <row r="4" spans="1:7" ht="15.75">
      <c r="A4" s="270" t="s">
        <v>379</v>
      </c>
      <c r="B4" s="270"/>
      <c r="C4" s="270"/>
      <c r="D4" s="270"/>
      <c r="E4" s="270"/>
      <c r="F4" s="270"/>
      <c r="G4" s="270"/>
    </row>
    <row r="5" spans="1:7" ht="15.75">
      <c r="A5" s="270" t="s">
        <v>260</v>
      </c>
      <c r="B5" s="270"/>
      <c r="C5" s="270"/>
      <c r="D5" s="270"/>
      <c r="E5" s="270"/>
      <c r="F5" s="270"/>
      <c r="G5" s="270"/>
    </row>
    <row r="6" spans="1:7" ht="15.75">
      <c r="A6" s="270" t="s">
        <v>217</v>
      </c>
      <c r="B6" s="270"/>
      <c r="C6" s="270"/>
      <c r="D6" s="270"/>
      <c r="E6" s="270"/>
      <c r="F6" s="270"/>
      <c r="G6" s="270"/>
    </row>
    <row r="7" spans="1:7" ht="12.75">
      <c r="A7" s="42"/>
      <c r="B7" s="42"/>
      <c r="C7" s="42"/>
      <c r="D7" s="42"/>
      <c r="G7" s="213" t="s">
        <v>178</v>
      </c>
    </row>
    <row r="8" spans="1:7" ht="67.5">
      <c r="A8" s="4" t="s">
        <v>2</v>
      </c>
      <c r="B8" s="4" t="s">
        <v>99</v>
      </c>
      <c r="C8" s="4" t="s">
        <v>261</v>
      </c>
      <c r="D8" s="4" t="s">
        <v>100</v>
      </c>
      <c r="E8" s="4" t="s">
        <v>262</v>
      </c>
      <c r="F8" s="4" t="s">
        <v>380</v>
      </c>
      <c r="G8" s="214" t="s">
        <v>181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2.75">
      <c r="A10" s="191" t="s">
        <v>381</v>
      </c>
      <c r="B10" s="215">
        <v>732871</v>
      </c>
      <c r="C10" s="215">
        <v>732871</v>
      </c>
      <c r="D10" s="215">
        <v>703898</v>
      </c>
      <c r="E10" s="216">
        <v>0.96</v>
      </c>
      <c r="F10" s="216">
        <v>0.96</v>
      </c>
      <c r="G10" s="215">
        <v>73983</v>
      </c>
    </row>
    <row r="11" spans="1:7" ht="12.75">
      <c r="A11" s="135" t="s">
        <v>382</v>
      </c>
      <c r="B11" s="176">
        <v>698124</v>
      </c>
      <c r="C11" s="176">
        <v>698124</v>
      </c>
      <c r="D11" s="176">
        <v>680695</v>
      </c>
      <c r="E11" s="91">
        <v>0.975</v>
      </c>
      <c r="F11" s="91">
        <v>0.975</v>
      </c>
      <c r="G11" s="176">
        <v>62396</v>
      </c>
    </row>
    <row r="12" spans="1:7" ht="12.75">
      <c r="A12" s="135" t="s">
        <v>383</v>
      </c>
      <c r="B12" s="176">
        <v>34747</v>
      </c>
      <c r="C12" s="176">
        <v>34747</v>
      </c>
      <c r="D12" s="176">
        <v>23203</v>
      </c>
      <c r="E12" s="91">
        <v>0.668</v>
      </c>
      <c r="F12" s="91">
        <v>0.668</v>
      </c>
      <c r="G12" s="176">
        <v>11587</v>
      </c>
    </row>
    <row r="13" spans="1:7" ht="12.75">
      <c r="A13" s="191" t="s">
        <v>268</v>
      </c>
      <c r="B13" s="200">
        <v>824567</v>
      </c>
      <c r="C13" s="200">
        <v>824567</v>
      </c>
      <c r="D13" s="200">
        <v>790300</v>
      </c>
      <c r="E13" s="216">
        <v>0.958</v>
      </c>
      <c r="F13" s="216">
        <v>0.958</v>
      </c>
      <c r="G13" s="200">
        <v>76640</v>
      </c>
    </row>
    <row r="14" spans="1:7" ht="12.75">
      <c r="A14" s="124" t="s">
        <v>384</v>
      </c>
      <c r="B14" s="217">
        <v>775773</v>
      </c>
      <c r="C14" s="217">
        <v>775773</v>
      </c>
      <c r="D14" s="217">
        <v>743737</v>
      </c>
      <c r="E14" s="216">
        <v>0.959</v>
      </c>
      <c r="F14" s="216">
        <v>0.959</v>
      </c>
      <c r="G14" s="217">
        <v>73403</v>
      </c>
    </row>
    <row r="15" spans="1:7" ht="12.75">
      <c r="A15" s="128" t="s">
        <v>270</v>
      </c>
      <c r="B15" s="178">
        <v>84729</v>
      </c>
      <c r="C15" s="178">
        <v>84729</v>
      </c>
      <c r="D15" s="218">
        <v>65040</v>
      </c>
      <c r="E15" s="88">
        <v>0.768</v>
      </c>
      <c r="F15" s="88">
        <v>0.768</v>
      </c>
      <c r="G15" s="87">
        <v>9992</v>
      </c>
    </row>
    <row r="16" spans="1:7" ht="12.75">
      <c r="A16" s="202" t="s">
        <v>271</v>
      </c>
      <c r="B16" s="189">
        <v>13936</v>
      </c>
      <c r="C16" s="189">
        <v>13936</v>
      </c>
      <c r="D16" s="176">
        <v>12998</v>
      </c>
      <c r="E16" s="91">
        <v>0.933</v>
      </c>
      <c r="F16" s="91">
        <v>0.933</v>
      </c>
      <c r="G16" s="176">
        <v>1687</v>
      </c>
    </row>
    <row r="17" spans="1:7" ht="22.5">
      <c r="A17" s="135" t="s">
        <v>272</v>
      </c>
      <c r="B17" s="107" t="s">
        <v>9</v>
      </c>
      <c r="C17" s="107" t="s">
        <v>9</v>
      </c>
      <c r="D17" s="176">
        <v>3507</v>
      </c>
      <c r="E17" s="180" t="s">
        <v>9</v>
      </c>
      <c r="F17" s="20" t="s">
        <v>9</v>
      </c>
      <c r="G17" s="176">
        <v>498</v>
      </c>
    </row>
    <row r="18" spans="1:7" ht="12.75">
      <c r="A18" s="135" t="s">
        <v>273</v>
      </c>
      <c r="B18" s="107" t="s">
        <v>9</v>
      </c>
      <c r="C18" s="107" t="s">
        <v>9</v>
      </c>
      <c r="D18" s="176">
        <v>46935</v>
      </c>
      <c r="E18" s="180" t="s">
        <v>9</v>
      </c>
      <c r="F18" s="20" t="s">
        <v>9</v>
      </c>
      <c r="G18" s="176">
        <v>7807</v>
      </c>
    </row>
    <row r="19" spans="1:7" ht="12.75">
      <c r="A19" s="136" t="s">
        <v>385</v>
      </c>
      <c r="B19" s="182" t="s">
        <v>9</v>
      </c>
      <c r="C19" s="182" t="s">
        <v>9</v>
      </c>
      <c r="D19" s="183">
        <v>46375</v>
      </c>
      <c r="E19" s="184" t="s">
        <v>9</v>
      </c>
      <c r="F19" s="10" t="s">
        <v>9</v>
      </c>
      <c r="G19" s="183">
        <v>7888</v>
      </c>
    </row>
    <row r="20" spans="1:7" ht="12.75">
      <c r="A20" s="136" t="s">
        <v>386</v>
      </c>
      <c r="B20" s="183">
        <v>0</v>
      </c>
      <c r="C20" s="182" t="s">
        <v>9</v>
      </c>
      <c r="D20" s="183">
        <v>0</v>
      </c>
      <c r="E20" s="98" t="s">
        <v>113</v>
      </c>
      <c r="F20" s="219" t="s">
        <v>9</v>
      </c>
      <c r="G20" s="183"/>
    </row>
    <row r="21" spans="1:7" ht="12.75">
      <c r="A21" s="136" t="s">
        <v>387</v>
      </c>
      <c r="B21" s="182" t="s">
        <v>9</v>
      </c>
      <c r="C21" s="182" t="s">
        <v>9</v>
      </c>
      <c r="D21" s="183">
        <v>560</v>
      </c>
      <c r="E21" s="184" t="s">
        <v>9</v>
      </c>
      <c r="F21" s="10" t="s">
        <v>9</v>
      </c>
      <c r="G21" s="183">
        <v>-81</v>
      </c>
    </row>
    <row r="22" spans="1:7" ht="12.75">
      <c r="A22" s="135" t="s">
        <v>388</v>
      </c>
      <c r="B22" s="107" t="s">
        <v>9</v>
      </c>
      <c r="C22" s="107" t="s">
        <v>9</v>
      </c>
      <c r="D22" s="176">
        <v>1600</v>
      </c>
      <c r="E22" s="180" t="s">
        <v>9</v>
      </c>
      <c r="F22" s="20" t="s">
        <v>9</v>
      </c>
      <c r="G22" s="176">
        <v>0</v>
      </c>
    </row>
    <row r="23" spans="1:7" ht="22.5">
      <c r="A23" s="134" t="s">
        <v>277</v>
      </c>
      <c r="B23" s="178">
        <v>2968</v>
      </c>
      <c r="C23" s="178">
        <v>2968</v>
      </c>
      <c r="D23" s="218">
        <v>2796</v>
      </c>
      <c r="E23" s="88">
        <v>0.942</v>
      </c>
      <c r="F23" s="88">
        <v>0.942</v>
      </c>
      <c r="G23" s="218">
        <v>996</v>
      </c>
    </row>
    <row r="24" spans="1:7" ht="22.5">
      <c r="A24" s="135" t="s">
        <v>389</v>
      </c>
      <c r="B24" s="107" t="s">
        <v>9</v>
      </c>
      <c r="C24" s="107" t="s">
        <v>9</v>
      </c>
      <c r="D24" s="176">
        <v>1423</v>
      </c>
      <c r="E24" s="180" t="s">
        <v>9</v>
      </c>
      <c r="F24" s="20" t="s">
        <v>9</v>
      </c>
      <c r="G24" s="176">
        <v>934</v>
      </c>
    </row>
    <row r="25" spans="1:7" ht="22.5">
      <c r="A25" s="135" t="s">
        <v>390</v>
      </c>
      <c r="B25" s="107" t="s">
        <v>9</v>
      </c>
      <c r="C25" s="107" t="s">
        <v>9</v>
      </c>
      <c r="D25" s="176">
        <v>1373</v>
      </c>
      <c r="E25" s="180" t="s">
        <v>9</v>
      </c>
      <c r="F25" s="20" t="s">
        <v>9</v>
      </c>
      <c r="G25" s="176">
        <v>62</v>
      </c>
    </row>
    <row r="26" spans="1:7" ht="12.75">
      <c r="A26" s="220" t="s">
        <v>281</v>
      </c>
      <c r="B26" s="178">
        <v>688078</v>
      </c>
      <c r="C26" s="178">
        <v>688077</v>
      </c>
      <c r="D26" s="218">
        <v>675901</v>
      </c>
      <c r="E26" s="88">
        <v>0.982</v>
      </c>
      <c r="F26" s="88">
        <v>0.982</v>
      </c>
      <c r="G26" s="218">
        <v>62415</v>
      </c>
    </row>
    <row r="27" spans="1:7" ht="12.75">
      <c r="A27" s="202" t="s">
        <v>282</v>
      </c>
      <c r="B27" s="107" t="s">
        <v>9</v>
      </c>
      <c r="C27" s="107" t="s">
        <v>9</v>
      </c>
      <c r="D27" s="176">
        <v>1950</v>
      </c>
      <c r="E27" s="180" t="s">
        <v>9</v>
      </c>
      <c r="F27" s="20" t="s">
        <v>9</v>
      </c>
      <c r="G27" s="176">
        <v>-171</v>
      </c>
    </row>
    <row r="28" spans="1:7" ht="12.75">
      <c r="A28" s="202" t="s">
        <v>283</v>
      </c>
      <c r="B28" s="107" t="s">
        <v>9</v>
      </c>
      <c r="C28" s="107" t="s">
        <v>9</v>
      </c>
      <c r="D28" s="176">
        <v>20015</v>
      </c>
      <c r="E28" s="180" t="s">
        <v>9</v>
      </c>
      <c r="F28" s="20" t="s">
        <v>9</v>
      </c>
      <c r="G28" s="176">
        <v>1533</v>
      </c>
    </row>
    <row r="29" spans="1:7" ht="12.75">
      <c r="A29" s="135" t="s">
        <v>284</v>
      </c>
      <c r="B29" s="107" t="s">
        <v>9</v>
      </c>
      <c r="C29" s="107" t="s">
        <v>9</v>
      </c>
      <c r="D29" s="176">
        <v>0</v>
      </c>
      <c r="E29" s="180" t="s">
        <v>9</v>
      </c>
      <c r="F29" s="20" t="s">
        <v>9</v>
      </c>
      <c r="G29" s="176">
        <v>0</v>
      </c>
    </row>
    <row r="30" spans="1:7" ht="12.75">
      <c r="A30" s="135" t="s">
        <v>285</v>
      </c>
      <c r="B30" s="107" t="s">
        <v>9</v>
      </c>
      <c r="C30" s="107" t="s">
        <v>9</v>
      </c>
      <c r="D30" s="190">
        <v>154018</v>
      </c>
      <c r="E30" s="180" t="s">
        <v>9</v>
      </c>
      <c r="F30" s="20" t="s">
        <v>9</v>
      </c>
      <c r="G30" s="190">
        <v>16677</v>
      </c>
    </row>
    <row r="31" spans="1:7" ht="12.75">
      <c r="A31" s="136" t="s">
        <v>386</v>
      </c>
      <c r="B31" s="183">
        <v>12140</v>
      </c>
      <c r="C31" s="182" t="s">
        <v>9</v>
      </c>
      <c r="D31" s="183">
        <v>11960</v>
      </c>
      <c r="E31" s="98">
        <v>0.985</v>
      </c>
      <c r="F31" s="10" t="s">
        <v>9</v>
      </c>
      <c r="G31" s="183">
        <v>1100</v>
      </c>
    </row>
    <row r="32" spans="1:7" ht="22.5">
      <c r="A32" s="136" t="s">
        <v>391</v>
      </c>
      <c r="B32" s="183">
        <v>7138</v>
      </c>
      <c r="C32" s="182" t="s">
        <v>9</v>
      </c>
      <c r="D32" s="183">
        <v>2163</v>
      </c>
      <c r="E32" s="98">
        <v>0.303</v>
      </c>
      <c r="F32" s="10" t="s">
        <v>9</v>
      </c>
      <c r="G32" s="183">
        <v>1312</v>
      </c>
    </row>
    <row r="33" spans="1:7" ht="12.75">
      <c r="A33" s="136" t="s">
        <v>392</v>
      </c>
      <c r="B33" s="182" t="s">
        <v>9</v>
      </c>
      <c r="C33" s="182" t="s">
        <v>9</v>
      </c>
      <c r="D33" s="183">
        <v>139895</v>
      </c>
      <c r="E33" s="184" t="s">
        <v>9</v>
      </c>
      <c r="F33" s="10" t="s">
        <v>9</v>
      </c>
      <c r="G33" s="183">
        <v>14265</v>
      </c>
    </row>
    <row r="34" spans="1:7" ht="12.75">
      <c r="A34" s="135" t="s">
        <v>288</v>
      </c>
      <c r="B34" s="107" t="s">
        <v>9</v>
      </c>
      <c r="C34" s="107" t="s">
        <v>9</v>
      </c>
      <c r="D34" s="190">
        <v>499834</v>
      </c>
      <c r="E34" s="180" t="s">
        <v>9</v>
      </c>
      <c r="F34" s="20" t="s">
        <v>9</v>
      </c>
      <c r="G34" s="190">
        <v>44376</v>
      </c>
    </row>
    <row r="35" spans="1:7" ht="12.75">
      <c r="A35" s="136" t="s">
        <v>393</v>
      </c>
      <c r="B35" s="182" t="s">
        <v>9</v>
      </c>
      <c r="C35" s="182" t="s">
        <v>9</v>
      </c>
      <c r="D35" s="176">
        <v>454897</v>
      </c>
      <c r="E35" s="184" t="s">
        <v>9</v>
      </c>
      <c r="F35" s="10" t="s">
        <v>9</v>
      </c>
      <c r="G35" s="183">
        <v>41072</v>
      </c>
    </row>
    <row r="36" spans="1:7" ht="12.75">
      <c r="A36" s="136" t="s">
        <v>394</v>
      </c>
      <c r="B36" s="182" t="s">
        <v>9</v>
      </c>
      <c r="C36" s="182" t="s">
        <v>9</v>
      </c>
      <c r="D36" s="176">
        <v>43941</v>
      </c>
      <c r="E36" s="184" t="s">
        <v>9</v>
      </c>
      <c r="F36" s="10" t="s">
        <v>9</v>
      </c>
      <c r="G36" s="183">
        <v>3595</v>
      </c>
    </row>
    <row r="37" spans="1:7" ht="12.75">
      <c r="A37" s="136" t="s">
        <v>395</v>
      </c>
      <c r="B37" s="182" t="s">
        <v>9</v>
      </c>
      <c r="C37" s="182" t="s">
        <v>9</v>
      </c>
      <c r="D37" s="176">
        <v>843</v>
      </c>
      <c r="E37" s="184" t="s">
        <v>9</v>
      </c>
      <c r="F37" s="10" t="s">
        <v>9</v>
      </c>
      <c r="G37" s="183">
        <v>-160</v>
      </c>
    </row>
    <row r="38" spans="1:7" ht="12.75">
      <c r="A38" s="136" t="s">
        <v>396</v>
      </c>
      <c r="B38" s="182" t="s">
        <v>9</v>
      </c>
      <c r="C38" s="182" t="s">
        <v>9</v>
      </c>
      <c r="D38" s="183">
        <v>153</v>
      </c>
      <c r="E38" s="184" t="s">
        <v>9</v>
      </c>
      <c r="F38" s="10" t="s">
        <v>9</v>
      </c>
      <c r="G38" s="183">
        <v>-131</v>
      </c>
    </row>
    <row r="39" spans="1:7" ht="12.75">
      <c r="A39" s="135" t="s">
        <v>397</v>
      </c>
      <c r="B39" s="176">
        <v>84</v>
      </c>
      <c r="C39" s="176">
        <v>84</v>
      </c>
      <c r="D39" s="176">
        <v>84</v>
      </c>
      <c r="E39" s="91">
        <v>1</v>
      </c>
      <c r="F39" s="91">
        <v>1</v>
      </c>
      <c r="G39" s="176">
        <v>0</v>
      </c>
    </row>
    <row r="40" spans="1:7" ht="12.75">
      <c r="A40" s="139" t="s">
        <v>294</v>
      </c>
      <c r="B40" s="104">
        <v>48794</v>
      </c>
      <c r="C40" s="104">
        <v>48794</v>
      </c>
      <c r="D40" s="104">
        <v>46563</v>
      </c>
      <c r="E40" s="85">
        <v>0.954</v>
      </c>
      <c r="F40" s="85">
        <v>0.954</v>
      </c>
      <c r="G40" s="104">
        <v>3237</v>
      </c>
    </row>
    <row r="41" spans="1:7" ht="12.75">
      <c r="A41" s="135" t="s">
        <v>295</v>
      </c>
      <c r="B41" s="189">
        <v>16280</v>
      </c>
      <c r="C41" s="189">
        <v>16280</v>
      </c>
      <c r="D41" s="176">
        <v>16905</v>
      </c>
      <c r="E41" s="91">
        <v>1.038</v>
      </c>
      <c r="F41" s="91">
        <v>1.038</v>
      </c>
      <c r="G41" s="176">
        <v>-490</v>
      </c>
    </row>
    <row r="42" spans="1:7" ht="12.75">
      <c r="A42" s="135" t="s">
        <v>296</v>
      </c>
      <c r="B42" s="189">
        <v>32514</v>
      </c>
      <c r="C42" s="189">
        <v>32514</v>
      </c>
      <c r="D42" s="176">
        <v>29658</v>
      </c>
      <c r="E42" s="91">
        <v>0.912</v>
      </c>
      <c r="F42" s="91">
        <v>0.912</v>
      </c>
      <c r="G42" s="176">
        <v>3727</v>
      </c>
    </row>
    <row r="43" spans="1:7" ht="67.5">
      <c r="A43" s="4" t="s">
        <v>2</v>
      </c>
      <c r="B43" s="83" t="s">
        <v>99</v>
      </c>
      <c r="C43" s="4" t="s">
        <v>261</v>
      </c>
      <c r="D43" s="4" t="s">
        <v>100</v>
      </c>
      <c r="E43" s="4" t="s">
        <v>262</v>
      </c>
      <c r="F43" s="4" t="s">
        <v>380</v>
      </c>
      <c r="G43" s="4" t="s">
        <v>398</v>
      </c>
    </row>
    <row r="44" spans="1:7" ht="12.75">
      <c r="A44" s="4">
        <v>1</v>
      </c>
      <c r="B44" s="83">
        <v>2</v>
      </c>
      <c r="C44" s="4">
        <v>3</v>
      </c>
      <c r="D44" s="4">
        <v>4</v>
      </c>
      <c r="E44" s="4">
        <v>5</v>
      </c>
      <c r="F44" s="4">
        <v>6</v>
      </c>
      <c r="G44" s="4">
        <v>8</v>
      </c>
    </row>
    <row r="45" spans="1:7" ht="25.5">
      <c r="A45" s="102" t="s">
        <v>399</v>
      </c>
      <c r="B45" s="174">
        <v>3751</v>
      </c>
      <c r="C45" s="107" t="s">
        <v>9</v>
      </c>
      <c r="D45" s="217">
        <v>3175</v>
      </c>
      <c r="E45" s="180" t="s">
        <v>9</v>
      </c>
      <c r="F45" s="20" t="s">
        <v>9</v>
      </c>
      <c r="G45" s="217">
        <v>618</v>
      </c>
    </row>
    <row r="46" spans="1:7" ht="12.75">
      <c r="A46" s="202" t="s">
        <v>298</v>
      </c>
      <c r="B46" s="107" t="s">
        <v>9</v>
      </c>
      <c r="C46" s="176">
        <v>3756</v>
      </c>
      <c r="D46" s="176">
        <v>3175</v>
      </c>
      <c r="E46" s="91" t="s">
        <v>113</v>
      </c>
      <c r="F46" s="91">
        <v>0.845</v>
      </c>
      <c r="G46" s="176">
        <v>618</v>
      </c>
    </row>
    <row r="47" spans="1:7" ht="12.75">
      <c r="A47" s="160" t="s">
        <v>299</v>
      </c>
      <c r="B47" s="107" t="s">
        <v>9</v>
      </c>
      <c r="C47" s="176">
        <v>5</v>
      </c>
      <c r="D47" s="176">
        <v>0</v>
      </c>
      <c r="E47" s="91" t="s">
        <v>113</v>
      </c>
      <c r="F47" s="91">
        <v>0</v>
      </c>
      <c r="G47" s="176">
        <v>0</v>
      </c>
    </row>
    <row r="48" spans="1:7" ht="12.75">
      <c r="A48" s="102" t="s">
        <v>300</v>
      </c>
      <c r="B48" s="174">
        <v>-95446</v>
      </c>
      <c r="C48" s="221" t="s">
        <v>9</v>
      </c>
      <c r="D48" s="104">
        <v>-89577</v>
      </c>
      <c r="E48" s="85">
        <v>0.939</v>
      </c>
      <c r="F48" s="222" t="s">
        <v>9</v>
      </c>
      <c r="G48" s="104">
        <v>-3275</v>
      </c>
    </row>
    <row r="49" spans="1:7" ht="12.75">
      <c r="A49" s="102" t="s">
        <v>400</v>
      </c>
      <c r="B49" s="174">
        <v>95446</v>
      </c>
      <c r="C49" s="221" t="s">
        <v>9</v>
      </c>
      <c r="D49" s="174">
        <v>89577</v>
      </c>
      <c r="E49" s="85">
        <v>0.939</v>
      </c>
      <c r="F49" s="222" t="s">
        <v>9</v>
      </c>
      <c r="G49" s="155">
        <v>3275</v>
      </c>
    </row>
    <row r="50" spans="1:7" ht="12.75">
      <c r="A50" s="135" t="s">
        <v>315</v>
      </c>
      <c r="B50" s="176">
        <v>78216</v>
      </c>
      <c r="C50" s="107" t="s">
        <v>9</v>
      </c>
      <c r="D50" s="176">
        <v>60089</v>
      </c>
      <c r="E50" s="91">
        <v>0.768</v>
      </c>
      <c r="F50" s="20" t="s">
        <v>9</v>
      </c>
      <c r="G50" s="176">
        <v>-5274</v>
      </c>
    </row>
    <row r="51" spans="1:7" ht="33.75">
      <c r="A51" s="135" t="s">
        <v>401</v>
      </c>
      <c r="B51" s="176">
        <v>17229</v>
      </c>
      <c r="C51" s="107" t="s">
        <v>9</v>
      </c>
      <c r="D51" s="176">
        <v>29488</v>
      </c>
      <c r="E51" s="91">
        <v>1.712</v>
      </c>
      <c r="F51" s="20" t="s">
        <v>9</v>
      </c>
      <c r="G51" s="176">
        <v>8549</v>
      </c>
    </row>
    <row r="52" spans="1:7" ht="12.75">
      <c r="A52" s="162"/>
      <c r="B52" s="223"/>
      <c r="C52" s="223"/>
      <c r="D52" s="224"/>
      <c r="E52" s="225"/>
      <c r="F52" s="226"/>
      <c r="G52" s="110"/>
    </row>
    <row r="53" spans="1:7" ht="12.75">
      <c r="A53" s="162"/>
      <c r="B53" s="223"/>
      <c r="C53" s="223"/>
      <c r="D53" s="224"/>
      <c r="E53" s="225"/>
      <c r="F53" s="226"/>
      <c r="G53" s="110"/>
    </row>
    <row r="54" spans="1:7" ht="12.75">
      <c r="A54" s="162"/>
      <c r="B54" s="223"/>
      <c r="C54" s="223"/>
      <c r="D54" s="224"/>
      <c r="E54" s="225"/>
      <c r="F54" s="226"/>
      <c r="G54" s="110"/>
    </row>
    <row r="55" spans="1:7" ht="12.75">
      <c r="A55" s="110"/>
      <c r="B55" s="223"/>
      <c r="C55" s="223"/>
      <c r="D55" s="224"/>
      <c r="E55" s="225"/>
      <c r="F55" s="226"/>
      <c r="G55" s="110"/>
    </row>
    <row r="56" spans="1:7" ht="12.75">
      <c r="A56" s="110"/>
      <c r="B56" s="223"/>
      <c r="C56" s="223"/>
      <c r="D56" s="224"/>
      <c r="E56" s="225"/>
      <c r="F56" s="226"/>
      <c r="G56" s="110"/>
    </row>
    <row r="57" spans="1:7" ht="12.75">
      <c r="A57" s="110"/>
      <c r="B57" s="223"/>
      <c r="C57" s="223"/>
      <c r="D57" s="224"/>
      <c r="E57" s="225"/>
      <c r="F57" s="226"/>
      <c r="G57" s="110"/>
    </row>
    <row r="58" spans="2:6" ht="12.75">
      <c r="B58" s="227"/>
      <c r="C58" s="227"/>
      <c r="D58" s="33"/>
      <c r="E58" s="225"/>
      <c r="F58" s="228"/>
    </row>
    <row r="59" spans="2:6" ht="12.75">
      <c r="B59" s="227"/>
      <c r="C59" s="227"/>
      <c r="D59" s="33"/>
      <c r="E59" s="195"/>
      <c r="F59" s="228"/>
    </row>
    <row r="60" spans="2:6" ht="12.75">
      <c r="B60" s="146"/>
      <c r="C60" s="146"/>
      <c r="D60" s="146"/>
      <c r="E60" s="166"/>
      <c r="F60" s="196"/>
    </row>
    <row r="61" spans="2:6" ht="12.75">
      <c r="B61" s="229"/>
      <c r="C61" s="230"/>
      <c r="D61" s="149"/>
      <c r="E61" s="231"/>
      <c r="F61" s="232"/>
    </row>
    <row r="62" spans="1:6" ht="12.75">
      <c r="A62" s="113" t="s">
        <v>301</v>
      </c>
      <c r="B62" s="159"/>
      <c r="C62" s="159"/>
      <c r="D62" s="42"/>
      <c r="E62" s="159"/>
      <c r="F62" s="233"/>
    </row>
    <row r="63" spans="2:6" ht="12.75">
      <c r="B63" s="229"/>
      <c r="C63" s="230"/>
      <c r="D63" s="149"/>
      <c r="E63" s="231"/>
      <c r="F63" s="233"/>
    </row>
    <row r="64" spans="1:6" ht="12.75">
      <c r="A64" s="2"/>
      <c r="B64" s="229"/>
      <c r="C64" s="230"/>
      <c r="D64" s="149"/>
      <c r="E64" s="231"/>
      <c r="F64" s="233"/>
    </row>
    <row r="65" spans="1:6" ht="12.75">
      <c r="A65" s="2"/>
      <c r="B65" s="229"/>
      <c r="C65" s="230"/>
      <c r="D65" s="149"/>
      <c r="E65" s="231"/>
      <c r="F65" s="233"/>
    </row>
    <row r="66" spans="1:6" ht="12.75">
      <c r="A66" s="2"/>
      <c r="B66" s="229"/>
      <c r="C66" s="230"/>
      <c r="D66" s="149"/>
      <c r="E66" s="231"/>
      <c r="F66" s="233"/>
    </row>
    <row r="67" spans="2:6" ht="12.75">
      <c r="B67" s="159"/>
      <c r="C67" s="159"/>
      <c r="E67" s="159"/>
      <c r="F67" s="159"/>
    </row>
    <row r="68" spans="2:6" ht="12.75">
      <c r="B68" s="159"/>
      <c r="C68" s="159"/>
      <c r="E68" s="159"/>
      <c r="F68" s="159"/>
    </row>
    <row r="69" spans="1:6" ht="12.75">
      <c r="A69" s="113"/>
      <c r="B69" s="159"/>
      <c r="C69" s="159"/>
      <c r="D69" s="42"/>
      <c r="E69" s="159"/>
      <c r="F69" s="159"/>
    </row>
    <row r="70" spans="1:6" ht="12.75">
      <c r="A70" s="162"/>
      <c r="B70" s="42"/>
      <c r="C70" s="42"/>
      <c r="D70" s="42"/>
      <c r="E70" s="159"/>
      <c r="F70" s="159"/>
    </row>
    <row r="71" spans="1:6" ht="12.75">
      <c r="A71" s="162"/>
      <c r="B71" s="42"/>
      <c r="C71" s="42"/>
      <c r="D71" s="42"/>
      <c r="E71" s="159"/>
      <c r="F71" s="159"/>
    </row>
    <row r="72" spans="1:6" ht="12.75">
      <c r="A72" s="234"/>
      <c r="B72" s="42"/>
      <c r="C72" s="42"/>
      <c r="D72" s="42"/>
      <c r="E72" s="159"/>
      <c r="F72" s="159"/>
    </row>
    <row r="73" ht="14.25">
      <c r="A73" s="59"/>
    </row>
    <row r="75" ht="12.75">
      <c r="A75" s="2"/>
    </row>
    <row r="76" ht="12.75">
      <c r="A76" s="2"/>
    </row>
    <row r="77" ht="12.75">
      <c r="A77" s="2"/>
    </row>
    <row r="89" ht="12.75">
      <c r="A89" s="2" t="s">
        <v>173</v>
      </c>
    </row>
    <row r="90" ht="12.75">
      <c r="A90" s="2" t="s">
        <v>44</v>
      </c>
    </row>
  </sheetData>
  <mergeCells count="3"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17" sqref="D17"/>
    </sheetView>
  </sheetViews>
  <sheetFormatPr defaultColWidth="9.140625" defaultRowHeight="12.75"/>
  <cols>
    <col min="1" max="1" width="40.57421875" style="197" customWidth="1"/>
    <col min="2" max="2" width="11.28125" style="197" customWidth="1"/>
    <col min="3" max="3" width="9.7109375" style="197" customWidth="1"/>
    <col min="4" max="4" width="10.8515625" style="197" customWidth="1"/>
    <col min="5" max="5" width="16.00390625" style="197" customWidth="1"/>
  </cols>
  <sheetData>
    <row r="1" spans="1:5" ht="12.75">
      <c r="A1" s="197" t="s">
        <v>402</v>
      </c>
      <c r="B1" s="114"/>
      <c r="C1" s="114"/>
      <c r="D1" s="35"/>
      <c r="E1" s="212" t="s">
        <v>403</v>
      </c>
    </row>
    <row r="2" spans="1:5" ht="12.75">
      <c r="A2" s="30"/>
      <c r="B2" s="30"/>
      <c r="C2" s="30"/>
      <c r="E2" s="30"/>
    </row>
    <row r="3" spans="1:5" ht="12.75">
      <c r="A3" s="30"/>
      <c r="B3" s="30"/>
      <c r="C3" s="30"/>
      <c r="E3" s="30"/>
    </row>
    <row r="4" spans="1:5" ht="20.25">
      <c r="A4" s="150" t="s">
        <v>404</v>
      </c>
      <c r="B4" s="235"/>
      <c r="C4" s="235"/>
      <c r="D4" s="235"/>
      <c r="E4" s="235"/>
    </row>
    <row r="5" spans="1:5" ht="20.25">
      <c r="A5" s="236" t="s">
        <v>405</v>
      </c>
      <c r="B5" s="237"/>
      <c r="C5" s="237"/>
      <c r="D5" s="237"/>
      <c r="E5" s="237"/>
    </row>
    <row r="6" spans="1:5" ht="12.75">
      <c r="A6" s="30"/>
      <c r="B6" s="30"/>
      <c r="C6" s="30"/>
      <c r="E6" s="213" t="s">
        <v>178</v>
      </c>
    </row>
    <row r="7" spans="1:5" ht="33.75">
      <c r="A7" s="120" t="s">
        <v>2</v>
      </c>
      <c r="B7" s="120" t="s">
        <v>406</v>
      </c>
      <c r="C7" s="120" t="s">
        <v>100</v>
      </c>
      <c r="D7" s="120" t="s">
        <v>407</v>
      </c>
      <c r="E7" s="4" t="s">
        <v>181</v>
      </c>
    </row>
    <row r="8" spans="1:5" ht="12.75">
      <c r="A8" s="120">
        <v>1</v>
      </c>
      <c r="B8" s="120">
        <v>2</v>
      </c>
      <c r="C8" s="120">
        <v>3</v>
      </c>
      <c r="D8" s="120">
        <v>4</v>
      </c>
      <c r="E8" s="120">
        <v>5</v>
      </c>
    </row>
    <row r="9" spans="1:5" ht="12.75">
      <c r="A9" s="191" t="s">
        <v>408</v>
      </c>
      <c r="B9" s="238">
        <v>0</v>
      </c>
      <c r="C9" s="239">
        <v>14070</v>
      </c>
      <c r="D9" s="240" t="s">
        <v>113</v>
      </c>
      <c r="E9" s="238">
        <v>2142</v>
      </c>
    </row>
    <row r="10" spans="1:5" ht="12.75">
      <c r="A10" s="135" t="s">
        <v>409</v>
      </c>
      <c r="B10" s="120" t="s">
        <v>9</v>
      </c>
      <c r="C10" s="241">
        <v>6826</v>
      </c>
      <c r="D10" s="242" t="s">
        <v>113</v>
      </c>
      <c r="E10" s="241">
        <v>638</v>
      </c>
    </row>
    <row r="11" spans="1:5" ht="12.75">
      <c r="A11" s="135" t="s">
        <v>410</v>
      </c>
      <c r="B11" s="120" t="s">
        <v>9</v>
      </c>
      <c r="C11" s="241">
        <v>7244</v>
      </c>
      <c r="D11" s="242" t="s">
        <v>113</v>
      </c>
      <c r="E11" s="241">
        <v>1504</v>
      </c>
    </row>
    <row r="12" spans="1:5" ht="12.75">
      <c r="A12" s="191" t="s">
        <v>411</v>
      </c>
      <c r="B12" s="125">
        <v>0</v>
      </c>
      <c r="C12" s="125">
        <v>11863</v>
      </c>
      <c r="D12" s="240" t="s">
        <v>113</v>
      </c>
      <c r="E12" s="125">
        <v>811</v>
      </c>
    </row>
    <row r="13" spans="1:5" ht="12.75">
      <c r="A13" s="124" t="s">
        <v>384</v>
      </c>
      <c r="B13" s="125">
        <v>0</v>
      </c>
      <c r="C13" s="125">
        <v>8627</v>
      </c>
      <c r="D13" s="240" t="s">
        <v>113</v>
      </c>
      <c r="E13" s="125">
        <v>728</v>
      </c>
    </row>
    <row r="14" spans="1:5" ht="12.75">
      <c r="A14" s="128" t="s">
        <v>270</v>
      </c>
      <c r="B14" s="243">
        <v>0</v>
      </c>
      <c r="C14" s="6">
        <v>8252</v>
      </c>
      <c r="D14" s="242" t="s">
        <v>113</v>
      </c>
      <c r="E14" s="6">
        <v>913</v>
      </c>
    </row>
    <row r="15" spans="1:5" ht="12.75">
      <c r="A15" s="202" t="s">
        <v>271</v>
      </c>
      <c r="B15" s="241">
        <v>0</v>
      </c>
      <c r="C15" s="241">
        <v>628</v>
      </c>
      <c r="D15" s="242" t="s">
        <v>113</v>
      </c>
      <c r="E15" s="241">
        <v>101</v>
      </c>
    </row>
    <row r="16" spans="1:5" ht="12.75">
      <c r="A16" s="135" t="s">
        <v>412</v>
      </c>
      <c r="B16" s="20" t="s">
        <v>9</v>
      </c>
      <c r="C16" s="241">
        <v>172</v>
      </c>
      <c r="D16" s="20" t="s">
        <v>9</v>
      </c>
      <c r="E16" s="241">
        <v>28</v>
      </c>
    </row>
    <row r="17" spans="1:5" ht="12.75">
      <c r="A17" s="135" t="s">
        <v>273</v>
      </c>
      <c r="B17" s="20" t="s">
        <v>9</v>
      </c>
      <c r="C17" s="26">
        <v>7451</v>
      </c>
      <c r="D17" s="20" t="s">
        <v>9</v>
      </c>
      <c r="E17" s="26">
        <v>784</v>
      </c>
    </row>
    <row r="18" spans="1:5" ht="12.75">
      <c r="A18" s="136" t="s">
        <v>385</v>
      </c>
      <c r="B18" s="10" t="s">
        <v>9</v>
      </c>
      <c r="C18" s="244">
        <v>6614</v>
      </c>
      <c r="D18" s="10" t="s">
        <v>9</v>
      </c>
      <c r="E18" s="244">
        <v>778</v>
      </c>
    </row>
    <row r="19" spans="1:5" ht="12.75">
      <c r="A19" s="136" t="s">
        <v>413</v>
      </c>
      <c r="B19" s="10" t="s">
        <v>9</v>
      </c>
      <c r="C19" s="244">
        <v>837</v>
      </c>
      <c r="D19" s="10" t="s">
        <v>9</v>
      </c>
      <c r="E19" s="244">
        <v>6</v>
      </c>
    </row>
    <row r="20" spans="1:5" ht="12.75">
      <c r="A20" s="135" t="s">
        <v>388</v>
      </c>
      <c r="B20" s="20" t="s">
        <v>9</v>
      </c>
      <c r="C20" s="241">
        <v>1</v>
      </c>
      <c r="D20" s="20" t="s">
        <v>9</v>
      </c>
      <c r="E20" s="241">
        <v>0</v>
      </c>
    </row>
    <row r="21" spans="1:5" ht="12.75">
      <c r="A21" s="134" t="s">
        <v>277</v>
      </c>
      <c r="B21" s="20"/>
      <c r="C21" s="6">
        <v>182</v>
      </c>
      <c r="D21" s="242" t="s">
        <v>113</v>
      </c>
      <c r="E21" s="6">
        <v>7</v>
      </c>
    </row>
    <row r="22" spans="1:5" ht="12.75">
      <c r="A22" s="135" t="s">
        <v>414</v>
      </c>
      <c r="B22" s="20" t="s">
        <v>9</v>
      </c>
      <c r="C22" s="241">
        <v>182</v>
      </c>
      <c r="D22" s="20" t="s">
        <v>9</v>
      </c>
      <c r="E22" s="241">
        <v>7</v>
      </c>
    </row>
    <row r="23" spans="1:5" ht="12.75">
      <c r="A23" s="135" t="s">
        <v>415</v>
      </c>
      <c r="B23" s="20" t="s">
        <v>9</v>
      </c>
      <c r="C23" s="241">
        <v>0</v>
      </c>
      <c r="D23" s="20" t="s">
        <v>9</v>
      </c>
      <c r="E23" s="241">
        <v>0</v>
      </c>
    </row>
    <row r="24" spans="1:5" ht="12.75">
      <c r="A24" s="220" t="s">
        <v>281</v>
      </c>
      <c r="B24" s="20"/>
      <c r="C24" s="6">
        <v>193</v>
      </c>
      <c r="D24" s="242" t="s">
        <v>113</v>
      </c>
      <c r="E24" s="6">
        <v>-192</v>
      </c>
    </row>
    <row r="25" spans="1:5" ht="12.75">
      <c r="A25" s="202" t="s">
        <v>282</v>
      </c>
      <c r="B25" s="20" t="s">
        <v>9</v>
      </c>
      <c r="C25" s="241">
        <v>41</v>
      </c>
      <c r="D25" s="20" t="s">
        <v>9</v>
      </c>
      <c r="E25" s="241">
        <v>-226</v>
      </c>
    </row>
    <row r="26" spans="1:5" ht="12.75">
      <c r="A26" s="202" t="s">
        <v>283</v>
      </c>
      <c r="B26" s="20" t="s">
        <v>9</v>
      </c>
      <c r="C26" s="241">
        <v>12</v>
      </c>
      <c r="D26" s="20" t="s">
        <v>9</v>
      </c>
      <c r="E26" s="241">
        <v>0</v>
      </c>
    </row>
    <row r="27" spans="1:5" ht="12.75">
      <c r="A27" s="135" t="s">
        <v>284</v>
      </c>
      <c r="B27" s="20" t="s">
        <v>9</v>
      </c>
      <c r="C27" s="241">
        <v>0</v>
      </c>
      <c r="D27" s="20" t="s">
        <v>9</v>
      </c>
      <c r="E27" s="241">
        <v>0</v>
      </c>
    </row>
    <row r="28" spans="1:5" ht="12.75">
      <c r="A28" s="135" t="s">
        <v>416</v>
      </c>
      <c r="B28" s="20" t="s">
        <v>9</v>
      </c>
      <c r="C28" s="241">
        <v>66</v>
      </c>
      <c r="D28" s="20" t="s">
        <v>9</v>
      </c>
      <c r="E28" s="241">
        <v>24</v>
      </c>
    </row>
    <row r="29" spans="1:5" ht="12.75">
      <c r="A29" s="135" t="s">
        <v>288</v>
      </c>
      <c r="B29" s="20" t="s">
        <v>9</v>
      </c>
      <c r="C29" s="241">
        <v>74</v>
      </c>
      <c r="D29" s="20" t="s">
        <v>9</v>
      </c>
      <c r="E29" s="241">
        <v>10</v>
      </c>
    </row>
    <row r="30" spans="1:5" ht="12.75">
      <c r="A30" s="139" t="s">
        <v>417</v>
      </c>
      <c r="B30" s="245">
        <v>0</v>
      </c>
      <c r="C30" s="245">
        <v>3236</v>
      </c>
      <c r="D30" s="240" t="s">
        <v>113</v>
      </c>
      <c r="E30" s="245">
        <v>83</v>
      </c>
    </row>
    <row r="31" spans="1:5" ht="12.75">
      <c r="A31" s="135" t="s">
        <v>295</v>
      </c>
      <c r="B31" s="241">
        <v>0</v>
      </c>
      <c r="C31" s="241">
        <v>3006</v>
      </c>
      <c r="D31" s="242" t="s">
        <v>113</v>
      </c>
      <c r="E31" s="241">
        <v>-43</v>
      </c>
    </row>
    <row r="32" spans="1:5" ht="12.75">
      <c r="A32" s="135" t="s">
        <v>296</v>
      </c>
      <c r="B32" s="241">
        <v>0</v>
      </c>
      <c r="C32" s="241">
        <v>230</v>
      </c>
      <c r="D32" s="242" t="s">
        <v>113</v>
      </c>
      <c r="E32" s="241">
        <v>126</v>
      </c>
    </row>
    <row r="33" spans="1:5" ht="12.75">
      <c r="A33" s="139" t="s">
        <v>418</v>
      </c>
      <c r="B33" s="222"/>
      <c r="C33" s="245">
        <v>2207</v>
      </c>
      <c r="D33" s="20" t="s">
        <v>9</v>
      </c>
      <c r="E33" s="20" t="s">
        <v>9</v>
      </c>
    </row>
    <row r="34" spans="1:5" ht="12.75">
      <c r="A34" s="139" t="s">
        <v>400</v>
      </c>
      <c r="B34" s="18"/>
      <c r="C34" s="245">
        <v>-2207</v>
      </c>
      <c r="D34" s="20" t="s">
        <v>9</v>
      </c>
      <c r="E34" s="20" t="s">
        <v>9</v>
      </c>
    </row>
    <row r="35" spans="1:5" ht="22.5">
      <c r="A35" s="160" t="s">
        <v>419</v>
      </c>
      <c r="B35" s="22"/>
      <c r="C35" s="241">
        <v>-2207</v>
      </c>
      <c r="D35" s="20" t="s">
        <v>9</v>
      </c>
      <c r="E35" s="20" t="s">
        <v>9</v>
      </c>
    </row>
    <row r="36" spans="1:5" ht="12.75">
      <c r="A36" s="140"/>
      <c r="B36" s="141"/>
      <c r="C36" s="246"/>
      <c r="D36" s="246"/>
      <c r="E36" s="246"/>
    </row>
    <row r="37" spans="1:5" ht="12.75">
      <c r="A37" s="140" t="s">
        <v>420</v>
      </c>
      <c r="B37" s="141"/>
      <c r="C37" s="246"/>
      <c r="D37" s="246"/>
      <c r="E37" s="246"/>
    </row>
    <row r="38" spans="1:5" ht="12.75">
      <c r="A38" s="140"/>
      <c r="B38" s="141"/>
      <c r="C38" s="246"/>
      <c r="D38" s="246"/>
      <c r="E38" s="246"/>
    </row>
    <row r="39" spans="1:5" ht="12.75">
      <c r="A39" s="113" t="s">
        <v>301</v>
      </c>
      <c r="B39" s="141"/>
      <c r="C39" s="246"/>
      <c r="D39" s="246"/>
      <c r="E39" s="246"/>
    </row>
    <row r="40" spans="1:5" ht="12.75">
      <c r="A40" s="113"/>
      <c r="B40" s="141"/>
      <c r="C40" s="246"/>
      <c r="D40" s="247"/>
      <c r="E40" s="208"/>
    </row>
    <row r="41" spans="1:5" ht="12.75">
      <c r="A41" s="210"/>
      <c r="B41" s="32"/>
      <c r="C41" s="32"/>
      <c r="D41" s="248"/>
      <c r="E41" s="210"/>
    </row>
    <row r="42" spans="1:5" ht="12.75">
      <c r="A42" s="210"/>
      <c r="B42" s="146"/>
      <c r="C42" s="146"/>
      <c r="D42" s="196"/>
      <c r="E42" s="114"/>
    </row>
    <row r="43" spans="1:5" ht="12.75">
      <c r="A43" s="210"/>
      <c r="B43" s="249"/>
      <c r="C43" s="250"/>
      <c r="D43" s="251"/>
      <c r="E43" s="30"/>
    </row>
    <row r="44" spans="1:5" ht="12.75">
      <c r="A44" s="210"/>
      <c r="B44" s="249"/>
      <c r="C44" s="250"/>
      <c r="D44" s="251"/>
      <c r="E44" s="30"/>
    </row>
    <row r="45" spans="1:5" ht="12.75">
      <c r="A45" s="210" t="s">
        <v>173</v>
      </c>
      <c r="B45" s="249"/>
      <c r="C45" s="250"/>
      <c r="D45" s="251"/>
      <c r="E45" s="30"/>
    </row>
    <row r="46" spans="1:5" ht="12.75">
      <c r="A46" s="210" t="s">
        <v>44</v>
      </c>
      <c r="B46" s="249"/>
      <c r="C46" s="250"/>
      <c r="D46" s="251"/>
      <c r="E46" s="30"/>
    </row>
    <row r="49" spans="1:5" ht="12.75">
      <c r="A49" s="210"/>
      <c r="B49" s="249"/>
      <c r="C49" s="250"/>
      <c r="D49" s="251"/>
      <c r="E49" s="3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1">
      <selection activeCell="F16" sqref="F16"/>
    </sheetView>
  </sheetViews>
  <sheetFormatPr defaultColWidth="9.140625" defaultRowHeight="12.75"/>
  <cols>
    <col min="1" max="1" width="28.7109375" style="2" customWidth="1"/>
    <col min="2" max="2" width="6.8515625" style="2" customWidth="1"/>
    <col min="3" max="3" width="8.421875" style="2" customWidth="1"/>
    <col min="4" max="4" width="10.8515625" style="2" customWidth="1"/>
    <col min="5" max="5" width="9.140625" style="2" customWidth="1"/>
    <col min="6" max="6" width="7.8515625" style="2" customWidth="1"/>
  </cols>
  <sheetData>
    <row r="1" spans="3:4" ht="12.75">
      <c r="C1" s="49"/>
      <c r="D1" s="49"/>
    </row>
    <row r="2" spans="1:5" ht="12.75">
      <c r="A2" s="49" t="s">
        <v>421</v>
      </c>
      <c r="C2" s="49"/>
      <c r="D2" s="49"/>
      <c r="E2" s="212" t="s">
        <v>422</v>
      </c>
    </row>
    <row r="3" ht="15.75">
      <c r="A3" s="117" t="s">
        <v>423</v>
      </c>
    </row>
    <row r="4" spans="1:5" ht="15.75">
      <c r="A4" s="270" t="s">
        <v>424</v>
      </c>
      <c r="B4" s="270"/>
      <c r="C4" s="270"/>
      <c r="D4" s="270"/>
      <c r="E4" s="270"/>
    </row>
    <row r="5" spans="1:5" ht="15.75">
      <c r="A5" s="270"/>
      <c r="B5" s="270"/>
      <c r="C5" s="270"/>
      <c r="D5" s="270"/>
      <c r="E5" s="270"/>
    </row>
    <row r="8" spans="4:5" ht="12.75">
      <c r="D8" s="49"/>
      <c r="E8" s="252" t="s">
        <v>178</v>
      </c>
    </row>
    <row r="9" spans="1:5" ht="60">
      <c r="A9" s="253" t="s">
        <v>2</v>
      </c>
      <c r="B9" s="254" t="s">
        <v>425</v>
      </c>
      <c r="C9" s="254" t="s">
        <v>99</v>
      </c>
      <c r="D9" s="254" t="s">
        <v>100</v>
      </c>
      <c r="E9" s="254" t="s">
        <v>426</v>
      </c>
    </row>
    <row r="10" spans="1:5" ht="12.75">
      <c r="A10" s="3">
        <v>1</v>
      </c>
      <c r="B10" s="3">
        <v>2</v>
      </c>
      <c r="C10" s="4">
        <v>3</v>
      </c>
      <c r="D10" s="4">
        <v>4</v>
      </c>
      <c r="E10" s="4">
        <v>5</v>
      </c>
    </row>
    <row r="11" spans="1:5" ht="15">
      <c r="A11" s="255" t="s">
        <v>309</v>
      </c>
      <c r="B11" s="177"/>
      <c r="C11" s="125">
        <v>794174</v>
      </c>
      <c r="D11" s="125">
        <v>763439</v>
      </c>
      <c r="E11" s="256">
        <v>0.9613</v>
      </c>
    </row>
    <row r="12" spans="1:5" ht="12.75">
      <c r="A12" s="202" t="s">
        <v>427</v>
      </c>
      <c r="B12" s="257">
        <v>1</v>
      </c>
      <c r="C12" s="22">
        <v>82274</v>
      </c>
      <c r="D12" s="22">
        <v>79350</v>
      </c>
      <c r="E12" s="258">
        <v>0.9645</v>
      </c>
    </row>
    <row r="13" spans="1:5" ht="12.75">
      <c r="A13" s="92" t="s">
        <v>428</v>
      </c>
      <c r="B13" s="257">
        <v>2</v>
      </c>
      <c r="C13" s="22">
        <v>32978</v>
      </c>
      <c r="D13" s="22">
        <v>32254</v>
      </c>
      <c r="E13" s="258">
        <v>0.978</v>
      </c>
    </row>
    <row r="14" spans="1:5" ht="12.75">
      <c r="A14" s="92" t="s">
        <v>429</v>
      </c>
      <c r="B14" s="257">
        <v>3</v>
      </c>
      <c r="C14" s="22">
        <v>111364</v>
      </c>
      <c r="D14" s="22">
        <v>110261</v>
      </c>
      <c r="E14" s="258">
        <v>0.9901</v>
      </c>
    </row>
    <row r="15" spans="1:5" ht="12.75">
      <c r="A15" s="92" t="s">
        <v>430</v>
      </c>
      <c r="B15" s="257">
        <v>4</v>
      </c>
      <c r="C15" s="22">
        <v>80295</v>
      </c>
      <c r="D15" s="22">
        <v>78870</v>
      </c>
      <c r="E15" s="258">
        <v>0.9823</v>
      </c>
    </row>
    <row r="16" spans="1:5" ht="12.75">
      <c r="A16" s="92" t="s">
        <v>431</v>
      </c>
      <c r="B16" s="257">
        <v>5</v>
      </c>
      <c r="C16" s="22">
        <v>70104</v>
      </c>
      <c r="D16" s="22">
        <v>70051</v>
      </c>
      <c r="E16" s="258">
        <v>0.9992</v>
      </c>
    </row>
    <row r="17" spans="1:5" ht="12.75">
      <c r="A17" s="92" t="s">
        <v>432</v>
      </c>
      <c r="B17" s="257">
        <v>6</v>
      </c>
      <c r="C17" s="22">
        <v>82973</v>
      </c>
      <c r="D17" s="22">
        <v>82901</v>
      </c>
      <c r="E17" s="258">
        <v>0.9991</v>
      </c>
    </row>
    <row r="18" spans="1:5" ht="22.5">
      <c r="A18" s="135" t="s">
        <v>433</v>
      </c>
      <c r="B18" s="257">
        <v>7</v>
      </c>
      <c r="C18" s="22">
        <v>4289</v>
      </c>
      <c r="D18" s="22">
        <v>4199</v>
      </c>
      <c r="E18" s="258">
        <v>0.979</v>
      </c>
    </row>
    <row r="19" spans="1:5" ht="12.75">
      <c r="A19" s="92" t="s">
        <v>434</v>
      </c>
      <c r="B19" s="257">
        <v>8</v>
      </c>
      <c r="C19" s="22">
        <v>21075</v>
      </c>
      <c r="D19" s="22">
        <v>20648</v>
      </c>
      <c r="E19" s="258">
        <v>0.9797</v>
      </c>
    </row>
    <row r="20" spans="1:5" ht="12.75">
      <c r="A20" s="92" t="s">
        <v>435</v>
      </c>
      <c r="B20" s="257">
        <v>9</v>
      </c>
      <c r="C20" s="22">
        <v>169</v>
      </c>
      <c r="D20" s="22">
        <v>169</v>
      </c>
      <c r="E20" s="258">
        <v>1</v>
      </c>
    </row>
    <row r="21" spans="1:5" ht="22.5">
      <c r="A21" s="135" t="s">
        <v>436</v>
      </c>
      <c r="B21" s="257">
        <v>10</v>
      </c>
      <c r="C21" s="22">
        <v>56216</v>
      </c>
      <c r="D21" s="22">
        <v>55341</v>
      </c>
      <c r="E21" s="258">
        <v>0.9844</v>
      </c>
    </row>
    <row r="22" spans="1:5" ht="22.5">
      <c r="A22" s="135" t="s">
        <v>437</v>
      </c>
      <c r="B22" s="257">
        <v>11</v>
      </c>
      <c r="C22" s="22">
        <v>856</v>
      </c>
      <c r="D22" s="22">
        <v>776</v>
      </c>
      <c r="E22" s="258">
        <v>0.9065</v>
      </c>
    </row>
    <row r="23" spans="1:5" ht="12.75">
      <c r="A23" s="92" t="s">
        <v>438</v>
      </c>
      <c r="B23" s="257">
        <v>12</v>
      </c>
      <c r="C23" s="22">
        <v>8096</v>
      </c>
      <c r="D23" s="22">
        <v>8085</v>
      </c>
      <c r="E23" s="258">
        <v>0.9986</v>
      </c>
    </row>
    <row r="24" spans="1:5" ht="12.75">
      <c r="A24" s="92" t="s">
        <v>439</v>
      </c>
      <c r="B24" s="257">
        <v>13</v>
      </c>
      <c r="C24" s="22">
        <v>20399</v>
      </c>
      <c r="D24" s="22">
        <v>20207</v>
      </c>
      <c r="E24" s="258">
        <v>0.9906</v>
      </c>
    </row>
    <row r="25" spans="1:5" ht="22.5">
      <c r="A25" s="135" t="s">
        <v>440</v>
      </c>
      <c r="B25" s="257">
        <v>14</v>
      </c>
      <c r="C25" s="22">
        <v>223086</v>
      </c>
      <c r="D25" s="22">
        <v>200327</v>
      </c>
      <c r="E25" s="258">
        <v>0.898</v>
      </c>
    </row>
    <row r="26" spans="2:5" ht="12.75">
      <c r="B26" s="231"/>
      <c r="C26" s="33"/>
      <c r="D26" s="33"/>
      <c r="E26" s="148"/>
    </row>
    <row r="27" spans="1:5" ht="12.75">
      <c r="A27" s="2" t="s">
        <v>441</v>
      </c>
      <c r="B27" s="231"/>
      <c r="C27" s="33"/>
      <c r="D27" s="33"/>
      <c r="E27" s="148"/>
    </row>
    <row r="28" spans="1:5" ht="14.25">
      <c r="A28" s="59"/>
      <c r="B28" s="259"/>
      <c r="C28" s="33"/>
      <c r="D28" s="33"/>
      <c r="E28" s="148"/>
    </row>
    <row r="29" spans="2:5" ht="14.25">
      <c r="B29" s="259"/>
      <c r="C29" s="33"/>
      <c r="D29" s="33"/>
      <c r="E29" s="148"/>
    </row>
    <row r="30" spans="1:5" ht="14.25">
      <c r="A30" s="59"/>
      <c r="B30" s="259"/>
      <c r="C30" s="33"/>
      <c r="D30" s="33"/>
      <c r="E30" s="148"/>
    </row>
    <row r="31" spans="1:5" ht="12.75">
      <c r="A31" s="2" t="s">
        <v>442</v>
      </c>
      <c r="B31" s="231"/>
      <c r="C31" s="149" t="s">
        <v>443</v>
      </c>
      <c r="D31" s="33"/>
      <c r="E31" s="148"/>
    </row>
    <row r="32" spans="1:5" ht="14.25">
      <c r="A32" s="59"/>
      <c r="B32" s="259"/>
      <c r="C32" s="33"/>
      <c r="D32" s="33"/>
      <c r="E32" s="148"/>
    </row>
    <row r="33" spans="1:5" ht="14.25">
      <c r="A33" s="59"/>
      <c r="B33" s="259"/>
      <c r="C33" s="33"/>
      <c r="D33" s="33"/>
      <c r="E33" s="148"/>
    </row>
    <row r="34" spans="1:5" ht="14.25">
      <c r="A34" s="59"/>
      <c r="B34" s="259"/>
      <c r="C34" s="33"/>
      <c r="D34" s="33"/>
      <c r="E34" s="148"/>
    </row>
    <row r="35" spans="1:5" ht="14.25">
      <c r="A35" s="59"/>
      <c r="B35" s="259"/>
      <c r="C35" s="33"/>
      <c r="D35" s="33"/>
      <c r="E35" s="148"/>
    </row>
    <row r="36" spans="4:5" ht="12.75">
      <c r="D36" s="149"/>
      <c r="E36" s="148"/>
    </row>
    <row r="37" spans="2:5" ht="12.75">
      <c r="B37" s="231"/>
      <c r="C37" s="149"/>
      <c r="D37" s="149"/>
      <c r="E37" s="148"/>
    </row>
    <row r="38" spans="3:5" ht="12.75">
      <c r="C38" s="149"/>
      <c r="D38" s="149"/>
      <c r="E38" s="260"/>
    </row>
    <row r="39" spans="3:5" ht="12.75">
      <c r="C39" s="149"/>
      <c r="D39" s="149"/>
      <c r="E39" s="260"/>
    </row>
    <row r="40" spans="1:5" ht="12.75">
      <c r="A40" s="2" t="s">
        <v>444</v>
      </c>
      <c r="C40" s="33"/>
      <c r="D40" s="33"/>
      <c r="E40" s="148"/>
    </row>
    <row r="41" spans="1:5" ht="14.25">
      <c r="A41" s="2" t="s">
        <v>44</v>
      </c>
      <c r="B41" s="59"/>
      <c r="C41" s="33"/>
      <c r="D41" s="33"/>
      <c r="E41" s="148"/>
    </row>
    <row r="42" spans="1:5" ht="14.25">
      <c r="A42" s="59"/>
      <c r="B42" s="59"/>
      <c r="C42" s="33"/>
      <c r="D42" s="33"/>
      <c r="E42" s="148"/>
    </row>
    <row r="43" spans="2:5" ht="14.25">
      <c r="B43" s="59"/>
      <c r="C43" s="33"/>
      <c r="D43" s="33"/>
      <c r="E43" s="148"/>
    </row>
    <row r="44" spans="2:5" ht="14.25">
      <c r="B44" s="59"/>
      <c r="C44" s="33"/>
      <c r="D44" s="33"/>
      <c r="E44" s="148"/>
    </row>
    <row r="45" spans="2:5" ht="14.25">
      <c r="B45" s="59"/>
      <c r="C45" s="33"/>
      <c r="D45" s="33"/>
      <c r="E45" s="148"/>
    </row>
    <row r="46" spans="2:5" ht="14.25">
      <c r="B46" s="59"/>
      <c r="C46" s="33"/>
      <c r="D46" s="33"/>
      <c r="E46" s="148"/>
    </row>
    <row r="47" spans="2:5" ht="14.25">
      <c r="B47" s="59"/>
      <c r="C47" s="33"/>
      <c r="D47" s="33"/>
      <c r="E47" s="148"/>
    </row>
    <row r="48" spans="3:5" ht="12.75">
      <c r="C48" s="33"/>
      <c r="D48" s="33"/>
      <c r="E48" s="148"/>
    </row>
    <row r="49" spans="3:5" ht="12.75">
      <c r="C49" s="33"/>
      <c r="D49" s="33"/>
      <c r="E49" s="148"/>
    </row>
    <row r="50" spans="3:5" ht="12.75">
      <c r="C50" s="33"/>
      <c r="D50" s="33"/>
      <c r="E50" s="148"/>
    </row>
    <row r="51" spans="3:5" ht="12.75">
      <c r="C51" s="149"/>
      <c r="D51" s="33"/>
      <c r="E51" s="148"/>
    </row>
    <row r="52" spans="2:4" ht="12.75">
      <c r="B52" s="33"/>
      <c r="C52" s="33"/>
      <c r="D52" s="148"/>
    </row>
    <row r="53" spans="2:4" ht="12.75">
      <c r="B53" s="33"/>
      <c r="C53" s="33"/>
      <c r="D53" s="148"/>
    </row>
    <row r="54" spans="2:4" ht="12.75">
      <c r="B54" s="33"/>
      <c r="C54" s="33"/>
      <c r="D54" s="148"/>
    </row>
    <row r="55" spans="2:4" ht="12.75">
      <c r="B55" s="149"/>
      <c r="C55" s="33"/>
      <c r="D55" s="148"/>
    </row>
    <row r="56" spans="2:4" ht="12.75">
      <c r="B56" s="149"/>
      <c r="C56" s="33"/>
      <c r="D56" s="148"/>
    </row>
    <row r="57" spans="2:4" ht="12.75">
      <c r="B57" s="149"/>
      <c r="C57" s="33"/>
      <c r="D57" s="148"/>
    </row>
    <row r="58" spans="2:4" ht="12.75">
      <c r="B58" s="149"/>
      <c r="C58" s="49"/>
      <c r="D58" s="148"/>
    </row>
    <row r="59" spans="2:4" ht="12.75">
      <c r="B59" s="149"/>
      <c r="C59" s="49"/>
      <c r="D59" s="148"/>
    </row>
    <row r="60" spans="2:4" ht="12.75">
      <c r="B60" s="149"/>
      <c r="C60" s="49"/>
      <c r="D60" s="148"/>
    </row>
    <row r="61" spans="2:4" ht="12.75">
      <c r="B61" s="149"/>
      <c r="C61" s="49"/>
      <c r="D61" s="148"/>
    </row>
    <row r="62" spans="2:4" ht="12.75">
      <c r="B62" s="149"/>
      <c r="C62" s="49"/>
      <c r="D62" s="148"/>
    </row>
    <row r="63" spans="2:4" ht="12.75">
      <c r="B63" s="149"/>
      <c r="C63" s="49"/>
      <c r="D63" s="148"/>
    </row>
    <row r="64" spans="2:4" ht="12.75">
      <c r="B64" s="149"/>
      <c r="C64" s="49"/>
      <c r="D64" s="148"/>
    </row>
    <row r="65" spans="2:4" ht="12.75">
      <c r="B65" s="149"/>
      <c r="C65" s="49"/>
      <c r="D65" s="148"/>
    </row>
    <row r="66" spans="2:4" ht="12.75">
      <c r="B66" s="149"/>
      <c r="C66" s="49"/>
      <c r="D66" s="148"/>
    </row>
    <row r="67" spans="2:4" ht="12.75">
      <c r="B67" s="149"/>
      <c r="C67" s="49"/>
      <c r="D67" s="148"/>
    </row>
    <row r="68" spans="2:4" ht="12.75">
      <c r="B68" s="149"/>
      <c r="C68" s="49"/>
      <c r="D68" s="148"/>
    </row>
    <row r="69" spans="2:4" ht="12.75">
      <c r="B69" s="149"/>
      <c r="C69" s="49"/>
      <c r="D69" s="148"/>
    </row>
    <row r="70" spans="2:4" ht="12.75">
      <c r="B70" s="149"/>
      <c r="C70" s="49"/>
      <c r="D70" s="148"/>
    </row>
    <row r="71" spans="2:4" ht="12.75">
      <c r="B71" s="149"/>
      <c r="C71" s="49"/>
      <c r="D71" s="148"/>
    </row>
    <row r="72" spans="2:4" ht="12.75">
      <c r="B72" s="149"/>
      <c r="C72" s="49"/>
      <c r="D72" s="148"/>
    </row>
    <row r="73" spans="2:4" ht="12.75">
      <c r="B73" s="149"/>
      <c r="C73" s="49"/>
      <c r="D73" s="148"/>
    </row>
    <row r="74" spans="2:4" ht="12.75">
      <c r="B74" s="149"/>
      <c r="C74" s="49"/>
      <c r="D74" s="148"/>
    </row>
    <row r="75" spans="2:4" ht="12.75">
      <c r="B75" s="149"/>
      <c r="C75" s="49"/>
      <c r="D75" s="148"/>
    </row>
    <row r="76" spans="2:4" ht="12.75">
      <c r="B76" s="149"/>
      <c r="C76" s="49"/>
      <c r="D76" s="148"/>
    </row>
    <row r="77" spans="2:4" ht="12.75">
      <c r="B77" s="149"/>
      <c r="C77" s="49"/>
      <c r="D77" s="148"/>
    </row>
    <row r="78" spans="2:4" ht="12.75">
      <c r="B78" s="149"/>
      <c r="D78" s="148"/>
    </row>
    <row r="79" spans="2:4" ht="12.75">
      <c r="B79" s="149"/>
      <c r="D79" s="148"/>
    </row>
    <row r="80" spans="2:4" ht="12.75">
      <c r="B80" s="149"/>
      <c r="D80" s="148"/>
    </row>
    <row r="81" spans="2:4" ht="12.75">
      <c r="B81" s="149"/>
      <c r="D81" s="148"/>
    </row>
    <row r="82" spans="2:4" ht="12.75">
      <c r="B82" s="149"/>
      <c r="D82" s="148"/>
    </row>
    <row r="83" spans="2:4" ht="12.75">
      <c r="B83" s="149"/>
      <c r="D83" s="148"/>
    </row>
    <row r="84" spans="2:4" ht="12.75">
      <c r="B84" s="149"/>
      <c r="D84" s="148"/>
    </row>
    <row r="85" spans="2:4" ht="12.75">
      <c r="B85" s="149"/>
      <c r="D85" s="148"/>
    </row>
    <row r="86" spans="2:4" ht="12.75">
      <c r="B86" s="149"/>
      <c r="D86" s="148"/>
    </row>
    <row r="87" spans="2:4" ht="12.75">
      <c r="B87" s="149"/>
      <c r="D87" s="148"/>
    </row>
    <row r="88" spans="2:4" ht="12.75">
      <c r="B88" s="149"/>
      <c r="D88" s="148"/>
    </row>
    <row r="89" spans="2:4" ht="12.75">
      <c r="B89" s="149"/>
      <c r="D89" s="148"/>
    </row>
    <row r="90" spans="2:4" ht="12.75">
      <c r="B90" s="149"/>
      <c r="D90" s="148"/>
    </row>
    <row r="91" spans="2:4" ht="12.75">
      <c r="B91" s="149"/>
      <c r="D91" s="148"/>
    </row>
    <row r="92" spans="2:4" ht="12.75">
      <c r="B92" s="149"/>
      <c r="D92" s="148"/>
    </row>
    <row r="93" spans="2:4" ht="12.75">
      <c r="B93" s="149"/>
      <c r="D93" s="148"/>
    </row>
    <row r="94" spans="2:4" ht="12.75">
      <c r="B94" s="149"/>
      <c r="D94" s="148"/>
    </row>
    <row r="95" spans="2:4" ht="12.75">
      <c r="B95" s="149"/>
      <c r="D95" s="148"/>
    </row>
    <row r="96" spans="2:4" ht="12.75">
      <c r="B96" s="149"/>
      <c r="D96" s="148"/>
    </row>
    <row r="97" spans="2:4" ht="12.75">
      <c r="B97" s="149"/>
      <c r="D97" s="148"/>
    </row>
    <row r="98" spans="2:4" ht="12.75">
      <c r="B98" s="149"/>
      <c r="D98" s="148"/>
    </row>
    <row r="99" spans="2:4" ht="12.75">
      <c r="B99" s="149"/>
      <c r="D99" s="148"/>
    </row>
    <row r="100" spans="2:4" ht="12.75">
      <c r="B100" s="149"/>
      <c r="D100" s="148"/>
    </row>
    <row r="101" spans="2:4" ht="12.75">
      <c r="B101" s="149"/>
      <c r="D101" s="148"/>
    </row>
    <row r="102" spans="2:4" ht="12.75">
      <c r="B102" s="149"/>
      <c r="D102" s="148"/>
    </row>
    <row r="103" spans="2:4" ht="12.75">
      <c r="B103" s="149"/>
      <c r="D103" s="148"/>
    </row>
    <row r="104" spans="2:4" ht="12.75">
      <c r="B104" s="149"/>
      <c r="D104" s="148"/>
    </row>
    <row r="105" ht="12.75">
      <c r="B105" s="149"/>
    </row>
    <row r="106" ht="12.75">
      <c r="B106" s="149"/>
    </row>
    <row r="107" ht="12.75">
      <c r="B107" s="149"/>
    </row>
    <row r="108" ht="12.75">
      <c r="B108" s="149"/>
    </row>
    <row r="109" ht="12.75">
      <c r="B109" s="149"/>
    </row>
    <row r="110" ht="12.75">
      <c r="B110" s="149"/>
    </row>
    <row r="111" ht="12.75">
      <c r="B111" s="149"/>
    </row>
    <row r="112" ht="12.75">
      <c r="B112" s="149"/>
    </row>
    <row r="113" ht="12.75">
      <c r="B113" s="149"/>
    </row>
  </sheetData>
  <mergeCells count="2">
    <mergeCell ref="A4:E4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IlzeM</cp:lastModifiedBy>
  <cp:lastPrinted>2000-01-17T12:22:24Z</cp:lastPrinted>
  <dcterms:created xsi:type="dcterms:W3CDTF">2000-01-17T08:57:45Z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