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pbudzets" sheetId="1" r:id="rId1"/>
    <sheet name="1.tab" sheetId="2" r:id="rId2"/>
    <sheet name="2.tab" sheetId="3" r:id="rId3"/>
    <sheet name="3.tab" sheetId="4" r:id="rId4"/>
    <sheet name="4.tab" sheetId="5" r:id="rId5"/>
    <sheet name="5.tab" sheetId="6" r:id="rId6"/>
    <sheet name="6.tab" sheetId="7" r:id="rId7"/>
    <sheet name="7.tab" sheetId="8" r:id="rId8"/>
    <sheet name="8.tab" sheetId="9" r:id="rId9"/>
    <sheet name="9.tab" sheetId="10" r:id="rId10"/>
    <sheet name="10.tabula" sheetId="11" r:id="rId11"/>
    <sheet name="11.tabula" sheetId="12" r:id="rId12"/>
    <sheet name="12.tabula" sheetId="13" r:id="rId13"/>
    <sheet name="13.tabula" sheetId="14" r:id="rId14"/>
    <sheet name="14.tabula" sheetId="15" r:id="rId15"/>
    <sheet name="15.tabula" sheetId="16" r:id="rId16"/>
    <sheet name="16.tabula" sheetId="17" r:id="rId17"/>
    <sheet name="17.tabula" sheetId="18" r:id="rId18"/>
    <sheet name="18.tabula" sheetId="19" r:id="rId19"/>
    <sheet name="19.tabula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1">'11.tabula'!$A$1:$E$58</definedName>
    <definedName name="_xlnm.Print_Area" localSheetId="12">'12.tabula'!$A$1:$F$47</definedName>
    <definedName name="_xlnm.Print_Area" localSheetId="13">'13.tabula'!$A$1:$E$48</definedName>
    <definedName name="_xlnm.Print_Area" localSheetId="14">'14.tabula'!$A$1:$E$33</definedName>
    <definedName name="_xlnm.Print_Area" localSheetId="15">'15.tabula'!$A$1:$E$49</definedName>
    <definedName name="_xlnm.Print_Titles" localSheetId="16">'16.tabula'!$8:$11</definedName>
    <definedName name="_xlnm.Print_Titles" localSheetId="17">'17.tabula'!$8:$11</definedName>
    <definedName name="_xlnm.Print_Titles" localSheetId="19">'19.tabula'!$8:$10</definedName>
  </definedNames>
  <calcPr fullCalcOnLoad="1"/>
</workbook>
</file>

<file path=xl/sharedStrings.xml><?xml version="1.0" encoding="utf-8"?>
<sst xmlns="http://schemas.openxmlformats.org/spreadsheetml/2006/main" count="2334" uniqueCount="740">
  <si>
    <t>C.5.Pašvaldību speciālā budžeta fiskālais deficīts (-), pārpalikums (+), (C.3. - C.4.)</t>
  </si>
  <si>
    <t xml:space="preserve"> Valsts kases pārvaldnieka v.i.                                                            __________________________ </t>
  </si>
  <si>
    <t>9.tabula</t>
  </si>
  <si>
    <t xml:space="preserve">                                               Valsts kases oficiālais mēneša pārskats</t>
  </si>
  <si>
    <t xml:space="preserve"> Valsts speciālā budžeta izdevumi pēc valdības funkcijām</t>
  </si>
  <si>
    <t xml:space="preserve">                                                    (1999.gada janvāris - maijs)</t>
  </si>
  <si>
    <t>(tūkst.latu)</t>
  </si>
  <si>
    <t>Rādītāji</t>
  </si>
  <si>
    <t>Valdības funkcijas kods</t>
  </si>
  <si>
    <t>Likumā apstiprinātais gada plāns</t>
  </si>
  <si>
    <t>Izpilde no gada sākuma</t>
  </si>
  <si>
    <t>Izpilde % pret gada plānu          (3/2)</t>
  </si>
  <si>
    <t>Izdevumi no ziedojumiem un dāvinājumiem</t>
  </si>
  <si>
    <t>Izdevumi - kopā</t>
  </si>
  <si>
    <t>Vispārējie valdības dienesti</t>
  </si>
  <si>
    <t>Aizsardzība</t>
  </si>
  <si>
    <t xml:space="preserve"> 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</si>
  <si>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</si>
  <si>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</si>
  <si>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</si>
  <si>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</si>
  <si>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</si>
  <si>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</si>
  <si>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</si>
  <si>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</si>
  <si>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</si>
  <si>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</si>
  <si>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</si>
  <si>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</si>
  <si>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Pārējie izdevumi, kas nav atspoguļoti pamatgrupās *</t>
  </si>
  <si>
    <t>* - ieskaitot  tīros  aizdevumus</t>
  </si>
  <si>
    <t>Valsts kases pārvaldnieks_________________________________</t>
  </si>
  <si>
    <t>A.Veiss</t>
  </si>
  <si>
    <t>(A.Veiss)</t>
  </si>
  <si>
    <t>Valsts kase /Pārskatu departaments</t>
  </si>
  <si>
    <t>1999.gada 15.jūnijs</t>
  </si>
  <si>
    <t xml:space="preserve">                                                                Valsts kases oficiālais mēneša pārskats</t>
  </si>
  <si>
    <t>8.tabula</t>
  </si>
  <si>
    <t xml:space="preserve">                                                     Valsts kases oficiālais mēneša pārskats</t>
  </si>
  <si>
    <t xml:space="preserve">                                        Valsts pamatbudžeta izdevumi pēc valdības funkcijām</t>
  </si>
  <si>
    <t xml:space="preserve">                                 Valsts pamatbudžeta izdevumi pēc valdības funkcijām</t>
  </si>
  <si>
    <t xml:space="preserve">                                                             ( 1999.gada janvāris- maijs)</t>
  </si>
  <si>
    <t>Pārējie izdevumi, kas nav atspoguļoti pamatgrupās  *</t>
  </si>
  <si>
    <t xml:space="preserve">* ieskaitot tīros aizdevumus </t>
  </si>
  <si>
    <t>Valsts kases pārvaldnieks__________________________________</t>
  </si>
  <si>
    <t>Valsts kases pārvaldnieks________________________________</t>
  </si>
  <si>
    <t>1999.gada 15.aprīlis</t>
  </si>
  <si>
    <t>1999.gada 15.februāris</t>
  </si>
  <si>
    <t>Valsts kases oficiālais mēneša pārskats</t>
  </si>
  <si>
    <t>7.tabula</t>
  </si>
  <si>
    <t>Valsts speciālā budżeta (dāvinājumi un ziedojumi) ieņēmumi un izdevumi</t>
  </si>
  <si>
    <t>Valsts budžeta iestāžu dāvinājumu un ziedojumu ieņēmumi un izdevumi</t>
  </si>
  <si>
    <t xml:space="preserve">                                                       (1999.gada janvāris - maijs)</t>
  </si>
  <si>
    <t>Finansēšanas plāns pārskata periodam</t>
  </si>
  <si>
    <t>Izpilde % pret finansēšanas plānu  (3/2)</t>
  </si>
  <si>
    <t>Maija   izpilde</t>
  </si>
  <si>
    <t>Finansēšanas plāns pārskata periodam *</t>
  </si>
  <si>
    <t>1.Saņemtie dāvinājumi un ziedojumi - kopā</t>
  </si>
  <si>
    <t xml:space="preserve">   no iekšzemes juridiskajām un fiziskajām personām</t>
  </si>
  <si>
    <t>x</t>
  </si>
  <si>
    <t xml:space="preserve">   no ārvalstu juridiskajām un fiziskajām personām</t>
  </si>
  <si>
    <t>2.Izdevumi - kopā (2.1.+2.2.)</t>
  </si>
  <si>
    <t>2.1.Uzturēšanas izdevumi</t>
  </si>
  <si>
    <t>Kārtējie izdevumi</t>
  </si>
  <si>
    <t xml:space="preserve">    atalgojumi</t>
  </si>
  <si>
    <t xml:space="preserve">    valsts sociālās apdrošināšanas obligātās iemaksas</t>
  </si>
  <si>
    <t xml:space="preserve">    pārējie kārtējie izdevumi</t>
  </si>
  <si>
    <t xml:space="preserve">     t.sk. preču un pakalpojumu izdevumi</t>
  </si>
  <si>
    <t xml:space="preserve">            pārējie izdevumi</t>
  </si>
  <si>
    <t xml:space="preserve">     aizņēmumu atmaksa</t>
  </si>
  <si>
    <t>Maksājumi par aizņēmumiem un kredītiem</t>
  </si>
  <si>
    <t xml:space="preserve">     procentu nomaksa par iekšējiem aizņēmumiem</t>
  </si>
  <si>
    <t xml:space="preserve">     procentu nomaksa par ārvalstu aizņēmumiem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</si>
  <si>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</si>
  <si>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</si>
  <si>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</si>
  <si>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</si>
  <si>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 dotācijas iestādēm un organizācijām</t>
  </si>
  <si>
    <t xml:space="preserve">     dotācijas iedzīvotājiem</t>
  </si>
  <si>
    <t>2.2.Izdevumi  kapitālieguldījumiem</t>
  </si>
  <si>
    <t>Kapitālie izdevumi</t>
  </si>
  <si>
    <t>Investīcijas</t>
  </si>
  <si>
    <t>Fiskālā bilance (1.-2.)</t>
  </si>
  <si>
    <t>Finansēšana</t>
  </si>
  <si>
    <t>Naudas līdzekļu atlikumu izmaiņas palielinājums (-) vai samazinājums (+)</t>
  </si>
  <si>
    <t>* - nav informācijas</t>
  </si>
  <si>
    <t>Valsts kases pārvaldnieks _______________________________________ (A.Veiss)</t>
  </si>
  <si>
    <t>Valsts kase / Pārskatu departaments</t>
  </si>
  <si>
    <t xml:space="preserve">          Valsts kases oficiālais mēneša pārskats</t>
  </si>
  <si>
    <t>6.tabula</t>
  </si>
  <si>
    <t xml:space="preserve">Valsts speciālā budżeta ieņēmumu un izdevumu atšifrējums </t>
  </si>
  <si>
    <t>pēc ekonomiskās klasifikācijas</t>
  </si>
  <si>
    <t>(1999.gada janvāris - maijs)</t>
  </si>
  <si>
    <t>(1999.gada janvāris -  maijs)</t>
  </si>
  <si>
    <t>Izpilde % pret gada plānu      (4/2)</t>
  </si>
  <si>
    <t>Izpilde % pret finansē-šanas plānu pārskata periodam           (4/3)</t>
  </si>
  <si>
    <t>Maija  izpilde</t>
  </si>
  <si>
    <t>1.Ieņēmumi - kopā</t>
  </si>
  <si>
    <t>Īpašiem mērķiem iezīmēti ieņēmumi</t>
  </si>
  <si>
    <t>Maksas pakalpojumi un citi pašu ieņēmumi</t>
  </si>
  <si>
    <t>2. Izdevumi - kopā (2.1.+2.2.)</t>
  </si>
  <si>
    <t xml:space="preserve">   valsts sociālās apdrošināšanas obligātās iemaksas</t>
  </si>
  <si>
    <t>iemaksas valsts pamatbudžetā</t>
  </si>
  <si>
    <t>izdevumi saskaņā ar likumu "Par valsts un pašvaldību īpašuma privatizācijas fondiem</t>
  </si>
  <si>
    <t xml:space="preserve"> pārējie izdevumi</t>
  </si>
  <si>
    <t xml:space="preserve">    procentu nomaksa par iekšējiem aizņēmumiem</t>
  </si>
  <si>
    <t xml:space="preserve">    procentu nomaksa par ārvalstu aizņēmumiem</t>
  </si>
  <si>
    <t xml:space="preserve">    dotācijas iestādēm un organizācijām</t>
  </si>
  <si>
    <t xml:space="preserve">    t.sk. pamatbudžetam sociālās apdrošināšanas iemaksu administrēšanai</t>
  </si>
  <si>
    <t>pārējiem</t>
  </si>
  <si>
    <t xml:space="preserve">    t.sk. pensijas</t>
  </si>
  <si>
    <t xml:space="preserve">           pabalsti</t>
  </si>
  <si>
    <t xml:space="preserve">          stipendijas</t>
  </si>
  <si>
    <t xml:space="preserve">          pārējie</t>
  </si>
  <si>
    <t xml:space="preserve">    iemaksas starptautiskajās organizācijās</t>
  </si>
  <si>
    <t>2.2.Izdevumi kapitālieguldījumiem</t>
  </si>
  <si>
    <t>Marta izpilde</t>
  </si>
  <si>
    <t>3.Valsts budžeta tīrie aizdevumi (3.1.-3.2.)</t>
  </si>
  <si>
    <t>3.1.Valsts budžeta aizdevumi</t>
  </si>
  <si>
    <t>3.2.Valsts budžeta aizdevumu atmaksas</t>
  </si>
  <si>
    <t>Fiskālā bilance (1.-2.-3.)</t>
  </si>
  <si>
    <t>Aizņēmums no pamatbudžeta</t>
  </si>
  <si>
    <t>Valsts speciālā budžeta naudas līdzekļu atlikumu izmaiņas palielinājums (-) vai samazinājums (+)</t>
  </si>
  <si>
    <t>5.tabula</t>
  </si>
  <si>
    <t xml:space="preserve"> Valsts kases oficiālais mēneša pārskats</t>
  </si>
  <si>
    <t xml:space="preserve">Valsts speciālā budżeta ieņēmumi un izdevumi pa ministrijām </t>
  </si>
  <si>
    <t>(1999.gada  janvāris - maijs)</t>
  </si>
  <si>
    <t xml:space="preserve"> (tūkst.latu)</t>
  </si>
  <si>
    <t>Izpilde % pret gada plānu 
   (4/2)</t>
  </si>
  <si>
    <t>Maija izpilde</t>
  </si>
  <si>
    <t>Finansēšanas plāns</t>
  </si>
  <si>
    <t xml:space="preserve">Ieņēmumi - kopā </t>
  </si>
  <si>
    <t xml:space="preserve">        Uzturēšanas izdevumi</t>
  </si>
  <si>
    <t xml:space="preserve">        Izdevumi kapitālieguldījumiem</t>
  </si>
  <si>
    <t>Valsts budžeta aizdevumi</t>
  </si>
  <si>
    <t>Valsts budžeta aizdevumu atmaksas</t>
  </si>
  <si>
    <t>Fiskālā bilance</t>
  </si>
  <si>
    <t>Ekonomikas ministrija</t>
  </si>
  <si>
    <t>Valsts īpašuma privatizācijas fonds</t>
  </si>
  <si>
    <t>Ieņēmumi</t>
  </si>
  <si>
    <t>Izdevumi</t>
  </si>
  <si>
    <t xml:space="preserve">     t.sk. iemaksas valsts pamatbudžetā</t>
  </si>
  <si>
    <t>Centrālā dzīvojamo māju privatizācijas komisija</t>
  </si>
  <si>
    <t>Finansu ministrija</t>
  </si>
  <si>
    <t>Transportlīdzekļu īpašnieku apdrošināšanas garantijas fonds</t>
  </si>
  <si>
    <t xml:space="preserve">    Atskaitījumi no obligātās apdrošināšanas prēmijām</t>
  </si>
  <si>
    <t xml:space="preserve">    Pārējie maksājumi</t>
  </si>
  <si>
    <t>Transportlīdzekļu īpašnieku apdrošināšanas apdrošinājuma ņēmēju interešu aizsardzības  fonds</t>
  </si>
  <si>
    <t xml:space="preserve">   Atskaitījumi no obligātās apdrošināšanas prēmijām</t>
  </si>
  <si>
    <t>Ceļu satiksmes negadījumu novēršana un profilakse</t>
  </si>
  <si>
    <t>Noguldījumu garantiju fonda veidošana, pārvaldīšana un izlietošana</t>
  </si>
  <si>
    <t xml:space="preserve">   Vienreizēja iemaksa saskaņā ar 1999.gada valsts budžetu</t>
  </si>
  <si>
    <t xml:space="preserve">   Atskaitījumi no komercbankām</t>
  </si>
  <si>
    <t>Izglītības un zinātnes ministrija</t>
  </si>
  <si>
    <t xml:space="preserve"> Speciālais budżets sporta vajadzībām</t>
  </si>
  <si>
    <t xml:space="preserve">    Ienākumi no izložu un azartspēļu nodevas un nodokļa maksājumiem</t>
  </si>
  <si>
    <t xml:space="preserve"> Studējošo un studiju kreditēšana</t>
  </si>
  <si>
    <t xml:space="preserve">    Valsts pamatbudžeta dotācija</t>
  </si>
  <si>
    <t>Zemkopības ministrija</t>
  </si>
  <si>
    <t xml:space="preserve"> Zivju fonds</t>
  </si>
  <si>
    <t xml:space="preserve">   Maksa par rūpnieciskās zvejas tiesību nomu un izmantošanu</t>
  </si>
  <si>
    <t>Meżsaimniecības attīstības fonds</t>
  </si>
  <si>
    <t xml:space="preserve">   Ieņēmumi no meža resursu realizācijas</t>
  </si>
  <si>
    <t xml:space="preserve">   Pārējie maksājumi</t>
  </si>
  <si>
    <t>Satiksmes ministrija</t>
  </si>
  <si>
    <t>Valsts autoceļu fonds</t>
  </si>
  <si>
    <t xml:space="preserve">    Transportlīdzekļu ikgadējā nodeva</t>
  </si>
  <si>
    <t xml:space="preserve">    60%  akcīzes nodoklis par naftas produktiem</t>
  </si>
  <si>
    <t xml:space="preserve">     Pārējie maksājumi</t>
  </si>
  <si>
    <t xml:space="preserve">        Izdevumi kapitālieguldļjumiem</t>
  </si>
  <si>
    <t xml:space="preserve"> Dzelzceļa infrastruktūras fonds</t>
  </si>
  <si>
    <t xml:space="preserve">   Maksas pakalpojumi un citi pašu ieņēmumi</t>
  </si>
  <si>
    <t xml:space="preserve">   Dotācija no Valsts autoceļu fonda</t>
  </si>
  <si>
    <t>Ostu attīstības fonds</t>
  </si>
  <si>
    <t xml:space="preserve">    Ostas un kuģošanas nodeva</t>
  </si>
  <si>
    <t>Lidostu nodeva</t>
  </si>
  <si>
    <t>Labklājības ministrija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</si>
  <si>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</si>
  <si>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</si>
  <si>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</si>
  <si>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</si>
  <si>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</si>
  <si>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</si>
  <si>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</si>
  <si>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      Izdevumi kapitālieguldījumiem</t>
  </si>
  <si>
    <t xml:space="preserve">     Darba negadījumu speciālais budžets</t>
  </si>
  <si>
    <t xml:space="preserve">    Invaliditātes, maternitātes un slimības speciālais budžets </t>
  </si>
  <si>
    <t xml:space="preserve">    Valsts sociālās apdrošināšanas aģentūra</t>
  </si>
  <si>
    <t>Valsts speciālais veselības aprūpes budžets</t>
  </si>
  <si>
    <t xml:space="preserve">   Iedzīvotāju ienākuma nodoklis</t>
  </si>
  <si>
    <t xml:space="preserve">   Valsts pamatbudžeta dotācija</t>
  </si>
  <si>
    <t>Vides aizsardzības un reģionālās attīstības ministrija</t>
  </si>
  <si>
    <t>Vides aizsardzības fonds</t>
  </si>
  <si>
    <t xml:space="preserve">    Dabas resursu nodoklis</t>
  </si>
  <si>
    <t xml:space="preserve">    Akcīzes nodoklis par kurināmajiem naftas produktiem</t>
  </si>
  <si>
    <t>Skrundas RLS zemes nomas maksas līdzekļi</t>
  </si>
  <si>
    <t>Kultūras ministrija</t>
  </si>
  <si>
    <t>Kultūrkapitāla fonds</t>
  </si>
  <si>
    <t xml:space="preserve">   Ienākumi no izložu un azartspēļu nodevas un nodokļa maksājumiem</t>
  </si>
  <si>
    <t>Radio un televīzija</t>
  </si>
  <si>
    <t xml:space="preserve">   Ieņēmumi no izsniegtajām licencēm</t>
  </si>
  <si>
    <t xml:space="preserve">   Ieņēmumi no kancelejas nodevām</t>
  </si>
  <si>
    <t>Īpašu uzdevumu ministra sadarbībai ar starptautiskajām finansu institūcijām sekretariāts</t>
  </si>
  <si>
    <t xml:space="preserve">   Ieņēmumi no finansu institūcijām sniegtajiem pakalpojumiem</t>
  </si>
  <si>
    <t>Valsts kases pārvaldnieks _______________________________________  (A.Veiss)</t>
  </si>
  <si>
    <t>1999.gada 15.maijs</t>
  </si>
  <si>
    <t>4.tabula</t>
  </si>
  <si>
    <t xml:space="preserve">           Valsts kases oficiālais mēneša pārskats</t>
  </si>
  <si>
    <t xml:space="preserve">Valsts pamatbudžeta ieņēmumu un izdevumu atšifrējums </t>
  </si>
  <si>
    <t>(1999.gada janvāris- maijs)</t>
  </si>
  <si>
    <t>Izpilde % pret finansēšanas plānu pārskata periodam       (4/3)</t>
  </si>
  <si>
    <t>1. Ieņēmumi - kopā</t>
  </si>
  <si>
    <t xml:space="preserve">   Dotācija no vispārējiem ieņēmumiem</t>
  </si>
  <si>
    <t xml:space="preserve">   Dotācija īpašiem mērķiem</t>
  </si>
  <si>
    <t>2.1. Uzturēšanas izdevumi</t>
  </si>
  <si>
    <t xml:space="preserve">     t.sk.          preču un pakalpojumu izdevumi</t>
  </si>
  <si>
    <t xml:space="preserve">     t.sk.         preču un pakalpojumu izdevumi</t>
  </si>
  <si>
    <t xml:space="preserve">                        pārējie izdevumi</t>
  </si>
  <si>
    <t xml:space="preserve">    aizņēmumu atmaksa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</si>
  <si>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</si>
  <si>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</si>
  <si>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</si>
  <si>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 xml:space="preserve">        t.sk.        speciālajam budžetam</t>
  </si>
  <si>
    <t xml:space="preserve">                 t.sk.           speciālajam budžetam</t>
  </si>
  <si>
    <t xml:space="preserve"> pārējiem</t>
  </si>
  <si>
    <t xml:space="preserve">      pārējiem</t>
  </si>
  <si>
    <t xml:space="preserve">              t.sk.          pensijas </t>
  </si>
  <si>
    <t xml:space="preserve">                 t.sk.            pensijas </t>
  </si>
  <si>
    <t xml:space="preserve"> pabalsti</t>
  </si>
  <si>
    <t xml:space="preserve">         pabalsti</t>
  </si>
  <si>
    <t xml:space="preserve">    stipendijas</t>
  </si>
  <si>
    <t xml:space="preserve">            stipendijas</t>
  </si>
  <si>
    <t xml:space="preserve"> pārējie</t>
  </si>
  <si>
    <t xml:space="preserve">        pārējie</t>
  </si>
  <si>
    <t xml:space="preserve">   iemaksas starptautiskajās organizācijās</t>
  </si>
  <si>
    <t>3. Valsts budžeta tīrie aizdevumi (3.1.-3.2.)</t>
  </si>
  <si>
    <t>Valsts kases pārvaldnieks _______________________________________ (AVeiss)</t>
  </si>
  <si>
    <t xml:space="preserve">Valsts kases oficiālais mēneša pārskats </t>
  </si>
  <si>
    <t>3.tabula</t>
  </si>
  <si>
    <t>Valsts pamatbudżeta izdevumi pa ministrijām un pasākumiem</t>
  </si>
  <si>
    <t xml:space="preserve">Finansēšanas plāns pārskata periodam </t>
  </si>
  <si>
    <t>Izpilde % pret gada plānu (4/2)</t>
  </si>
  <si>
    <t>Izpilde % pret finansēša-nas plānu pārskata periodam 
  (4/3)</t>
  </si>
  <si>
    <t>Maijs izpilde</t>
  </si>
  <si>
    <t>Maijs  izpilde</t>
  </si>
  <si>
    <t xml:space="preserve">   Izdevumi - kopā </t>
  </si>
  <si>
    <t xml:space="preserve">     Uzturēšanas izdevumi</t>
  </si>
  <si>
    <t xml:space="preserve">     Izdevumi kapitālieguldījumiem</t>
  </si>
  <si>
    <t>Valsts prezidenta kanceleja</t>
  </si>
  <si>
    <t>Saeima</t>
  </si>
  <si>
    <t>Ministru Kabinets</t>
  </si>
  <si>
    <t>Aizsardzības ministrija</t>
  </si>
  <si>
    <t>Ārlietu ministrija</t>
  </si>
  <si>
    <t>Iekšlietu ministrija</t>
  </si>
  <si>
    <t>Tieslietu ministrija</t>
  </si>
  <si>
    <t>Valsts zemes dienests</t>
  </si>
  <si>
    <t>Valsts kontrole</t>
  </si>
  <si>
    <t>Augstākā tiesa</t>
  </si>
  <si>
    <t>Satversmes tiesa</t>
  </si>
  <si>
    <t>Prokuratūra</t>
  </si>
  <si>
    <t>Centrālā vēlēšanu komisija</t>
  </si>
  <si>
    <t>Centrālā zemes komisija</t>
  </si>
  <si>
    <t>Satversmes aizsardzības birojs</t>
  </si>
  <si>
    <t>Valsts cilvēktiesību birojs</t>
  </si>
  <si>
    <t>Īpašu uzdevumu ministra sadarbībai  ar starptautiskajām finansu institūcijām sekretariāts</t>
  </si>
  <si>
    <t>Mērķdotācijas pašvaldībām</t>
  </si>
  <si>
    <t>Dotācija pašvaldībām</t>
  </si>
  <si>
    <t>Valsts kases pārvaldnieks ________________________________________ (A.Veiss)</t>
  </si>
  <si>
    <t xml:space="preserve">        (paraksts)</t>
  </si>
  <si>
    <t>1999.gada 15.marts</t>
  </si>
  <si>
    <t>Sastādīšanas datums</t>
  </si>
  <si>
    <t>2.tabula</t>
  </si>
  <si>
    <t>Valsts pamatbudžeta ieņēmumi (1999.gada janvāris- maijs)</t>
  </si>
  <si>
    <t>Valsts pamatbudžeta ieņēmumi (1999.gada janvāris-maijs)</t>
  </si>
  <si>
    <t>Gada sagaidāmā izpilde %</t>
  </si>
  <si>
    <t>Izpilde % pret gada plānu            (4/2)</t>
  </si>
  <si>
    <t>1.Ieņēmumi - kopā  (1.1.+1.2.+1.3.)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</si>
  <si>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</si>
  <si>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</si>
  <si>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</si>
  <si>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</si>
  <si>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</si>
  <si>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</si>
  <si>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</si>
  <si>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>Citiem budžetiem sadalāmie nodokļi *</t>
  </si>
  <si>
    <t>1.2. Nenodokļu ieņēmumi</t>
  </si>
  <si>
    <t xml:space="preserve">   Maksājumi par valsts kapitāla izmantošanu</t>
  </si>
  <si>
    <t xml:space="preserve">   Procentu maksājumi par kredītiem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</si>
  <si>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</si>
  <si>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</si>
  <si>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Ieņēmumi no valsts īpašuma iznomāšanas</t>
  </si>
  <si>
    <t xml:space="preserve">   Sodi un sankcijas</t>
  </si>
  <si>
    <t xml:space="preserve">   Pārējie nenodokļu ieņēmumi **</t>
  </si>
  <si>
    <t>t.sk. pārskaitījums valsts pamatbudžetā no Valsts autoceļu fonda</t>
  </si>
  <si>
    <t xml:space="preserve">  pārskaitījums valsts pamatbudžetā sociālās apdrošināšanas iemaksu administrēšanai</t>
  </si>
  <si>
    <t xml:space="preserve">   pārējie nenodokļu ieņēmumi</t>
  </si>
  <si>
    <t xml:space="preserve">   Valsts privatizācijas fonda iemaksas</t>
  </si>
  <si>
    <t xml:space="preserve">t.sk. iemaksas no Ekonomikas ministrijas speciālā budžeta           </t>
  </si>
  <si>
    <t xml:space="preserve">   Citas iemaksas par nekustamo īpašumu</t>
  </si>
  <si>
    <t>t.sk. Ieņēmumi no Skrundas lokatora nomas maksas 50% apmērā</t>
  </si>
  <si>
    <t xml:space="preserve">      Valsts nekustamā īpašuma aģentūras iemaksas no valsts nekustamā īpašuma pārdošanas</t>
  </si>
  <si>
    <t>1.3.Pašu ieņēmumi</t>
  </si>
  <si>
    <t xml:space="preserve">   Budžeta iestāžu ieņēmumi no maksas pakalpojumiem</t>
  </si>
  <si>
    <t>* - ieskaitot nesadalītās sociālās apdrošināšanas iemaksas - 1545393   tūkst.latu</t>
  </si>
  <si>
    <t>* - ieskaitot nesadalītās sociālās apdrošināšanas iemaksas -    1545 tūkst.latu</t>
  </si>
  <si>
    <t>** - ieskaitot procentus par valsts depozītu -   1588229    tūkst.latu</t>
  </si>
  <si>
    <t>** - ieskaitot procentus par valsts depozītu -   1588    tūkst.latu</t>
  </si>
  <si>
    <t>Valsts kases pārvaldnieks________________________________________(A.Veiss)</t>
  </si>
  <si>
    <t>Valsts kases pārvaldnieka  p.i______________________________________V.Lindemanis</t>
  </si>
  <si>
    <t>1.tabula</t>
  </si>
  <si>
    <t>Valsts konsolidētā budžeta izpilde (1999.gada janvāris -  maijs)</t>
  </si>
  <si>
    <t>Valsts konsolidētā budžeta izpilde (1999.gada janvāris - maijs)</t>
  </si>
  <si>
    <t>(tūkst. latu)</t>
  </si>
  <si>
    <t>Izpilde  % pret gada plānu         (3/2)</t>
  </si>
  <si>
    <t xml:space="preserve">Maija  izpilde </t>
  </si>
  <si>
    <t xml:space="preserve">Maija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</si>
  <si>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</si>
  <si>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</si>
  <si>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</si>
  <si>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</si>
  <si>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</si>
  <si>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</si>
  <si>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</si>
  <si>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</si>
  <si>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</si>
  <si>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</si>
  <si>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</si>
  <si>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</si>
  <si>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                                   mīnus transferts no valsts speciālā budžeta</t>
  </si>
  <si>
    <t xml:space="preserve">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</si>
  <si>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</si>
  <si>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</si>
  <si>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Nodokļu un nenodokļu ieņēmumi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</si>
  <si>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</si>
  <si>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</si>
  <si>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</si>
  <si>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Pārējie</t>
  </si>
  <si>
    <t xml:space="preserve">                                         mīnus transferts no valsts pamatbudžeta</t>
  </si>
  <si>
    <t xml:space="preserve">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</si>
  <si>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</si>
  <si>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</si>
  <si>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uzturēšanas izdevumi (B.2.1.+C.2.1.)</t>
  </si>
  <si>
    <t>A.2.1. Kopējie valsts budžeta uzturēšanas izdevumi (B.2.1.+C.2.1.)</t>
  </si>
  <si>
    <t>A.2.2. Kopējie valsts kapitālie izdevumi (B.2.2.+C.2.2.)</t>
  </si>
  <si>
    <t>A.2.2. Kopējie valsts budžeta kapitālie izdevumi (B.2.2.+C.2.2.)</t>
  </si>
  <si>
    <t>A.2.3. Kopējie valsts izdevumi investīcijām (B.2.3.+C.2.3.)</t>
  </si>
  <si>
    <t>A.2.3. Kopējie valsts budžeta izdevumi investīcijām (B.2.3.+C.2.3.)</t>
  </si>
  <si>
    <t>A.3. Valsts budžeta finansiālais deficīts (-), pārpalikums (+), (A.1.-A.2.)</t>
  </si>
  <si>
    <t>A.4. Kopējie valsts tīrie aizdevumi (B.4.+C.4.)</t>
  </si>
  <si>
    <t>Kopējie valsts izdevumi, ieskaitot tīros aizdevumus (A.2.+A.4.)</t>
  </si>
  <si>
    <t>Kopējie valsts budžeta izdevumi, ieskaitot tīros aizdevumus (A.2.+A.4.)</t>
  </si>
  <si>
    <t>A.5. Valsts budžeta fiskālais deficīts (-), pārpalikums (+), (A.3.-A.4.)</t>
  </si>
  <si>
    <t xml:space="preserve">  Valsts pamatbudžeta izdevumi (bruto)</t>
  </si>
  <si>
    <t xml:space="preserve">                             mīnus transferts valsts speciālajam  budžetam</t>
  </si>
  <si>
    <t xml:space="preserve">   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</si>
  <si>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</si>
  <si>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</si>
  <si>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</si>
  <si>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 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</si>
  <si>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</si>
  <si>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</si>
  <si>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</si>
  <si>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>Pārskata mēneša izpilde</t>
  </si>
  <si>
    <t xml:space="preserve">Marta izpilde 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</si>
  <si>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</si>
  <si>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</si>
  <si>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</si>
  <si>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</si>
  <si>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izdevumi </t>
  </si>
  <si>
    <t xml:space="preserve">     Valsts pamatbudžeta aizdevumi (bruto)</t>
  </si>
  <si>
    <t xml:space="preserve">     Valsts pamatbudžeta aizdevumi (neto)</t>
  </si>
  <si>
    <t xml:space="preserve">     Valsts pamatbudžeta aizdevumu atmaksas (bruto)</t>
  </si>
  <si>
    <t xml:space="preserve">                          mīnus transferts no valsts speciālā  budžeta</t>
  </si>
  <si>
    <t xml:space="preserve">                                mīnus transferts no valsts speciālā  budžeta</t>
  </si>
  <si>
    <t xml:space="preserve">     Valsts pamatbudžeta aizdevumu atmaksas (neto)</t>
  </si>
  <si>
    <t>B.5. Valsts pamatbudžeta fiskālais deficīts (-), pārpalikums (+), (B.3.- B.4.)</t>
  </si>
  <si>
    <t xml:space="preserve">  Valsts speciālā budžeta izdevumi (bruto)</t>
  </si>
  <si>
    <t xml:space="preserve">                           mīnus transferts valsts pamatbudžetam</t>
  </si>
  <si>
    <t xml:space="preserve">   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</si>
  <si>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</si>
  <si>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</si>
  <si>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</si>
  <si>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</si>
  <si>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</si>
  <si>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</si>
  <si>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</si>
  <si>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</si>
  <si>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</si>
  <si>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 xml:space="preserve">  C.4. Valsts speciālā budžeta tīrie izdevumi </t>
  </si>
  <si>
    <t xml:space="preserve">     Valsts speciālā budžeta aizdevumi (bruto)</t>
  </si>
  <si>
    <t xml:space="preserve">     Valsts speciālā budžeta aizdevumi (neto)</t>
  </si>
  <si>
    <t xml:space="preserve">     Valsts speciālā budžeta aizdevumu atmaksas (bruto)</t>
  </si>
  <si>
    <t xml:space="preserve">     Valsts speciālā budžeta aizdevumu atmaksas (neto)</t>
  </si>
  <si>
    <t>C.5. Valsts speciālā budžeta fiskālais deficīts (-), pārpalikums (+), (C.3.- C.4.)</t>
  </si>
  <si>
    <t xml:space="preserve">Valsts kases pārvaldnieks ______________________________  (V.Lindemanis)                                                                    </t>
  </si>
  <si>
    <t xml:space="preserve">Valsts kases pārvaldnieka p.i ______________________________  V.Lindemanis                                                                    </t>
  </si>
  <si>
    <t>Valsts kases oficiālais mēneša pārskats par valsts kopbudžeta izpildi                             ( 1999.gada janvāris - aprīlis )</t>
  </si>
  <si>
    <t>Valsts kases oficiālais mēneša pārskats par valsts kopbudžeta izpildi                             ( 1999.gada janvāris - maijs )</t>
  </si>
  <si>
    <t xml:space="preserve">                (tūkst.latu)</t>
  </si>
  <si>
    <t>Konsolidētais
valsts budžets*</t>
  </si>
  <si>
    <t>Konsolidētais
pašvaldību budžets</t>
  </si>
  <si>
    <t>Konsolidētais kopbudžets</t>
  </si>
  <si>
    <t>Aprīļa  izpilde</t>
  </si>
  <si>
    <t>1. Ieņēmumi (bruto)</t>
  </si>
  <si>
    <t>mīnus transferts no valsts pamatbudžeta pašvaldību budžetos</t>
  </si>
  <si>
    <t>mīnus transferts no valsts speciālā budžeta pašvaldību budžetos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</si>
  <si>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</si>
  <si>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</si>
  <si>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</si>
  <si>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</si>
  <si>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</si>
  <si>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</si>
  <si>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</si>
  <si>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</si>
  <si>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</si>
  <si>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</si>
  <si>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</si>
  <si>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>mīnus pašvaldību aizdevumu atmaksas valsts pamatbudžetam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</si>
  <si>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</si>
  <si>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</si>
  <si>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</si>
  <si>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</si>
  <si>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</si>
  <si>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</si>
  <si>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</si>
  <si>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</si>
  <si>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</si>
  <si>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No Latvijas Bankas</t>
  </si>
  <si>
    <t>Tīrais aizņēmumu apjoms</t>
  </si>
  <si>
    <t xml:space="preserve">         Depozītu apjoma izmaiņas</t>
  </si>
  <si>
    <t xml:space="preserve">         Skaidras naudas līdzekļu
         apjoma izmaiņas</t>
  </si>
  <si>
    <t xml:space="preserve">         Valsts iekšējā aizņēmuma vērtspapīri</t>
  </si>
  <si>
    <t>No komercbankām</t>
  </si>
  <si>
    <t xml:space="preserve"> Tīrais aizņēmumu apjoms</t>
  </si>
  <si>
    <t>Pārējā iekšējā finansēšana</t>
  </si>
  <si>
    <t>6.2. Ārējā finansēšana</t>
  </si>
  <si>
    <t>* ieskaitot budžeta iestāžu saņemtos ziedojumus un dāvinājumus</t>
  </si>
  <si>
    <t>Valsts kases pārvaldnieks __________________________________ A.Veiss</t>
  </si>
  <si>
    <t>Valsts kases pārvaldnieka p.i __________________________________ V.Lindemanis</t>
  </si>
  <si>
    <t>Valsts kase/Pārskatu departaments</t>
  </si>
  <si>
    <t>1999.gada 17.maijs</t>
  </si>
  <si>
    <t xml:space="preserve">                                       Valsts kases oficiālais mēneša pārskats</t>
  </si>
  <si>
    <t>11. tabula</t>
  </si>
  <si>
    <t xml:space="preserve">      9.tabula</t>
  </si>
  <si>
    <t>Pašvaldību pamatbudžeta ieņēmumi</t>
  </si>
  <si>
    <t>( 1999. gada janvāris - maijs )</t>
  </si>
  <si>
    <t>Gada plāns</t>
  </si>
  <si>
    <t>Izpilde % pret gada plānu (3/2)</t>
  </si>
  <si>
    <t>1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</si>
  <si>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</si>
  <si>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</si>
  <si>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</si>
  <si>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 *</t>
  </si>
  <si>
    <t xml:space="preserve">  Nekustamā īpašuma nodoklis</t>
  </si>
  <si>
    <t xml:space="preserve">  Īpašuma nodoklis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</si>
  <si>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</si>
  <si>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</si>
  <si>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</si>
  <si>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</si>
  <si>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</si>
  <si>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</si>
  <si>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</si>
  <si>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</si>
  <si>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</si>
  <si>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</si>
  <si>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</si>
  <si>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</si>
  <si>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</si>
  <si>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</si>
  <si>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</si>
  <si>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</si>
  <si>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</si>
  <si>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Dotācijas no IM valsts ģimnāzijām</t>
  </si>
  <si>
    <t>Mērķdotācijas</t>
  </si>
  <si>
    <t>Maksājumi no pašvaldību  finansu izlīdzināšanas fonda pašvaldību budžetiem</t>
  </si>
  <si>
    <t>Iepriekšējā gada nesaņemtā dotācija</t>
  </si>
  <si>
    <t>Pārējie maksājumi no pašvaldību finansu izlīdzināšanas fonda pašvaldību budžetiem</t>
  </si>
  <si>
    <t>Maksājumi no citiem budžetiem</t>
  </si>
  <si>
    <t>* nesadalītais atlikums   1 973  tūkst.latu</t>
  </si>
  <si>
    <t>* iedzīvotāju ienākuma nodokļa prognozes neizpildes kompensācija   3 272  tūkst.latu</t>
  </si>
  <si>
    <t>Valsts kases pārvaldnieka v.i.</t>
  </si>
  <si>
    <t>V. Lindemanis</t>
  </si>
  <si>
    <t xml:space="preserve">                                           Valsts kases oficiālais mēneša pārskats</t>
  </si>
  <si>
    <t>12. tabula</t>
  </si>
  <si>
    <t xml:space="preserve">Pašvaldību pamatbudžeta izdevumi </t>
  </si>
  <si>
    <t xml:space="preserve">                               (tūkst.latu)</t>
  </si>
  <si>
    <t>2</t>
  </si>
  <si>
    <t>3</t>
  </si>
  <si>
    <t>4</t>
  </si>
  <si>
    <t>5</t>
  </si>
  <si>
    <t>1. Izdevumi kopā (1.1. + 1.2.) *</t>
  </si>
  <si>
    <t>1.1. Izdevumi pēc valdības funkcijām</t>
  </si>
  <si>
    <t>Izpildvaras un likumdošanas varas institūcijas</t>
  </si>
  <si>
    <t>Brīvais laiks, sports, kultūra un reliģija</t>
  </si>
  <si>
    <t>Lauksaimniecība (zemkopība), mežkopība un zvejniecība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</si>
  <si>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</si>
  <si>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</si>
  <si>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</si>
  <si>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</si>
  <si>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Pārējie izdevumi, kas nav klasificēti citās pamatfunkcijās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</si>
  <si>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</si>
  <si>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</si>
  <si>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</si>
  <si>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</si>
  <si>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</si>
  <si>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</si>
  <si>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*   -   ieskaitot  tīros aizdevumus</t>
  </si>
  <si>
    <t xml:space="preserve">                     Valsts kases oficiālais mēneša pārskats</t>
  </si>
  <si>
    <t>13. tabula</t>
  </si>
  <si>
    <t>Pašvaldību pamatbudžeta izdevumu atšifrējums</t>
  </si>
  <si>
    <t xml:space="preserve">                                                             (tūkst.latu)</t>
  </si>
  <si>
    <t>2.Izdevumi  kopā (2.1. +2.2.)</t>
  </si>
  <si>
    <t>0010</t>
  </si>
  <si>
    <t xml:space="preserve">  atalgojumi </t>
  </si>
  <si>
    <t xml:space="preserve">  valsts sociālāis apdrošināšanas obligātās iemaksas </t>
  </si>
  <si>
    <t>1300</t>
  </si>
  <si>
    <t>1400</t>
  </si>
  <si>
    <t>1500</t>
  </si>
  <si>
    <t>1600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</si>
  <si>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</si>
  <si>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</si>
  <si>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</si>
  <si>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</si>
  <si>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</si>
  <si>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</si>
  <si>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</si>
  <si>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</si>
  <si>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</si>
  <si>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2.2. Izdevumi kapitālieguldījumiem</t>
  </si>
  <si>
    <t>6000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</si>
  <si>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</si>
  <si>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</si>
  <si>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</si>
  <si>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14. tabula</t>
  </si>
  <si>
    <t>Pašvaldību speciālā budžeta ieņēmumi un izdevumi</t>
  </si>
  <si>
    <t xml:space="preserve">                            (tūkst.latu)</t>
  </si>
  <si>
    <t>1. Ieņēmumi kopā (1.1. + 1.2.)</t>
  </si>
  <si>
    <t>1.1.Ieņēmumi no īpašiem mērķiem iezīmētu līdzekļu avotiem</t>
  </si>
  <si>
    <t xml:space="preserve">  Privatizācijas fonds</t>
  </si>
  <si>
    <t xml:space="preserve">  Dabas resursu nodoklis</t>
  </si>
  <si>
    <t xml:space="preserve">  Autoceļu (ielu) fonds</t>
  </si>
  <si>
    <t xml:space="preserve">  Pārējie ieņēmumi</t>
  </si>
  <si>
    <t>1.2.Ieņēmumi no ziedojumiem un dāvinājumiem</t>
  </si>
  <si>
    <t>2. Izdevumi kopā  (2.1. + 2.2.) *</t>
  </si>
  <si>
    <t>2.1.Izdevumi no īpašiem mērķiem iezīmētu līdzekļu avotiem</t>
  </si>
  <si>
    <t>2.2.Izdevumi no saņemto ziedojumu un dāvinājumu līdzekļiem</t>
  </si>
  <si>
    <t xml:space="preserve">                            Valsts kases oficiālais mēneša pārskats </t>
  </si>
  <si>
    <t>15. tabula</t>
  </si>
  <si>
    <t>Pašvaldību speciālā budžeta izdevumu atšifrējums</t>
  </si>
  <si>
    <t xml:space="preserve">                                    (tūkst.latu)</t>
  </si>
  <si>
    <t xml:space="preserve">                                  pārējie izdevumi</t>
  </si>
  <si>
    <t xml:space="preserve">      Valsts kases oficiālais mēneša pārskats</t>
  </si>
  <si>
    <t>16. tabula</t>
  </si>
  <si>
    <t xml:space="preserve">Pašvaldību pamatbudžeta izpildes rādītāji </t>
  </si>
  <si>
    <t xml:space="preserve">                                                     (tūkst. latu)</t>
  </si>
  <si>
    <t>Izdevumi **</t>
  </si>
  <si>
    <t xml:space="preserve">   Iekšējā finansēšana</t>
  </si>
  <si>
    <t>tai skaitā</t>
  </si>
  <si>
    <t>Pilsētas, rajona nosaukums</t>
  </si>
  <si>
    <t>Nodokļu un nenodokļu ieņēmumi *</t>
  </si>
  <si>
    <t>Saņemtie maksājumi</t>
  </si>
  <si>
    <t>Ieņēmumi kopā (2+3)</t>
  </si>
  <si>
    <t>Izdevumi pēc valdības funkcijām</t>
  </si>
  <si>
    <t>Norēķini</t>
  </si>
  <si>
    <t>Izdevumi kopā (5+6)</t>
  </si>
  <si>
    <t>Fiskālais deficīts (-), pārpalikums (+) (4-7)</t>
  </si>
  <si>
    <t>Finansēšana                   -(4-7)</t>
  </si>
  <si>
    <t>Budžeta līdzekļu izmaiņas (12-13)</t>
  </si>
  <si>
    <t>Līdzekļu atlikums gada sākumā</t>
  </si>
  <si>
    <t>Līdzekļu atlikums perioda beigās</t>
  </si>
  <si>
    <t>No komerc-
bankām</t>
  </si>
  <si>
    <t>Ārējā  finansēšana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</si>
  <si>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</si>
  <si>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</si>
  <si>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</si>
  <si>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</si>
  <si>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</si>
  <si>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</si>
  <si>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</si>
  <si>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</si>
  <si>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</si>
  <si>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</si>
  <si>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</si>
  <si>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</si>
  <si>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</si>
  <si>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</si>
  <si>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</si>
  <si>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</si>
  <si>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</si>
  <si>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</si>
  <si>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</si>
  <si>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</si>
  <si>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</si>
  <si>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</si>
  <si>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</si>
  <si>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</si>
  <si>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</si>
  <si>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</si>
  <si>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</si>
  <si>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</si>
  <si>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</si>
  <si>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</si>
  <si>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</si>
  <si>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</si>
  <si>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</si>
  <si>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</si>
  <si>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</si>
  <si>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</si>
  <si>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</si>
  <si>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</si>
  <si>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 -   neieskaitot iedzīvotāju ienākuma nodokļa atlikumu sadales kontā</t>
  </si>
  <si>
    <t xml:space="preserve">**  -   ieskaitot  tīros aizdevumus </t>
  </si>
  <si>
    <t xml:space="preserve">Valsts kases pārvaldnieka v.i. </t>
  </si>
  <si>
    <t>_______________________________</t>
  </si>
  <si>
    <t xml:space="preserve">Valsts kase / Pārskatu departaments </t>
  </si>
  <si>
    <t>15.06.99.</t>
  </si>
  <si>
    <t xml:space="preserve">                Valsts kases oficiālais pārskats</t>
  </si>
  <si>
    <t>17.tabula</t>
  </si>
  <si>
    <t>Pašvaldību speciālā budžeta izpildes rādītāji</t>
  </si>
  <si>
    <t xml:space="preserve">                            (tūkst. latu)</t>
  </si>
  <si>
    <t>Iekšējā finansēšana</t>
  </si>
  <si>
    <t>Rajona, pilsētas nosaukums</t>
  </si>
  <si>
    <t>Ieņēmumi kopā</t>
  </si>
  <si>
    <t>Izdevumi *   kopā</t>
  </si>
  <si>
    <t>Fiskālais deficīts (-), pārpalikums (+)       (2-3)</t>
  </si>
  <si>
    <t>Finansēšana       -(2-3)</t>
  </si>
  <si>
    <t>Budžeta līdzekļu izmaiņas         (8-9)</t>
  </si>
  <si>
    <t>Ārējā finansēšana</t>
  </si>
  <si>
    <t xml:space="preserve">*  -   ieskaitot  tīros aizdevumus </t>
  </si>
  <si>
    <t xml:space="preserve">                                      Valsts kases oficiālais mēneša pārskats</t>
  </si>
  <si>
    <t xml:space="preserve">                18. tabula</t>
  </si>
  <si>
    <t xml:space="preserve">                   Pašvaldību finansu izlīdzināšanas  fonda līdzekļi</t>
  </si>
  <si>
    <t xml:space="preserve">                   ( 1999. gada janvāris - maijs )</t>
  </si>
  <si>
    <t>(latos)</t>
  </si>
  <si>
    <t>Izpilde</t>
  </si>
  <si>
    <t xml:space="preserve">1. Ieņēmumi - kopā   </t>
  </si>
  <si>
    <t xml:space="preserve">Atlikums uz 1999.gada  1. janvāri </t>
  </si>
  <si>
    <t xml:space="preserve">Ieņēmumu prognozes neizpildes kompensācija - </t>
  </si>
  <si>
    <t>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</si>
  <si>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</si>
  <si>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</si>
  <si>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</si>
  <si>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</si>
  <si>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</si>
  <si>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Mērķdotācijas pašvaldību budžetiem</t>
  </si>
  <si>
    <t>3. Atlikums uz 1999.gada 1.jūniju (1.-2.)</t>
  </si>
  <si>
    <t>Valsts kases pārvaldnieka v.i.              __________________________________</t>
  </si>
  <si>
    <t xml:space="preserve">                                                                                         Valsts kases oficiālais mēneša pārskats</t>
  </si>
  <si>
    <t>19. tabula</t>
  </si>
  <si>
    <t>No valsts budžeta pārskaitītās mērķdotācijas pašvaldībām</t>
  </si>
  <si>
    <t xml:space="preserve">   ( 1999. gada janvāris - maijs )</t>
  </si>
  <si>
    <t xml:space="preserve">                (latos)</t>
  </si>
  <si>
    <t>Rajona vai pilsētas nosaukums</t>
  </si>
  <si>
    <t>Mērķdotācijas investīcijām   (8.pielikums)</t>
  </si>
  <si>
    <t xml:space="preserve">Mērķdotācijas specializētiem izglītības pasākumiem (6.pielikums) </t>
  </si>
  <si>
    <t xml:space="preserve">Mērķdotācijas pašvaldību pašdarbības kolektīviem (7.pielikums) </t>
  </si>
  <si>
    <t>Mērķdotācijas izglītības pasākumiem
(10.-14.pielikums)</t>
  </si>
  <si>
    <t xml:space="preserve">Mērķdotācijas kristīgās mācības un ētikas programmai (15.pielikums) </t>
  </si>
  <si>
    <t xml:space="preserve">Pārējās mērķdotā-cijas </t>
  </si>
  <si>
    <t>Mērķdotācijas teritoriālplānošanai</t>
  </si>
  <si>
    <t>Mērķdotācijas
 kopā              (2+3+4+5+6+7+8+9)</t>
  </si>
  <si>
    <t>1998.g.</t>
  </si>
  <si>
    <t>1999.g.</t>
  </si>
  <si>
    <t>Rīgas pilsēta</t>
  </si>
  <si>
    <t>Daugavpils pilsēta</t>
  </si>
  <si>
    <t>Jelgavas pilsēta</t>
  </si>
  <si>
    <t>Jūrmalas pilsēta</t>
  </si>
  <si>
    <t>Liepājas pilsēta</t>
  </si>
  <si>
    <t>Rēzeknes pilsēta</t>
  </si>
  <si>
    <t>Ventspils pilsēta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</si>
  <si>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</si>
  <si>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</si>
  <si>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</si>
  <si>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</si>
  <si>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</si>
  <si>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</si>
  <si>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</si>
  <si>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</si>
  <si>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</si>
  <si>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</si>
  <si>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</si>
  <si>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</si>
  <si>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</si>
  <si>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</si>
  <si>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</si>
  <si>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</si>
  <si>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</si>
  <si>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</si>
  <si>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</si>
  <si>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</si>
  <si>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</si>
  <si>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</si>
  <si>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</si>
  <si>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</si>
  <si>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</si>
  <si>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</si>
  <si>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 xml:space="preserve">   Kopā</t>
  </si>
  <si>
    <t>10. tabula</t>
  </si>
  <si>
    <t xml:space="preserve">Pašvaldību konsolidētā budžeta izpilde </t>
  </si>
  <si>
    <t>A.1. Kopējie ieņēmumi (B.1.+ C.1)</t>
  </si>
  <si>
    <t xml:space="preserve"> 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</si>
  <si>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</si>
  <si>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</si>
  <si>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</si>
  <si>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</si>
  <si>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                  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</si>
  <si>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</si>
  <si>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</si>
  <si>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</si>
  <si>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 xml:space="preserve">               Ieņēmumi no īpašiem mērķiem iezīmētu  līdzekļu  avotiem</t>
  </si>
  <si>
    <t xml:space="preserve">               Ieņēmumi no ziedojumiem un dāvinājumiem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</si>
  <si>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</si>
  <si>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</si>
  <si>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</si>
  <si>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</si>
  <si>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</si>
  <si>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</si>
  <si>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</si>
  <si>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</si>
  <si>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       (A.3.-A.4.)</t>
  </si>
  <si>
    <t xml:space="preserve">  Pašvaldību pamatbudžeta  izdevumi (bruto)</t>
  </si>
  <si>
    <t xml:space="preserve">                                mīnus  savstarpējo norēķinu kārtībā veiktie maksājumi</t>
  </si>
  <si>
    <t>B.2. Pašvaldību pamatbudžeta  izdevumi (neto)</t>
  </si>
  <si>
    <t xml:space="preserve">     Pašvaldību pamatbudžeta uzturēšanas izdevumi (bruto)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</si>
  <si>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</si>
  <si>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</si>
  <si>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</si>
  <si>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 (-), pārpalikums (+), (B.1.-B.2.)</t>
  </si>
  <si>
    <t xml:space="preserve">B.4.Pašvaldību pamatbudžeta  tīrie aizdevumi </t>
  </si>
  <si>
    <t xml:space="preserve">     Pašvaldību pamatbudžeta aizdevumi </t>
  </si>
  <si>
    <t xml:space="preserve">     Pašvaldību pamatbudžeta aizdevumu atmaksas </t>
  </si>
  <si>
    <t>B.5.Pašvaldību pamatbudžeta fiskālais deficīts (-), pārpalikums (+), (B.3.-B.4.)</t>
  </si>
  <si>
    <t xml:space="preserve">C.2. Pašvaldību speciālā budžeta  izdevumi 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</si>
  <si>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</si>
  <si>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</si>
  <si>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</si>
  <si>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(+), (C.1.- C.2.)</t>
  </si>
  <si>
    <t>C.4.Pašvaldību speciālā budžeta  tīrie aizdevumi (neto)</t>
  </si>
  <si>
    <t xml:space="preserve">     Pašvaldību speciālā budžeta aizdevumi (neto)</t>
  </si>
  <si>
    <t xml:space="preserve">     Pašvaldību speciālā budžeta aizdevumu atmaksas (neto)</t>
  </si>
</sst>
</file>

<file path=xl/styles.xml><?xml version="1.0" encoding="utf-8"?>
<styleSheet xmlns="http://schemas.openxmlformats.org/spreadsheetml/2006/main">
  <numFmts count="62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#\ ##0"/>
    <numFmt numFmtId="173" formatCode="###,###,###"/>
    <numFmt numFmtId="174" formatCode="0.0%"/>
    <numFmt numFmtId="175" formatCode="00.000"/>
    <numFmt numFmtId="176" formatCode="#,###%"/>
    <numFmt numFmtId="177" formatCode="###,###"/>
    <numFmt numFmtId="178" formatCode="#,###.0%"/>
    <numFmt numFmtId="179" formatCode="###.0%"/>
    <numFmt numFmtId="180" formatCode="00.0%"/>
    <numFmt numFmtId="181" formatCode="###0"/>
    <numFmt numFmtId="182" formatCode="#,##0\ &quot;LVR&quot;;\-#,##0\ &quot;LVR&quot;"/>
    <numFmt numFmtId="183" formatCode="#,##0\ &quot;LVR&quot;;[Red]\-#,##0\ &quot;LVR&quot;"/>
    <numFmt numFmtId="184" formatCode="#,##0.00\ &quot;LVR&quot;;\-#,##0.00\ &quot;LVR&quot;"/>
    <numFmt numFmtId="185" formatCode="#,##0.00\ &quot;LVR&quot;;[Red]\-#,##0.00\ &quot;LVR&quot;"/>
    <numFmt numFmtId="186" formatCode="_-* #,##0\ &quot;LVR&quot;_-;\-* #,##0\ &quot;LVR&quot;_-;_-* &quot;-&quot;\ &quot;LVR&quot;_-;_-@_-"/>
    <numFmt numFmtId="187" formatCode="_-* #,##0\ _L_V_R_-;\-* #,##0\ _L_V_R_-;_-* &quot;-&quot;\ _L_V_R_-;_-@_-"/>
    <numFmt numFmtId="188" formatCode="_-* #,##0.00\ &quot;LVR&quot;_-;\-* #,##0.00\ &quot;LVR&quot;_-;_-* &quot;-&quot;??\ &quot;LVR&quot;_-;_-@_-"/>
    <numFmt numFmtId="189" formatCode="_-* #,##0.00\ _L_V_R_-;\-* #,##0.00\ _L_V_R_-;_-* &quot;-&quot;??\ _L_V_R_-;_-@_-"/>
    <numFmt numFmtId="190" formatCode="&quot;Ls&quot;#,##0_);\(&quot;Ls&quot;#,##0\)"/>
    <numFmt numFmtId="191" formatCode="&quot;Ls&quot;#,##0_);[Red]\(&quot;Ls&quot;#,##0\)"/>
    <numFmt numFmtId="192" formatCode="&quot;Ls&quot;#,##0.00_);\(&quot;Ls&quot;#,##0.00\)"/>
    <numFmt numFmtId="193" formatCode="&quot;Ls&quot;#,##0.00_);[Red]\(&quot;Ls&quot;#,##0.00\)"/>
    <numFmt numFmtId="194" formatCode="_(&quot;Ls&quot;* #,##0_);_(&quot;Ls&quot;* \(#,##0\);_(&quot;Ls&quot;* &quot;-&quot;_);_(@_)"/>
    <numFmt numFmtId="195" formatCode="_(&quot;Ls&quot;* #,##0.00_);_(&quot;Ls&quot;* \(#,##0.00\);_(&quot;Ls&quot;* &quot;-&quot;??_);_(@_)"/>
    <numFmt numFmtId="196" formatCode="#,###,##0"/>
    <numFmt numFmtId="197" formatCode="#,000"/>
    <numFmt numFmtId="198" formatCode="#,###,000"/>
    <numFmt numFmtId="199" formatCode="#,"/>
    <numFmt numFmtId="200" formatCode="0,"/>
    <numFmt numFmtId="201" formatCode="##0"/>
    <numFmt numFmtId="202" formatCode="#0,"/>
    <numFmt numFmtId="203" formatCode="#,#00"/>
    <numFmt numFmtId="204" formatCode="#."/>
    <numFmt numFmtId="205" formatCode="##0,"/>
    <numFmt numFmtId="206" formatCode="##0,###"/>
    <numFmt numFmtId="207" formatCode="#,###"/>
    <numFmt numFmtId="208" formatCode="\ #,"/>
    <numFmt numFmtId="209" formatCode="\ #"/>
    <numFmt numFmtId="210" formatCode="#,###,000.0"/>
    <numFmt numFmtId="211" formatCode="_(* #,##0.000_);_(* \(#,##0.000\);_(* &quot;-&quot;??_);_(@_)"/>
    <numFmt numFmtId="212" formatCode="_(* #,##0.0_);_(* \(#,##0.0\);_(* &quot;-&quot;??_);_(@_)"/>
    <numFmt numFmtId="213" formatCode="_(* #,##0_);_(* \(#,##0\);_(* &quot;-&quot;??_);_(@_)"/>
    <numFmt numFmtId="214" formatCode="#\ ###\ ##0"/>
    <numFmt numFmtId="215" formatCode="#\ ###\ \ ##0"/>
    <numFmt numFmtId="216" formatCode="###,##0,"/>
    <numFmt numFmtId="217" formatCode="#,###,"/>
  </numFmts>
  <fonts count="23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0"/>
      <name val="RimTimes"/>
      <family val="0"/>
    </font>
    <font>
      <b/>
      <sz val="10"/>
      <name val="RimTimes"/>
      <family val="0"/>
    </font>
    <font>
      <i/>
      <sz val="8"/>
      <name val="Times New Roman"/>
      <family val="0"/>
    </font>
    <font>
      <i/>
      <sz val="11"/>
      <name val="Arial"/>
      <family val="2"/>
    </font>
    <font>
      <sz val="8"/>
      <name val="Times New Roman"/>
      <family val="0"/>
    </font>
    <font>
      <b/>
      <sz val="14"/>
      <name val="Arial"/>
      <family val="2"/>
    </font>
    <font>
      <sz val="12"/>
      <name val="Arial"/>
      <family val="2"/>
    </font>
    <font>
      <sz val="8.5"/>
      <name val="MS Sans Serif"/>
      <family val="0"/>
    </font>
    <font>
      <sz val="8.5"/>
      <name val="Arial"/>
      <family val="2"/>
    </font>
    <font>
      <b/>
      <sz val="8.5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172" fontId="5" fillId="0" borderId="1" xfId="0" applyNumberFormat="1" applyFont="1" applyBorder="1" applyAlignment="1">
      <alignment/>
    </xf>
    <xf numFmtId="10" fontId="6" fillId="0" borderId="1" xfId="22" applyNumberFormat="1" applyFont="1" applyBorder="1" applyAlignment="1">
      <alignment/>
    </xf>
    <xf numFmtId="173" fontId="7" fillId="0" borderId="1" xfId="0" applyNumberFormat="1" applyFont="1" applyBorder="1" applyAlignment="1">
      <alignment horizontal="right"/>
    </xf>
    <xf numFmtId="174" fontId="7" fillId="0" borderId="1" xfId="22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10" fontId="3" fillId="0" borderId="1" xfId="22" applyNumberFormat="1" applyFont="1" applyBorder="1" applyAlignment="1">
      <alignment/>
    </xf>
    <xf numFmtId="0" fontId="3" fillId="0" borderId="1" xfId="0" applyFont="1" applyBorder="1" applyAlignment="1">
      <alignment/>
    </xf>
    <xf numFmtId="175" fontId="3" fillId="0" borderId="1" xfId="0" applyNumberFormat="1" applyFont="1" applyBorder="1" applyAlignment="1">
      <alignment horizontal="center"/>
    </xf>
    <xf numFmtId="173" fontId="3" fillId="0" borderId="1" xfId="0" applyNumberFormat="1" applyFont="1" applyBorder="1" applyAlignment="1">
      <alignment horizontal="right"/>
    </xf>
    <xf numFmtId="174" fontId="3" fillId="0" borderId="1" xfId="22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172" fontId="0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72" fontId="1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72" fontId="7" fillId="0" borderId="1" xfId="0" applyNumberFormat="1" applyFont="1" applyBorder="1" applyAlignment="1">
      <alignment/>
    </xf>
    <xf numFmtId="10" fontId="7" fillId="0" borderId="1" xfId="22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176" fontId="6" fillId="0" borderId="1" xfId="22" applyNumberFormat="1" applyFont="1" applyBorder="1" applyAlignment="1">
      <alignment/>
    </xf>
    <xf numFmtId="0" fontId="7" fillId="0" borderId="1" xfId="0" applyFont="1" applyBorder="1" applyAlignment="1">
      <alignment horizontal="right" wrapText="1"/>
    </xf>
    <xf numFmtId="177" fontId="7" fillId="0" borderId="1" xfId="0" applyNumberFormat="1" applyFont="1" applyBorder="1" applyAlignment="1">
      <alignment horizontal="right" wrapText="1"/>
    </xf>
    <xf numFmtId="9" fontId="7" fillId="0" borderId="1" xfId="22" applyNumberFormat="1" applyFont="1" applyBorder="1" applyAlignment="1">
      <alignment/>
    </xf>
    <xf numFmtId="0" fontId="3" fillId="0" borderId="1" xfId="0" applyFont="1" applyBorder="1" applyAlignment="1">
      <alignment horizontal="right" wrapText="1"/>
    </xf>
    <xf numFmtId="176" fontId="3" fillId="0" borderId="1" xfId="22" applyNumberFormat="1" applyFont="1" applyBorder="1" applyAlignment="1">
      <alignment horizontal="right"/>
    </xf>
    <xf numFmtId="9" fontId="6" fillId="0" borderId="1" xfId="22" applyNumberFormat="1" applyFont="1" applyBorder="1" applyAlignment="1">
      <alignment/>
    </xf>
    <xf numFmtId="172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72" fontId="6" fillId="0" borderId="1" xfId="0" applyNumberFormat="1" applyFont="1" applyBorder="1" applyAlignment="1">
      <alignment horizontal="right"/>
    </xf>
    <xf numFmtId="176" fontId="3" fillId="0" borderId="1" xfId="22" applyNumberFormat="1" applyFont="1" applyBorder="1" applyAlignment="1">
      <alignment/>
    </xf>
    <xf numFmtId="172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172" fontId="10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172" fontId="5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2" fontId="1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172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172" fontId="0" fillId="0" borderId="0" xfId="0" applyNumberFormat="1" applyFont="1" applyAlignment="1">
      <alignment/>
    </xf>
    <xf numFmtId="172" fontId="12" fillId="0" borderId="0" xfId="0" applyNumberFormat="1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centerContinuous"/>
    </xf>
    <xf numFmtId="172" fontId="10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3" fillId="0" borderId="0" xfId="0" applyFont="1" applyAlignment="1">
      <alignment/>
    </xf>
    <xf numFmtId="174" fontId="6" fillId="0" borderId="1" xfId="22" applyNumberFormat="1" applyFont="1" applyBorder="1" applyAlignment="1">
      <alignment/>
    </xf>
    <xf numFmtId="173" fontId="5" fillId="0" borderId="1" xfId="0" applyNumberFormat="1" applyFont="1" applyBorder="1" applyAlignment="1">
      <alignment horizontal="right" wrapText="1"/>
    </xf>
    <xf numFmtId="174" fontId="5" fillId="0" borderId="1" xfId="22" applyNumberFormat="1" applyFont="1" applyBorder="1" applyAlignment="1">
      <alignment/>
    </xf>
    <xf numFmtId="173" fontId="3" fillId="0" borderId="1" xfId="0" applyNumberFormat="1" applyFont="1" applyBorder="1" applyAlignment="1">
      <alignment horizontal="right" wrapText="1"/>
    </xf>
    <xf numFmtId="173" fontId="5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/>
    </xf>
    <xf numFmtId="172" fontId="6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 horizontal="right" wrapText="1"/>
    </xf>
    <xf numFmtId="173" fontId="6" fillId="0" borderId="1" xfId="0" applyNumberFormat="1" applyFont="1" applyBorder="1" applyAlignment="1">
      <alignment/>
    </xf>
    <xf numFmtId="173" fontId="6" fillId="0" borderId="1" xfId="0" applyNumberFormat="1" applyFont="1" applyBorder="1" applyAlignment="1">
      <alignment/>
    </xf>
    <xf numFmtId="172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 horizontal="right" vertical="center" wrapText="1"/>
    </xf>
    <xf numFmtId="10" fontId="3" fillId="0" borderId="1" xfId="0" applyNumberFormat="1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/>
    </xf>
    <xf numFmtId="172" fontId="10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 horizontal="center" wrapText="1"/>
    </xf>
    <xf numFmtId="173" fontId="10" fillId="0" borderId="1" xfId="0" applyNumberFormat="1" applyFont="1" applyBorder="1" applyAlignment="1">
      <alignment horizontal="center"/>
    </xf>
    <xf numFmtId="173" fontId="10" fillId="0" borderId="1" xfId="0" applyNumberFormat="1" applyFont="1" applyBorder="1" applyAlignment="1">
      <alignment horizontal="right" wrapText="1"/>
    </xf>
    <xf numFmtId="0" fontId="11" fillId="0" borderId="0" xfId="0" applyFont="1" applyAlignment="1">
      <alignment/>
    </xf>
    <xf numFmtId="172" fontId="10" fillId="0" borderId="1" xfId="0" applyNumberFormat="1" applyFont="1" applyBorder="1" applyAlignment="1">
      <alignment horizontal="right"/>
    </xf>
    <xf numFmtId="174" fontId="10" fillId="0" borderId="1" xfId="22" applyNumberFormat="1" applyFont="1" applyBorder="1" applyAlignment="1">
      <alignment/>
    </xf>
    <xf numFmtId="176" fontId="10" fillId="0" borderId="1" xfId="22" applyNumberFormat="1" applyFont="1" applyBorder="1" applyAlignment="1">
      <alignment horizontal="center"/>
    </xf>
    <xf numFmtId="172" fontId="0" fillId="0" borderId="1" xfId="0" applyNumberFormat="1" applyBorder="1" applyAlignment="1">
      <alignment/>
    </xf>
    <xf numFmtId="173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173" fontId="7" fillId="0" borderId="1" xfId="0" applyNumberFormat="1" applyFont="1" applyBorder="1" applyAlignment="1">
      <alignment horizontal="right" wrapText="1"/>
    </xf>
    <xf numFmtId="173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72" fontId="7" fillId="0" borderId="1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 horizontal="center" wrapText="1"/>
    </xf>
    <xf numFmtId="172" fontId="1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10" fontId="7" fillId="0" borderId="0" xfId="0" applyNumberFormat="1" applyFont="1" applyBorder="1" applyAlignment="1">
      <alignment horizontal="center" wrapText="1"/>
    </xf>
    <xf numFmtId="10" fontId="1" fillId="0" borderId="0" xfId="0" applyNumberFormat="1" applyFont="1" applyBorder="1" applyAlignment="1">
      <alignment horizontal="centerContinuous"/>
    </xf>
    <xf numFmtId="17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72" fontId="10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173" fontId="7" fillId="0" borderId="1" xfId="0" applyNumberFormat="1" applyFont="1" applyBorder="1" applyAlignment="1">
      <alignment/>
    </xf>
    <xf numFmtId="0" fontId="13" fillId="0" borderId="0" xfId="0" applyFont="1" applyAlignment="1">
      <alignment/>
    </xf>
    <xf numFmtId="178" fontId="6" fillId="0" borderId="1" xfId="22" applyNumberFormat="1" applyFont="1" applyBorder="1" applyAlignment="1">
      <alignment/>
    </xf>
    <xf numFmtId="178" fontId="3" fillId="0" borderId="1" xfId="22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73" fontId="10" fillId="0" borderId="1" xfId="0" applyNumberFormat="1" applyFont="1" applyBorder="1" applyAlignment="1">
      <alignment/>
    </xf>
    <xf numFmtId="178" fontId="10" fillId="0" borderId="1" xfId="22" applyNumberFormat="1" applyFont="1" applyBorder="1" applyAlignment="1">
      <alignment/>
    </xf>
    <xf numFmtId="0" fontId="15" fillId="0" borderId="0" xfId="0" applyFont="1" applyAlignment="1">
      <alignment/>
    </xf>
    <xf numFmtId="172" fontId="0" fillId="0" borderId="1" xfId="0" applyNumberFormat="1" applyFont="1" applyBorder="1" applyAlignment="1">
      <alignment/>
    </xf>
    <xf numFmtId="17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 wrapText="1"/>
    </xf>
    <xf numFmtId="3" fontId="10" fillId="0" borderId="1" xfId="0" applyNumberFormat="1" applyFont="1" applyBorder="1" applyAlignment="1">
      <alignment horizontal="righ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179" fontId="7" fillId="0" borderId="1" xfId="22" applyNumberFormat="1" applyFont="1" applyBorder="1" applyAlignment="1">
      <alignment/>
    </xf>
    <xf numFmtId="179" fontId="3" fillId="0" borderId="1" xfId="22" applyNumberFormat="1" applyFont="1" applyBorder="1" applyAlignment="1">
      <alignment/>
    </xf>
    <xf numFmtId="173" fontId="7" fillId="0" borderId="1" xfId="0" applyNumberFormat="1" applyFont="1" applyBorder="1" applyAlignment="1">
      <alignment/>
    </xf>
    <xf numFmtId="179" fontId="6" fillId="0" borderId="1" xfId="22" applyNumberFormat="1" applyFont="1" applyBorder="1" applyAlignment="1">
      <alignment/>
    </xf>
    <xf numFmtId="10" fontId="3" fillId="0" borderId="1" xfId="0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0" fillId="0" borderId="1" xfId="0" applyFont="1" applyBorder="1" applyAlignment="1">
      <alignment horizontal="left" wrapText="1"/>
    </xf>
    <xf numFmtId="17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0" fontId="11" fillId="0" borderId="0" xfId="0" applyFont="1" applyBorder="1" applyAlignment="1">
      <alignment/>
    </xf>
    <xf numFmtId="173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/>
    </xf>
    <xf numFmtId="173" fontId="3" fillId="0" borderId="1" xfId="0" applyNumberFormat="1" applyFont="1" applyBorder="1" applyAlignment="1">
      <alignment horizontal="center" wrapText="1"/>
    </xf>
    <xf numFmtId="172" fontId="1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179" fontId="5" fillId="0" borderId="1" xfId="22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vertical="center" wrapText="1"/>
    </xf>
    <xf numFmtId="17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10" fontId="1" fillId="0" borderId="0" xfId="0" applyNumberFormat="1" applyFont="1" applyBorder="1" applyAlignment="1">
      <alignment wrapText="1"/>
    </xf>
    <xf numFmtId="172" fontId="1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/>
    </xf>
    <xf numFmtId="10" fontId="3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wrapText="1"/>
    </xf>
    <xf numFmtId="10" fontId="5" fillId="0" borderId="1" xfId="0" applyNumberFormat="1" applyFont="1" applyBorder="1" applyAlignment="1">
      <alignment/>
    </xf>
    <xf numFmtId="174" fontId="5" fillId="0" borderId="1" xfId="0" applyNumberFormat="1" applyFont="1" applyBorder="1" applyAlignment="1">
      <alignment/>
    </xf>
    <xf numFmtId="180" fontId="5" fillId="0" borderId="1" xfId="22" applyNumberFormat="1" applyFont="1" applyBorder="1" applyAlignment="1">
      <alignment/>
    </xf>
    <xf numFmtId="174" fontId="7" fillId="0" borderId="1" xfId="0" applyNumberFormat="1" applyFont="1" applyBorder="1" applyAlignment="1">
      <alignment/>
    </xf>
    <xf numFmtId="180" fontId="7" fillId="0" borderId="1" xfId="22" applyNumberFormat="1" applyFont="1" applyBorder="1" applyAlignment="1">
      <alignment/>
    </xf>
    <xf numFmtId="174" fontId="6" fillId="0" borderId="1" xfId="0" applyNumberFormat="1" applyFont="1" applyBorder="1" applyAlignment="1">
      <alignment/>
    </xf>
    <xf numFmtId="180" fontId="6" fillId="0" borderId="1" xfId="22" applyNumberFormat="1" applyFont="1" applyBorder="1" applyAlignment="1">
      <alignment/>
    </xf>
    <xf numFmtId="10" fontId="3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180" fontId="3" fillId="0" borderId="1" xfId="22" applyNumberFormat="1" applyFont="1" applyBorder="1" applyAlignment="1">
      <alignment/>
    </xf>
    <xf numFmtId="174" fontId="10" fillId="0" borderId="1" xfId="0" applyNumberFormat="1" applyFont="1" applyBorder="1" applyAlignment="1">
      <alignment/>
    </xf>
    <xf numFmtId="180" fontId="10" fillId="0" borderId="1" xfId="22" applyNumberFormat="1" applyFont="1" applyBorder="1" applyAlignment="1">
      <alignment/>
    </xf>
    <xf numFmtId="0" fontId="10" fillId="0" borderId="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0" fontId="3" fillId="0" borderId="0" xfId="22" applyNumberFormat="1" applyFont="1" applyBorder="1" applyAlignment="1">
      <alignment/>
    </xf>
    <xf numFmtId="172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Alignment="1">
      <alignment horizontal="centerContinuous"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1" fillId="0" borderId="1" xfId="0" applyFont="1" applyBorder="1" applyAlignment="1">
      <alignment vertical="center"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5" fillId="0" borderId="0" xfId="0" applyFont="1" applyBorder="1" applyAlignment="1">
      <alignment wrapText="1"/>
    </xf>
    <xf numFmtId="173" fontId="3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19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172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172" fontId="6" fillId="0" borderId="1" xfId="0" applyNumberFormat="1" applyFont="1" applyBorder="1" applyAlignment="1">
      <alignment wrapText="1"/>
    </xf>
    <xf numFmtId="172" fontId="0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left" vertical="center"/>
    </xf>
    <xf numFmtId="0" fontId="3" fillId="0" borderId="0" xfId="21" applyFont="1">
      <alignment/>
      <protection/>
    </xf>
    <xf numFmtId="3" fontId="3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72" fontId="3" fillId="0" borderId="1" xfId="0" applyNumberFormat="1" applyFont="1" applyBorder="1" applyAlignment="1">
      <alignment wrapText="1"/>
    </xf>
    <xf numFmtId="172" fontId="0" fillId="0" borderId="1" xfId="0" applyNumberFormat="1" applyFont="1" applyBorder="1" applyAlignment="1">
      <alignment horizontal="left" vertical="center" wrapText="1"/>
    </xf>
    <xf numFmtId="172" fontId="0" fillId="0" borderId="1" xfId="0" applyNumberFormat="1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181" fontId="0" fillId="0" borderId="0" xfId="0" applyNumberFormat="1" applyFont="1" applyAlignment="1">
      <alignment horizontal="centerContinuous"/>
    </xf>
    <xf numFmtId="172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172" fontId="3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0" fillId="0" borderId="0" xfId="21" applyNumberFormat="1" applyFont="1" applyAlignment="1">
      <alignment horizontal="centerContinuous" vertical="top" wrapText="1"/>
      <protection/>
    </xf>
    <xf numFmtId="0" fontId="0" fillId="0" borderId="0" xfId="21" applyFont="1" applyAlignment="1">
      <alignment horizontal="centerContinuous"/>
      <protection/>
    </xf>
    <xf numFmtId="0" fontId="21" fillId="0" borderId="0" xfId="21" applyFont="1">
      <alignment/>
      <protection/>
    </xf>
    <xf numFmtId="0" fontId="0" fillId="0" borderId="0" xfId="21" applyFont="1" applyAlignment="1">
      <alignment horizontal="left"/>
      <protection/>
    </xf>
    <xf numFmtId="49" fontId="2" fillId="0" borderId="0" xfId="21" applyNumberFormat="1" applyFont="1" applyAlignment="1">
      <alignment horizontal="centerContinuous" vertical="top" wrapText="1"/>
      <protection/>
    </xf>
    <xf numFmtId="49" fontId="19" fillId="0" borderId="0" xfId="21" applyNumberFormat="1" applyFont="1" applyAlignment="1">
      <alignment horizontal="centerContinuous" vertical="top" wrapText="1"/>
      <protection/>
    </xf>
    <xf numFmtId="0" fontId="19" fillId="0" borderId="0" xfId="21" applyFont="1" applyAlignment="1">
      <alignment horizontal="centerContinuous"/>
      <protection/>
    </xf>
    <xf numFmtId="0" fontId="19" fillId="0" borderId="0" xfId="21" applyFont="1">
      <alignment/>
      <protection/>
    </xf>
    <xf numFmtId="49" fontId="21" fillId="0" borderId="0" xfId="21" applyNumberFormat="1" applyFont="1" applyAlignment="1">
      <alignment vertical="top" wrapText="1"/>
      <protection/>
    </xf>
    <xf numFmtId="0" fontId="21" fillId="0" borderId="0" xfId="21" applyFont="1" applyAlignment="1">
      <alignment horizontal="centerContinuous"/>
      <protection/>
    </xf>
    <xf numFmtId="49" fontId="3" fillId="0" borderId="0" xfId="21" applyNumberFormat="1" applyFont="1" applyAlignment="1">
      <alignment vertical="top" wrapText="1"/>
      <protection/>
    </xf>
    <xf numFmtId="0" fontId="3" fillId="0" borderId="0" xfId="21" applyFont="1" applyAlignment="1">
      <alignment horizontal="centerContinuous"/>
      <protection/>
    </xf>
    <xf numFmtId="49" fontId="3" fillId="0" borderId="1" xfId="21" applyNumberFormat="1" applyFont="1" applyFill="1" applyBorder="1" applyAlignment="1">
      <alignment horizontal="centerContinuous" vertical="center"/>
      <protection/>
    </xf>
    <xf numFmtId="49" fontId="3" fillId="0" borderId="1" xfId="21" applyNumberFormat="1" applyFont="1" applyFill="1" applyBorder="1" applyAlignment="1">
      <alignment horizontal="center" vertical="center" wrapText="1"/>
      <protection/>
    </xf>
    <xf numFmtId="0" fontId="0" fillId="0" borderId="0" xfId="21" applyFont="1">
      <alignment/>
      <protection/>
    </xf>
    <xf numFmtId="49" fontId="3" fillId="0" borderId="1" xfId="21" applyNumberFormat="1" applyFont="1" applyFill="1" applyBorder="1" applyAlignment="1">
      <alignment horizontal="center" vertical="top" wrapText="1"/>
      <protection/>
    </xf>
    <xf numFmtId="3" fontId="5" fillId="0" borderId="1" xfId="21" applyNumberFormat="1" applyFont="1" applyBorder="1" applyAlignment="1">
      <alignment horizontal="center"/>
      <protection/>
    </xf>
    <xf numFmtId="3" fontId="1" fillId="0" borderId="1" xfId="21" applyNumberFormat="1" applyFont="1" applyBorder="1">
      <alignment/>
      <protection/>
    </xf>
    <xf numFmtId="4" fontId="1" fillId="0" borderId="1" xfId="21" applyNumberFormat="1" applyFont="1" applyBorder="1">
      <alignment/>
      <protection/>
    </xf>
    <xf numFmtId="49" fontId="5" fillId="0" borderId="1" xfId="21" applyNumberFormat="1" applyFont="1" applyFill="1" applyBorder="1" applyAlignment="1">
      <alignment horizontal="center" vertical="top" wrapText="1"/>
      <protection/>
    </xf>
    <xf numFmtId="3" fontId="5" fillId="0" borderId="1" xfId="21" applyNumberFormat="1" applyFont="1" applyBorder="1" applyAlignment="1">
      <alignment horizontal="left"/>
      <protection/>
    </xf>
    <xf numFmtId="3" fontId="6" fillId="0" borderId="1" xfId="21" applyNumberFormat="1" applyFont="1" applyBorder="1" applyAlignment="1">
      <alignment horizontal="left"/>
      <protection/>
    </xf>
    <xf numFmtId="3" fontId="3" fillId="0" borderId="1" xfId="21" applyNumberFormat="1" applyFont="1" applyBorder="1">
      <alignment/>
      <protection/>
    </xf>
    <xf numFmtId="49" fontId="3" fillId="0" borderId="1" xfId="21" applyNumberFormat="1" applyFont="1" applyFill="1" applyBorder="1" applyAlignment="1">
      <alignment vertical="top" wrapText="1"/>
      <protection/>
    </xf>
    <xf numFmtId="49" fontId="5" fillId="0" borderId="1" xfId="21" applyNumberFormat="1" applyFont="1" applyFill="1" applyBorder="1" applyAlignment="1">
      <alignment vertical="top" wrapText="1"/>
      <protection/>
    </xf>
    <xf numFmtId="3" fontId="6" fillId="0" borderId="1" xfId="21" applyNumberFormat="1" applyFont="1" applyBorder="1" applyAlignment="1">
      <alignment horizontal="center"/>
      <protection/>
    </xf>
    <xf numFmtId="49" fontId="6" fillId="0" borderId="1" xfId="21" applyNumberFormat="1" applyFont="1" applyFill="1" applyBorder="1" applyAlignment="1">
      <alignment horizontal="center" vertical="top" wrapText="1"/>
      <protection/>
    </xf>
    <xf numFmtId="0" fontId="21" fillId="0" borderId="0" xfId="21" applyFont="1" applyBorder="1" applyAlignment="1">
      <alignment horizontal="left"/>
      <protection/>
    </xf>
    <xf numFmtId="0" fontId="1" fillId="0" borderId="0" xfId="21" applyFont="1" applyAlignment="1">
      <alignment horizontal="center"/>
      <protection/>
    </xf>
    <xf numFmtId="0" fontId="21" fillId="0" borderId="0" xfId="21" applyFont="1" applyAlignment="1">
      <alignment horizontal="left"/>
      <protection/>
    </xf>
    <xf numFmtId="0" fontId="21" fillId="0" borderId="0" xfId="21" applyFont="1" applyBorder="1" applyAlignment="1">
      <alignment horizontal="center"/>
      <protection/>
    </xf>
    <xf numFmtId="49" fontId="0" fillId="0" borderId="0" xfId="21" applyNumberFormat="1" applyFont="1" applyAlignment="1">
      <alignment vertical="top" wrapText="1"/>
      <protection/>
    </xf>
    <xf numFmtId="49" fontId="1" fillId="0" borderId="0" xfId="21" applyNumberFormat="1" applyFont="1" applyAlignment="1">
      <alignment horizontal="left" vertical="top" wrapText="1"/>
      <protection/>
    </xf>
    <xf numFmtId="49" fontId="1" fillId="0" borderId="0" xfId="21" applyNumberFormat="1" applyFont="1" applyAlignment="1">
      <alignment vertical="top" wrapText="1"/>
      <protection/>
    </xf>
    <xf numFmtId="49" fontId="1" fillId="0" borderId="3" xfId="21" applyNumberFormat="1" applyFont="1" applyBorder="1" applyAlignment="1">
      <alignment horizontal="center"/>
      <protection/>
    </xf>
    <xf numFmtId="49" fontId="1" fillId="0" borderId="0" xfId="21" applyNumberFormat="1" applyFont="1" applyBorder="1" applyAlignment="1">
      <alignment horizontal="center"/>
      <protection/>
    </xf>
    <xf numFmtId="0" fontId="1" fillId="0" borderId="0" xfId="21" applyFont="1">
      <alignment/>
      <protection/>
    </xf>
    <xf numFmtId="49" fontId="21" fillId="0" borderId="0" xfId="21" applyNumberFormat="1" applyFont="1" applyAlignment="1">
      <alignment horizontal="left" vertical="top" wrapText="1"/>
      <protection/>
    </xf>
    <xf numFmtId="0" fontId="3" fillId="0" borderId="0" xfId="21" applyFont="1" applyAlignment="1">
      <alignment horizontal="left"/>
      <protection/>
    </xf>
    <xf numFmtId="0" fontId="21" fillId="0" borderId="0" xfId="21" applyFont="1" applyAlignment="1">
      <alignment/>
      <protection/>
    </xf>
    <xf numFmtId="49" fontId="3" fillId="0" borderId="0" xfId="21" applyNumberFormat="1" applyFont="1" applyAlignment="1">
      <alignment horizontal="centerContinuous" vertical="top" wrapText="1"/>
      <protection/>
    </xf>
    <xf numFmtId="49" fontId="21" fillId="0" borderId="0" xfId="21" applyNumberFormat="1" applyFont="1" applyAlignment="1">
      <alignment horizontal="centerContinuous" vertical="top" wrapText="1"/>
      <protection/>
    </xf>
    <xf numFmtId="49" fontId="3" fillId="0" borderId="0" xfId="21" applyNumberFormat="1" applyFont="1" applyAlignment="1">
      <alignment horizontal="center" vertical="top" wrapText="1"/>
      <protection/>
    </xf>
    <xf numFmtId="0" fontId="3" fillId="0" borderId="0" xfId="21" applyFont="1" applyAlignment="1">
      <alignment/>
      <protection/>
    </xf>
    <xf numFmtId="49" fontId="3" fillId="0" borderId="4" xfId="21" applyNumberFormat="1" applyFont="1" applyFill="1" applyBorder="1" applyAlignment="1">
      <alignment horizontal="center" vertical="center" wrapText="1"/>
      <protection/>
    </xf>
    <xf numFmtId="49" fontId="3" fillId="0" borderId="5" xfId="21" applyNumberFormat="1" applyFont="1" applyFill="1" applyBorder="1" applyAlignment="1">
      <alignment horizontal="center" vertical="center" wrapText="1"/>
      <protection/>
    </xf>
    <xf numFmtId="49" fontId="3" fillId="0" borderId="6" xfId="21" applyNumberFormat="1" applyFont="1" applyFill="1" applyBorder="1" applyAlignment="1">
      <alignment horizontal="center" vertical="center" wrapText="1"/>
      <protection/>
    </xf>
    <xf numFmtId="49" fontId="3" fillId="0" borderId="7" xfId="21" applyNumberFormat="1" applyFont="1" applyFill="1" applyBorder="1" applyAlignment="1">
      <alignment horizontal="center" vertical="top" wrapText="1"/>
      <protection/>
    </xf>
    <xf numFmtId="49" fontId="3" fillId="0" borderId="8" xfId="21" applyNumberFormat="1" applyFont="1" applyFill="1" applyBorder="1" applyAlignment="1">
      <alignment horizontal="center" vertical="top" wrapText="1"/>
      <protection/>
    </xf>
    <xf numFmtId="49" fontId="5" fillId="0" borderId="7" xfId="21" applyNumberFormat="1" applyFont="1" applyFill="1" applyBorder="1" applyAlignment="1">
      <alignment horizontal="center" vertical="top" wrapText="1"/>
      <protection/>
    </xf>
    <xf numFmtId="3" fontId="1" fillId="0" borderId="8" xfId="21" applyNumberFormat="1" applyFont="1" applyBorder="1">
      <alignment/>
      <protection/>
    </xf>
    <xf numFmtId="49" fontId="5" fillId="0" borderId="7" xfId="21" applyNumberFormat="1" applyFont="1" applyFill="1" applyBorder="1" applyAlignment="1">
      <alignment horizontal="left" vertical="top" wrapText="1"/>
      <protection/>
    </xf>
    <xf numFmtId="49" fontId="3" fillId="0" borderId="7" xfId="21" applyNumberFormat="1" applyFont="1" applyFill="1" applyBorder="1" applyAlignment="1">
      <alignment vertical="top" wrapText="1"/>
      <protection/>
    </xf>
    <xf numFmtId="49" fontId="6" fillId="0" borderId="7" xfId="21" applyNumberFormat="1" applyFont="1" applyFill="1" applyBorder="1" applyAlignment="1">
      <alignment horizontal="center" vertical="top" wrapText="1"/>
      <protection/>
    </xf>
    <xf numFmtId="49" fontId="3" fillId="0" borderId="7" xfId="21" applyNumberFormat="1" applyFont="1" applyFill="1" applyBorder="1" applyAlignment="1">
      <alignment horizontal="left" vertical="top" wrapText="1"/>
      <protection/>
    </xf>
    <xf numFmtId="49" fontId="3" fillId="0" borderId="9" xfId="21" applyNumberFormat="1" applyFont="1" applyFill="1" applyBorder="1" applyAlignment="1">
      <alignment horizontal="left" vertical="top" wrapText="1"/>
      <protection/>
    </xf>
    <xf numFmtId="3" fontId="1" fillId="0" borderId="10" xfId="21" applyNumberFormat="1" applyFont="1" applyBorder="1">
      <alignment/>
      <protection/>
    </xf>
    <xf numFmtId="3" fontId="1" fillId="0" borderId="11" xfId="21" applyNumberFormat="1" applyFont="1" applyBorder="1">
      <alignment/>
      <protection/>
    </xf>
    <xf numFmtId="0" fontId="1" fillId="0" borderId="0" xfId="21" applyFont="1" applyAlignment="1">
      <alignment horizontal="left"/>
      <protection/>
    </xf>
    <xf numFmtId="49" fontId="1" fillId="0" borderId="0" xfId="21" applyNumberFormat="1" applyFont="1" applyFill="1" applyBorder="1" applyAlignment="1">
      <alignment vertical="top" wrapText="1"/>
      <protection/>
    </xf>
    <xf numFmtId="49" fontId="1" fillId="0" borderId="0" xfId="21" applyNumberFormat="1" applyFont="1" applyFill="1" applyBorder="1" applyAlignment="1">
      <alignment horizontal="center" vertical="top" wrapText="1"/>
      <protection/>
    </xf>
    <xf numFmtId="3" fontId="1" fillId="0" borderId="0" xfId="21" applyNumberFormat="1" applyFont="1" applyBorder="1">
      <alignment/>
      <protection/>
    </xf>
    <xf numFmtId="49" fontId="1" fillId="0" borderId="0" xfId="21" applyNumberFormat="1" applyFont="1" applyAlignment="1">
      <alignment horizontal="center" vertical="top" wrapText="1"/>
      <protection/>
    </xf>
    <xf numFmtId="0" fontId="1" fillId="0" borderId="3" xfId="21" applyFont="1" applyBorder="1" applyAlignment="1">
      <alignment/>
      <protection/>
    </xf>
    <xf numFmtId="49" fontId="1" fillId="0" borderId="0" xfId="21" applyNumberFormat="1" applyFont="1" applyBorder="1">
      <alignment/>
      <protection/>
    </xf>
    <xf numFmtId="0" fontId="1" fillId="0" borderId="0" xfId="21" applyFont="1" applyAlignment="1">
      <alignment/>
      <protection/>
    </xf>
    <xf numFmtId="49" fontId="21" fillId="0" borderId="0" xfId="21" applyNumberFormat="1" applyFont="1" applyAlignment="1">
      <alignment horizontal="center" vertical="top" wrapText="1"/>
      <protection/>
    </xf>
    <xf numFmtId="49" fontId="0" fillId="0" borderId="0" xfId="21" applyNumberFormat="1" applyFont="1" applyAlignment="1">
      <alignment horizontal="right" vertical="top" wrapText="1"/>
      <protection/>
    </xf>
    <xf numFmtId="49" fontId="4" fillId="0" borderId="0" xfId="21" applyNumberFormat="1" applyFont="1" applyAlignment="1">
      <alignment horizontal="centerContinuous" vertical="top" wrapText="1"/>
      <protection/>
    </xf>
    <xf numFmtId="49" fontId="6" fillId="0" borderId="7" xfId="21" applyNumberFormat="1" applyFont="1" applyFill="1" applyBorder="1" applyAlignment="1">
      <alignment horizontal="left" vertical="top" wrapText="1"/>
      <protection/>
    </xf>
    <xf numFmtId="49" fontId="10" fillId="0" borderId="7" xfId="21" applyNumberFormat="1" applyFont="1" applyFill="1" applyBorder="1" applyAlignment="1">
      <alignment horizontal="left" vertical="top" wrapText="1"/>
      <protection/>
    </xf>
    <xf numFmtId="3" fontId="21" fillId="0" borderId="0" xfId="21" applyNumberFormat="1" applyFont="1" applyAlignment="1">
      <alignment horizontal="left"/>
      <protection/>
    </xf>
    <xf numFmtId="4" fontId="1" fillId="0" borderId="10" xfId="21" applyNumberFormat="1" applyFont="1" applyBorder="1">
      <alignment/>
      <protection/>
    </xf>
    <xf numFmtId="49" fontId="5" fillId="0" borderId="9" xfId="21" applyNumberFormat="1" applyFont="1" applyFill="1" applyBorder="1" applyAlignment="1">
      <alignment horizontal="left" vertical="top" wrapText="1"/>
      <protection/>
    </xf>
    <xf numFmtId="49" fontId="3" fillId="0" borderId="0" xfId="21" applyNumberFormat="1" applyFont="1" applyAlignment="1">
      <alignment horizontal="left" vertical="top" wrapText="1"/>
      <protection/>
    </xf>
    <xf numFmtId="0" fontId="3" fillId="0" borderId="7" xfId="21" applyFont="1" applyBorder="1" applyAlignment="1">
      <alignment horizontal="center"/>
      <protection/>
    </xf>
    <xf numFmtId="3" fontId="3" fillId="0" borderId="1" xfId="21" applyNumberFormat="1" applyFont="1" applyBorder="1" applyAlignment="1">
      <alignment horizontal="center"/>
      <protection/>
    </xf>
    <xf numFmtId="0" fontId="3" fillId="0" borderId="1" xfId="21" applyNumberFormat="1" applyFont="1" applyBorder="1" applyAlignment="1">
      <alignment horizontal="center"/>
      <protection/>
    </xf>
    <xf numFmtId="0" fontId="3" fillId="0" borderId="8" xfId="21" applyNumberFormat="1" applyFont="1" applyBorder="1" applyAlignment="1">
      <alignment horizontal="center"/>
      <protection/>
    </xf>
    <xf numFmtId="0" fontId="5" fillId="0" borderId="7" xfId="21" applyFont="1" applyBorder="1" applyAlignment="1">
      <alignment horizontal="left" vertical="top" wrapText="1"/>
      <protection/>
    </xf>
    <xf numFmtId="2" fontId="1" fillId="0" borderId="1" xfId="21" applyNumberFormat="1" applyFont="1" applyBorder="1">
      <alignment/>
      <protection/>
    </xf>
    <xf numFmtId="0" fontId="3" fillId="0" borderId="7" xfId="21" applyFont="1" applyBorder="1" applyAlignment="1">
      <alignment vertical="top" wrapText="1"/>
      <protection/>
    </xf>
    <xf numFmtId="0" fontId="5" fillId="0" borderId="7" xfId="21" applyFont="1" applyBorder="1" applyAlignment="1">
      <alignment vertical="top" wrapText="1"/>
      <protection/>
    </xf>
    <xf numFmtId="0" fontId="5" fillId="0" borderId="9" xfId="21" applyFont="1" applyBorder="1" applyAlignment="1">
      <alignment vertical="top" wrapText="1"/>
      <protection/>
    </xf>
    <xf numFmtId="2" fontId="1" fillId="0" borderId="10" xfId="21" applyNumberFormat="1" applyFont="1" applyBorder="1">
      <alignment/>
      <protection/>
    </xf>
    <xf numFmtId="0" fontId="21" fillId="0" borderId="0" xfId="21" applyFont="1" applyAlignment="1">
      <alignment horizontal="center"/>
      <protection/>
    </xf>
    <xf numFmtId="0" fontId="0" fillId="0" borderId="0" xfId="21" applyFont="1" applyAlignment="1">
      <alignment horizontal="right"/>
      <protection/>
    </xf>
    <xf numFmtId="0" fontId="3" fillId="0" borderId="3" xfId="21" applyFont="1" applyBorder="1">
      <alignment/>
      <protection/>
    </xf>
    <xf numFmtId="0" fontId="3" fillId="0" borderId="3" xfId="21" applyFont="1" applyBorder="1" applyAlignment="1">
      <alignment horizontal="centerContinuous"/>
      <protection/>
    </xf>
    <xf numFmtId="4" fontId="1" fillId="0" borderId="0" xfId="21" applyNumberFormat="1" applyFont="1" applyBorder="1">
      <alignment/>
      <protection/>
    </xf>
    <xf numFmtId="0" fontId="21" fillId="0" borderId="3" xfId="21" applyFont="1" applyBorder="1">
      <alignment/>
      <protection/>
    </xf>
    <xf numFmtId="0" fontId="1" fillId="0" borderId="0" xfId="21" applyFont="1" applyBorder="1" applyAlignment="1">
      <alignment/>
      <protection/>
    </xf>
    <xf numFmtId="49" fontId="1" fillId="0" borderId="0" xfId="21" applyNumberFormat="1" applyFont="1">
      <alignment/>
      <protection/>
    </xf>
    <xf numFmtId="0" fontId="0" fillId="0" borderId="0" xfId="21" applyFont="1" applyAlignment="1">
      <alignment/>
      <protection/>
    </xf>
    <xf numFmtId="49" fontId="0" fillId="0" borderId="0" xfId="21" applyNumberFormat="1" applyFont="1" applyAlignment="1">
      <alignment horizontal="center" vertical="top" wrapText="1"/>
      <protection/>
    </xf>
    <xf numFmtId="0" fontId="0" fillId="0" borderId="0" xfId="21" applyFont="1" applyAlignment="1">
      <alignment wrapText="1"/>
      <protection/>
    </xf>
    <xf numFmtId="0" fontId="21" fillId="0" borderId="0" xfId="21" applyFont="1" applyAlignment="1">
      <alignment wrapText="1"/>
      <protection/>
    </xf>
    <xf numFmtId="0" fontId="1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 wrapText="1"/>
      <protection/>
    </xf>
    <xf numFmtId="0" fontId="2" fillId="0" borderId="0" xfId="21" applyFont="1" applyAlignment="1">
      <alignment horizontal="centerContinuous"/>
      <protection/>
    </xf>
    <xf numFmtId="0" fontId="22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6" fillId="0" borderId="0" xfId="21" applyFont="1" applyAlignment="1">
      <alignment horizontal="centerContinuous" wrapText="1"/>
      <protection/>
    </xf>
    <xf numFmtId="0" fontId="0" fillId="0" borderId="12" xfId="21" applyFont="1" applyBorder="1" applyAlignment="1">
      <alignment wrapText="1"/>
      <protection/>
    </xf>
    <xf numFmtId="0" fontId="3" fillId="0" borderId="13" xfId="21" applyFont="1" applyBorder="1" applyAlignment="1">
      <alignment horizontal="centerContinuous"/>
      <protection/>
    </xf>
    <xf numFmtId="0" fontId="3" fillId="0" borderId="14" xfId="21" applyFont="1" applyBorder="1" applyAlignment="1">
      <alignment horizontal="centerContinuous"/>
      <protection/>
    </xf>
    <xf numFmtId="0" fontId="0" fillId="0" borderId="15" xfId="21" applyFont="1" applyBorder="1" applyAlignment="1">
      <alignment/>
      <protection/>
    </xf>
    <xf numFmtId="0" fontId="3" fillId="0" borderId="14" xfId="21" applyFont="1" applyBorder="1" applyAlignment="1">
      <alignment horizontal="centerContinuous" vertical="center"/>
      <protection/>
    </xf>
    <xf numFmtId="0" fontId="3" fillId="0" borderId="13" xfId="21" applyFont="1" applyBorder="1" applyAlignment="1">
      <alignment horizontal="centerContinuous" vertical="center" wrapText="1"/>
      <protection/>
    </xf>
    <xf numFmtId="0" fontId="0" fillId="0" borderId="13" xfId="21" applyFont="1" applyBorder="1" applyAlignment="1">
      <alignment horizontal="centerContinuous"/>
      <protection/>
    </xf>
    <xf numFmtId="0" fontId="0" fillId="0" borderId="16" xfId="21" applyFont="1" applyBorder="1" applyAlignment="1">
      <alignment horizontal="center"/>
      <protection/>
    </xf>
    <xf numFmtId="0" fontId="3" fillId="0" borderId="17" xfId="21" applyFont="1" applyBorder="1" applyAlignment="1">
      <alignment wrapText="1"/>
      <protection/>
    </xf>
    <xf numFmtId="0" fontId="3" fillId="0" borderId="18" xfId="21" applyFont="1" applyBorder="1" applyAlignment="1">
      <alignment/>
      <protection/>
    </xf>
    <xf numFmtId="0" fontId="3" fillId="0" borderId="19" xfId="21" applyFont="1" applyBorder="1" applyAlignment="1">
      <alignment horizontal="centerContinuous"/>
      <protection/>
    </xf>
    <xf numFmtId="0" fontId="3" fillId="0" borderId="20" xfId="21" applyFont="1" applyBorder="1" applyAlignment="1">
      <alignment horizontal="center"/>
      <protection/>
    </xf>
    <xf numFmtId="49" fontId="3" fillId="0" borderId="17" xfId="21" applyNumberFormat="1" applyFont="1" applyBorder="1" applyAlignment="1">
      <alignment horizontal="center" vertical="top" wrapText="1"/>
      <protection/>
    </xf>
    <xf numFmtId="49" fontId="3" fillId="0" borderId="21" xfId="21" applyNumberFormat="1" applyFont="1" applyBorder="1" applyAlignment="1">
      <alignment horizontal="center" vertical="center" wrapText="1"/>
      <protection/>
    </xf>
    <xf numFmtId="49" fontId="3" fillId="0" borderId="0" xfId="21" applyNumberFormat="1" applyFont="1" applyAlignment="1">
      <alignment horizontal="center" vertical="center" wrapText="1"/>
      <protection/>
    </xf>
    <xf numFmtId="49" fontId="3" fillId="0" borderId="18" xfId="21" applyNumberFormat="1" applyFont="1" applyBorder="1" applyAlignment="1">
      <alignment horizontal="center" vertical="center" wrapText="1"/>
      <protection/>
    </xf>
    <xf numFmtId="0" fontId="3" fillId="0" borderId="18" xfId="21" applyFont="1" applyBorder="1" applyAlignment="1">
      <alignment horizontal="center" vertical="center" wrapText="1"/>
      <protection/>
    </xf>
    <xf numFmtId="49" fontId="3" fillId="0" borderId="20" xfId="21" applyNumberFormat="1" applyFont="1" applyBorder="1" applyAlignment="1">
      <alignment horizontal="center" vertical="center" wrapText="1"/>
      <protection/>
    </xf>
    <xf numFmtId="49" fontId="3" fillId="0" borderId="0" xfId="21" applyNumberFormat="1" applyFont="1">
      <alignment/>
      <protection/>
    </xf>
    <xf numFmtId="0" fontId="3" fillId="0" borderId="7" xfId="21" applyFont="1" applyBorder="1" applyAlignment="1">
      <alignment horizontal="center" wrapText="1"/>
      <protection/>
    </xf>
    <xf numFmtId="0" fontId="3" fillId="0" borderId="1" xfId="21" applyFont="1" applyBorder="1" applyAlignment="1">
      <alignment horizontal="center"/>
      <protection/>
    </xf>
    <xf numFmtId="0" fontId="3" fillId="0" borderId="8" xfId="21" applyFont="1" applyBorder="1" applyAlignment="1">
      <alignment horizontal="center"/>
      <protection/>
    </xf>
    <xf numFmtId="3" fontId="5" fillId="0" borderId="22" xfId="21" applyNumberFormat="1" applyFont="1" applyBorder="1">
      <alignment/>
      <protection/>
    </xf>
    <xf numFmtId="205" fontId="21" fillId="0" borderId="1" xfId="21" applyNumberFormat="1" applyFont="1" applyBorder="1">
      <alignment/>
      <protection/>
    </xf>
    <xf numFmtId="205" fontId="21" fillId="0" borderId="8" xfId="21" applyNumberFormat="1" applyFont="1" applyBorder="1">
      <alignment/>
      <protection/>
    </xf>
    <xf numFmtId="3" fontId="3" fillId="0" borderId="7" xfId="21" applyNumberFormat="1" applyFont="1" applyBorder="1">
      <alignment/>
      <protection/>
    </xf>
    <xf numFmtId="216" fontId="1" fillId="0" borderId="1" xfId="21" applyNumberFormat="1" applyFont="1" applyBorder="1">
      <alignment/>
      <protection/>
    </xf>
    <xf numFmtId="216" fontId="1" fillId="0" borderId="8" xfId="21" applyNumberFormat="1" applyFont="1" applyBorder="1">
      <alignment/>
      <protection/>
    </xf>
    <xf numFmtId="3" fontId="3" fillId="0" borderId="22" xfId="21" applyNumberFormat="1" applyFont="1" applyBorder="1">
      <alignment/>
      <protection/>
    </xf>
    <xf numFmtId="0" fontId="5" fillId="0" borderId="0" xfId="21" applyFont="1">
      <alignment/>
      <protection/>
    </xf>
    <xf numFmtId="0" fontId="5" fillId="0" borderId="23" xfId="21" applyFont="1" applyBorder="1" applyAlignment="1">
      <alignment horizontal="right" wrapText="1"/>
      <protection/>
    </xf>
    <xf numFmtId="216" fontId="1" fillId="0" borderId="10" xfId="21" applyNumberFormat="1" applyFont="1" applyBorder="1">
      <alignment/>
      <protection/>
    </xf>
    <xf numFmtId="216" fontId="1" fillId="0" borderId="11" xfId="21" applyNumberFormat="1" applyFont="1" applyBorder="1">
      <alignment/>
      <protection/>
    </xf>
    <xf numFmtId="0" fontId="3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49" fontId="1" fillId="0" borderId="0" xfId="21" applyNumberFormat="1" applyFont="1" applyBorder="1" applyAlignment="1">
      <alignment/>
      <protection/>
    </xf>
    <xf numFmtId="49" fontId="1" fillId="0" borderId="0" xfId="21" applyNumberFormat="1" applyFont="1" applyBorder="1" applyAlignment="1">
      <alignment horizontal="center" vertical="top" wrapText="1"/>
      <protection/>
    </xf>
    <xf numFmtId="0" fontId="1" fillId="0" borderId="0" xfId="21" applyFont="1" applyBorder="1" applyAlignment="1">
      <alignment horizontal="center"/>
      <protection/>
    </xf>
    <xf numFmtId="0" fontId="21" fillId="0" borderId="0" xfId="21" applyFont="1" applyBorder="1" applyAlignment="1">
      <alignment wrapText="1"/>
      <protection/>
    </xf>
    <xf numFmtId="0" fontId="21" fillId="0" borderId="0" xfId="21" applyFont="1" applyBorder="1">
      <alignment/>
      <protection/>
    </xf>
    <xf numFmtId="0" fontId="1" fillId="0" borderId="0" xfId="21" applyFont="1" applyBorder="1" applyAlignment="1">
      <alignment horizontal="left"/>
      <protection/>
    </xf>
    <xf numFmtId="0" fontId="3" fillId="0" borderId="0" xfId="21" applyFont="1" applyAlignment="1">
      <alignment wrapText="1"/>
      <protection/>
    </xf>
    <xf numFmtId="0" fontId="2" fillId="0" borderId="0" xfId="21" applyFont="1" applyAlignment="1">
      <alignment/>
      <protection/>
    </xf>
    <xf numFmtId="0" fontId="5" fillId="0" borderId="0" xfId="21" applyFont="1" applyAlignment="1">
      <alignment horizontal="centerContinuous" wrapText="1"/>
      <protection/>
    </xf>
    <xf numFmtId="0" fontId="0" fillId="0" borderId="24" xfId="21" applyFont="1" applyBorder="1" applyAlignment="1">
      <alignment horizontal="center" vertical="top" wrapText="1"/>
      <protection/>
    </xf>
    <xf numFmtId="0" fontId="0" fillId="0" borderId="15" xfId="21" applyFont="1" applyBorder="1" applyAlignment="1">
      <alignment horizontal="center" vertical="top"/>
      <protection/>
    </xf>
    <xf numFmtId="0" fontId="0" fillId="0" borderId="15" xfId="21" applyFont="1" applyBorder="1" applyAlignment="1">
      <alignment horizontal="centerContinuous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Continuous" vertical="center" wrapText="1"/>
      <protection/>
    </xf>
    <xf numFmtId="0" fontId="0" fillId="0" borderId="16" xfId="21" applyFont="1" applyBorder="1" applyAlignment="1">
      <alignment horizontal="center" vertical="top" wrapText="1"/>
      <protection/>
    </xf>
    <xf numFmtId="0" fontId="3" fillId="0" borderId="25" xfId="21" applyFont="1" applyBorder="1" applyAlignment="1">
      <alignment horizontal="center" vertical="top" wrapText="1"/>
      <protection/>
    </xf>
    <xf numFmtId="0" fontId="3" fillId="0" borderId="18" xfId="21" applyFont="1" applyBorder="1" applyAlignment="1">
      <alignment horizontal="center" vertical="top"/>
      <protection/>
    </xf>
    <xf numFmtId="0" fontId="3" fillId="0" borderId="26" xfId="21" applyFont="1" applyBorder="1" applyAlignment="1">
      <alignment horizontal="centerContinuous"/>
      <protection/>
    </xf>
    <xf numFmtId="0" fontId="3" fillId="0" borderId="27" xfId="21" applyFont="1" applyBorder="1" applyAlignment="1">
      <alignment horizontal="centerContinuous"/>
      <protection/>
    </xf>
    <xf numFmtId="0" fontId="3" fillId="0" borderId="20" xfId="21" applyFont="1" applyBorder="1" applyAlignment="1">
      <alignment/>
      <protection/>
    </xf>
    <xf numFmtId="0" fontId="3" fillId="0" borderId="18" xfId="21" applyFont="1" applyBorder="1" applyAlignment="1">
      <alignment horizontal="center" vertical="top" wrapText="1"/>
      <protection/>
    </xf>
    <xf numFmtId="0" fontId="3" fillId="0" borderId="20" xfId="21" applyFont="1" applyBorder="1" applyAlignment="1">
      <alignment horizontal="center" vertical="top" wrapText="1"/>
      <protection/>
    </xf>
    <xf numFmtId="0" fontId="3" fillId="0" borderId="7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8" xfId="21" applyFont="1" applyBorder="1" applyAlignment="1">
      <alignment horizontal="center" vertical="center"/>
      <protection/>
    </xf>
    <xf numFmtId="0" fontId="3" fillId="0" borderId="7" xfId="21" applyFont="1" applyBorder="1" applyAlignment="1">
      <alignment wrapText="1"/>
      <protection/>
    </xf>
    <xf numFmtId="0" fontId="21" fillId="0" borderId="25" xfId="21" applyFont="1" applyBorder="1">
      <alignment/>
      <protection/>
    </xf>
    <xf numFmtId="0" fontId="5" fillId="0" borderId="7" xfId="21" applyFont="1" applyBorder="1" applyAlignment="1">
      <alignment horizontal="right" wrapText="1"/>
      <protection/>
    </xf>
    <xf numFmtId="3" fontId="22" fillId="0" borderId="0" xfId="21" applyNumberFormat="1" applyFont="1">
      <alignment/>
      <protection/>
    </xf>
    <xf numFmtId="0" fontId="22" fillId="0" borderId="0" xfId="21" applyFont="1">
      <alignment/>
      <protection/>
    </xf>
    <xf numFmtId="0" fontId="5" fillId="0" borderId="9" xfId="21" applyFont="1" applyBorder="1" applyAlignment="1">
      <alignment horizontal="right" wrapText="1"/>
      <protection/>
    </xf>
    <xf numFmtId="0" fontId="1" fillId="0" borderId="0" xfId="21" applyFont="1" applyAlignment="1">
      <alignment wrapText="1"/>
      <protection/>
    </xf>
    <xf numFmtId="49" fontId="3" fillId="0" borderId="0" xfId="21" applyNumberFormat="1" applyFont="1" applyBorder="1" applyAlignment="1">
      <alignment vertical="top" wrapText="1"/>
      <protection/>
    </xf>
    <xf numFmtId="49" fontId="3" fillId="0" borderId="0" xfId="21" applyNumberFormat="1" applyFont="1" applyBorder="1" applyAlignment="1">
      <alignment horizontal="center" vertical="top" wrapText="1"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>
      <alignment/>
      <protection/>
    </xf>
    <xf numFmtId="49" fontId="0" fillId="0" borderId="0" xfId="21" applyNumberFormat="1" applyFont="1" applyBorder="1" applyAlignment="1">
      <alignment horizontal="center" vertical="top" wrapText="1"/>
      <protection/>
    </xf>
    <xf numFmtId="0" fontId="0" fillId="0" borderId="0" xfId="21" applyFont="1" applyBorder="1">
      <alignment/>
      <protection/>
    </xf>
    <xf numFmtId="3" fontId="21" fillId="0" borderId="0" xfId="21" applyNumberFormat="1" applyFont="1" applyBorder="1">
      <alignment/>
      <protection/>
    </xf>
    <xf numFmtId="0" fontId="2" fillId="0" borderId="0" xfId="21" applyFont="1" applyAlignment="1">
      <alignment horizontal="center"/>
      <protection/>
    </xf>
    <xf numFmtId="0" fontId="1" fillId="0" borderId="3" xfId="21" applyFont="1" applyBorder="1">
      <alignment/>
      <protection/>
    </xf>
    <xf numFmtId="0" fontId="3" fillId="0" borderId="3" xfId="21" applyFont="1" applyBorder="1" applyAlignment="1">
      <alignment horizontal="right"/>
      <protection/>
    </xf>
    <xf numFmtId="0" fontId="0" fillId="0" borderId="4" xfId="21" applyFont="1" applyBorder="1" applyAlignment="1">
      <alignment horizontal="center" wrapText="1"/>
      <protection/>
    </xf>
    <xf numFmtId="3" fontId="1" fillId="0" borderId="6" xfId="21" applyNumberFormat="1" applyFont="1" applyBorder="1" applyAlignment="1">
      <alignment horizontal="center"/>
      <protection/>
    </xf>
    <xf numFmtId="0" fontId="0" fillId="0" borderId="7" xfId="21" applyFont="1" applyBorder="1" applyAlignment="1">
      <alignment horizontal="center" wrapText="1"/>
      <protection/>
    </xf>
    <xf numFmtId="3" fontId="1" fillId="0" borderId="8" xfId="21" applyNumberFormat="1" applyFont="1" applyBorder="1" applyAlignment="1">
      <alignment horizontal="center"/>
      <protection/>
    </xf>
    <xf numFmtId="0" fontId="1" fillId="0" borderId="1" xfId="21" applyFont="1" applyBorder="1">
      <alignment/>
      <protection/>
    </xf>
    <xf numFmtId="0" fontId="5" fillId="0" borderId="7" xfId="21" applyFont="1" applyBorder="1" applyAlignment="1">
      <alignment wrapText="1"/>
      <protection/>
    </xf>
    <xf numFmtId="3" fontId="7" fillId="0" borderId="8" xfId="21" applyNumberFormat="1" applyFont="1" applyBorder="1" applyAlignment="1">
      <alignment horizontal="right"/>
      <protection/>
    </xf>
    <xf numFmtId="0" fontId="0" fillId="0" borderId="7" xfId="21" applyFont="1" applyBorder="1" applyAlignment="1">
      <alignment wrapText="1"/>
      <protection/>
    </xf>
    <xf numFmtId="3" fontId="1" fillId="0" borderId="8" xfId="21" applyNumberFormat="1" applyFont="1" applyBorder="1" applyAlignment="1">
      <alignment horizontal="right"/>
      <protection/>
    </xf>
    <xf numFmtId="0" fontId="0" fillId="0" borderId="28" xfId="21" applyFont="1" applyBorder="1" applyAlignment="1">
      <alignment wrapText="1"/>
      <protection/>
    </xf>
    <xf numFmtId="3" fontId="1" fillId="0" borderId="29" xfId="21" applyNumberFormat="1" applyFont="1" applyBorder="1" applyAlignment="1">
      <alignment horizontal="right"/>
      <protection/>
    </xf>
    <xf numFmtId="0" fontId="0" fillId="0" borderId="30" xfId="21" applyFont="1" applyBorder="1" applyAlignment="1">
      <alignment wrapText="1"/>
      <protection/>
    </xf>
    <xf numFmtId="3" fontId="1" fillId="0" borderId="31" xfId="21" applyNumberFormat="1" applyFont="1" applyBorder="1" applyAlignment="1">
      <alignment horizontal="right"/>
      <protection/>
    </xf>
    <xf numFmtId="0" fontId="5" fillId="0" borderId="7" xfId="21" applyFont="1" applyBorder="1" applyAlignment="1">
      <alignment horizontal="left"/>
      <protection/>
    </xf>
    <xf numFmtId="0" fontId="5" fillId="0" borderId="9" xfId="21" applyFont="1" applyBorder="1" applyAlignment="1">
      <alignment horizontal="left"/>
      <protection/>
    </xf>
    <xf numFmtId="3" fontId="7" fillId="0" borderId="11" xfId="21" applyNumberFormat="1" applyFont="1" applyBorder="1" applyAlignment="1">
      <alignment horizontal="right"/>
      <protection/>
    </xf>
    <xf numFmtId="0" fontId="8" fillId="0" borderId="0" xfId="21" applyFont="1">
      <alignment/>
      <protection/>
    </xf>
    <xf numFmtId="3" fontId="1" fillId="0" borderId="0" xfId="21" applyNumberFormat="1" applyFont="1">
      <alignment/>
      <protection/>
    </xf>
    <xf numFmtId="3" fontId="1" fillId="0" borderId="0" xfId="21" applyNumberFormat="1" applyFont="1" applyAlignment="1">
      <alignment horizontal="center"/>
      <protection/>
    </xf>
    <xf numFmtId="0" fontId="0" fillId="0" borderId="0" xfId="21" applyFont="1" applyAlignment="1">
      <alignment horizontal="center"/>
      <protection/>
    </xf>
    <xf numFmtId="0" fontId="3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Continuous" vertical="center" wrapText="1"/>
      <protection/>
    </xf>
    <xf numFmtId="0" fontId="21" fillId="0" borderId="1" xfId="21" applyFont="1" applyBorder="1" applyAlignment="1">
      <alignment horizontal="centerContinuous"/>
      <protection/>
    </xf>
    <xf numFmtId="172" fontId="3" fillId="0" borderId="1" xfId="21" applyNumberFormat="1" applyFont="1" applyBorder="1" applyAlignment="1">
      <alignment horizontal="center"/>
      <protection/>
    </xf>
    <xf numFmtId="3" fontId="1" fillId="0" borderId="1" xfId="21" applyNumberFormat="1" applyFont="1" applyBorder="1" applyAlignment="1">
      <alignment horizontal="right"/>
      <protection/>
    </xf>
    <xf numFmtId="172" fontId="1" fillId="0" borderId="1" xfId="21" applyNumberFormat="1" applyFont="1" applyBorder="1">
      <alignment/>
      <protection/>
    </xf>
    <xf numFmtId="4" fontId="1" fillId="0" borderId="1" xfId="21" applyNumberFormat="1" applyFont="1" applyBorder="1">
      <alignment/>
      <protection/>
    </xf>
    <xf numFmtId="3" fontId="1" fillId="0" borderId="1" xfId="21" applyNumberFormat="1" applyFont="1" applyBorder="1" applyAlignment="1">
      <alignment horizontal="right"/>
      <protection/>
    </xf>
    <xf numFmtId="3" fontId="7" fillId="0" borderId="1" xfId="21" applyNumberFormat="1" applyFont="1" applyBorder="1" applyAlignment="1">
      <alignment horizontal="right"/>
      <protection/>
    </xf>
    <xf numFmtId="4" fontId="7" fillId="0" borderId="0" xfId="21" applyNumberFormat="1" applyFont="1" applyBorder="1">
      <alignment/>
      <protection/>
    </xf>
    <xf numFmtId="3" fontId="1" fillId="0" borderId="0" xfId="21" applyNumberFormat="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4" fontId="5" fillId="0" borderId="0" xfId="21" applyNumberFormat="1" applyFont="1" applyBorder="1">
      <alignment/>
      <protection/>
    </xf>
    <xf numFmtId="214" fontId="5" fillId="0" borderId="0" xfId="21" applyNumberFormat="1" applyFont="1" applyBorder="1">
      <alignment/>
      <protection/>
    </xf>
    <xf numFmtId="215" fontId="5" fillId="0" borderId="0" xfId="21" applyNumberFormat="1" applyFont="1" applyBorder="1">
      <alignment/>
      <protection/>
    </xf>
    <xf numFmtId="172" fontId="5" fillId="0" borderId="0" xfId="21" applyNumberFormat="1" applyFont="1" applyBorder="1">
      <alignment/>
      <protection/>
    </xf>
    <xf numFmtId="215" fontId="1" fillId="0" borderId="0" xfId="21" applyNumberFormat="1" applyFont="1" applyBorder="1">
      <alignment/>
      <protection/>
    </xf>
    <xf numFmtId="172" fontId="1" fillId="0" borderId="0" xfId="21" applyNumberFormat="1" applyFont="1" applyBorder="1">
      <alignment/>
      <protection/>
    </xf>
    <xf numFmtId="4" fontId="7" fillId="0" borderId="0" xfId="21" applyNumberFormat="1" applyFont="1">
      <alignment/>
      <protection/>
    </xf>
    <xf numFmtId="172" fontId="1" fillId="0" borderId="0" xfId="21" applyNumberFormat="1" applyFont="1">
      <alignment/>
      <protection/>
    </xf>
    <xf numFmtId="0" fontId="21" fillId="0" borderId="0" xfId="21" applyFont="1" applyAlignment="1">
      <alignment horizontal="right"/>
      <protection/>
    </xf>
    <xf numFmtId="0" fontId="18" fillId="0" borderId="0" xfId="21" applyFont="1" applyAlignment="1">
      <alignment horizontal="centerContinuous"/>
      <protection/>
    </xf>
    <xf numFmtId="0" fontId="5" fillId="0" borderId="1" xfId="21" applyFont="1" applyBorder="1" applyAlignment="1">
      <alignment wrapText="1"/>
      <protection/>
    </xf>
    <xf numFmtId="172" fontId="5" fillId="0" borderId="1" xfId="21" applyNumberFormat="1" applyFont="1" applyBorder="1">
      <alignment/>
      <protection/>
    </xf>
    <xf numFmtId="10" fontId="5" fillId="0" borderId="1" xfId="21" applyNumberFormat="1" applyFont="1" applyBorder="1">
      <alignment/>
      <protection/>
    </xf>
    <xf numFmtId="0" fontId="1" fillId="0" borderId="1" xfId="21" applyFont="1" applyBorder="1" applyAlignment="1">
      <alignment/>
      <protection/>
    </xf>
    <xf numFmtId="172" fontId="3" fillId="0" borderId="1" xfId="21" applyNumberFormat="1" applyFont="1" applyBorder="1">
      <alignment/>
      <protection/>
    </xf>
    <xf numFmtId="10" fontId="3" fillId="0" borderId="1" xfId="21" applyNumberFormat="1" applyFont="1" applyBorder="1">
      <alignment/>
      <protection/>
    </xf>
    <xf numFmtId="0" fontId="10" fillId="0" borderId="1" xfId="21" applyFont="1" applyBorder="1" applyAlignment="1">
      <alignment horizontal="center" wrapText="1"/>
      <protection/>
    </xf>
    <xf numFmtId="0" fontId="0" fillId="0" borderId="1" xfId="21" applyFont="1" applyBorder="1" applyAlignment="1">
      <alignment wrapText="1"/>
      <protection/>
    </xf>
    <xf numFmtId="0" fontId="7" fillId="0" borderId="1" xfId="21" applyFont="1" applyBorder="1" applyAlignment="1">
      <alignment wrapText="1"/>
      <protection/>
    </xf>
    <xf numFmtId="0" fontId="1" fillId="0" borderId="1" xfId="21" applyFont="1" applyBorder="1" applyAlignment="1">
      <alignment wrapText="1"/>
      <protection/>
    </xf>
    <xf numFmtId="0" fontId="0" fillId="0" borderId="1" xfId="21" applyFont="1" applyBorder="1">
      <alignment/>
      <protection/>
    </xf>
    <xf numFmtId="0" fontId="21" fillId="0" borderId="1" xfId="21" applyFont="1" applyBorder="1">
      <alignment/>
      <protection/>
    </xf>
    <xf numFmtId="0" fontId="0" fillId="0" borderId="0" xfId="21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Currency [0]_9905Pasv" xfId="19"/>
    <cellStyle name="Currency_9905Pasv" xfId="20"/>
    <cellStyle name="Normal_9905Pasv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7sb-zi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6SB-izd-ek-k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5SB-ienemumi-mi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4PB-izd-ek-kl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3PB-izdevumi-mi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2PB-i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ESA-P\1-kons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ts"/>
      <sheetName val="Aprīlis"/>
      <sheetName val="Maijs"/>
      <sheetName val="Jūnij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1">
        <row r="10">
          <cell r="C10">
            <v>1134573</v>
          </cell>
          <cell r="H10">
            <v>1135</v>
          </cell>
        </row>
        <row r="11">
          <cell r="C11">
            <v>310858</v>
          </cell>
          <cell r="H11">
            <v>310</v>
          </cell>
        </row>
        <row r="15">
          <cell r="C15">
            <v>114446</v>
          </cell>
          <cell r="H15">
            <v>114</v>
          </cell>
        </row>
        <row r="16">
          <cell r="C16">
            <v>34748</v>
          </cell>
          <cell r="H16">
            <v>35</v>
          </cell>
        </row>
        <row r="18">
          <cell r="C18">
            <v>1888506</v>
          </cell>
          <cell r="H18">
            <v>1889</v>
          </cell>
        </row>
        <row r="19">
          <cell r="C19">
            <v>202535</v>
          </cell>
          <cell r="H19">
            <v>203</v>
          </cell>
        </row>
        <row r="20">
          <cell r="H20">
            <v>0</v>
          </cell>
        </row>
        <row r="22">
          <cell r="C22">
            <v>99452</v>
          </cell>
          <cell r="H22">
            <v>99</v>
          </cell>
        </row>
        <row r="23">
          <cell r="H23">
            <v>0</v>
          </cell>
        </row>
        <row r="25">
          <cell r="C25">
            <v>3621</v>
          </cell>
          <cell r="H25">
            <v>4</v>
          </cell>
        </row>
        <row r="26">
          <cell r="H26">
            <v>0</v>
          </cell>
        </row>
        <row r="27">
          <cell r="H27">
            <v>0</v>
          </cell>
        </row>
        <row r="28">
          <cell r="C28">
            <v>3475</v>
          </cell>
          <cell r="H28">
            <v>3</v>
          </cell>
        </row>
        <row r="29">
          <cell r="C29">
            <v>23477</v>
          </cell>
          <cell r="H29">
            <v>23</v>
          </cell>
        </row>
        <row r="31">
          <cell r="C31">
            <v>153556</v>
          </cell>
          <cell r="H31">
            <v>154</v>
          </cell>
        </row>
        <row r="32">
          <cell r="H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1">
          <cell r="D11">
            <v>188851000</v>
          </cell>
          <cell r="K11">
            <v>188851</v>
          </cell>
        </row>
        <row r="12">
          <cell r="D12">
            <v>26524000</v>
          </cell>
          <cell r="K12">
            <v>26524</v>
          </cell>
        </row>
        <row r="16">
          <cell r="D16">
            <v>3896960</v>
          </cell>
          <cell r="K16">
            <v>3897</v>
          </cell>
        </row>
        <row r="17">
          <cell r="D17">
            <v>1035937</v>
          </cell>
          <cell r="K17">
            <v>1036</v>
          </cell>
        </row>
        <row r="18">
          <cell r="D18">
            <v>29591282</v>
          </cell>
          <cell r="K18">
            <v>29591</v>
          </cell>
        </row>
        <row r="19">
          <cell r="D19">
            <v>27482071</v>
          </cell>
          <cell r="K19">
            <v>27482</v>
          </cell>
        </row>
        <row r="20">
          <cell r="K20">
            <v>0</v>
          </cell>
        </row>
        <row r="21">
          <cell r="K21">
            <v>0</v>
          </cell>
        </row>
        <row r="22">
          <cell r="D22">
            <v>2109211</v>
          </cell>
          <cell r="K22">
            <v>2109</v>
          </cell>
        </row>
        <row r="23">
          <cell r="D23">
            <v>708645</v>
          </cell>
          <cell r="K23">
            <v>709</v>
          </cell>
        </row>
        <row r="25">
          <cell r="D25">
            <v>261802</v>
          </cell>
          <cell r="K25">
            <v>262</v>
          </cell>
        </row>
        <row r="26">
          <cell r="D26">
            <v>453517</v>
          </cell>
          <cell r="K26">
            <v>454</v>
          </cell>
        </row>
        <row r="28">
          <cell r="D28">
            <v>1013794</v>
          </cell>
          <cell r="K28">
            <v>1014</v>
          </cell>
        </row>
        <row r="29">
          <cell r="K29">
            <v>0</v>
          </cell>
        </row>
        <row r="30">
          <cell r="D30">
            <v>6189847</v>
          </cell>
          <cell r="K30">
            <v>6190</v>
          </cell>
        </row>
        <row r="32">
          <cell r="D32">
            <v>325000</v>
          </cell>
          <cell r="K32">
            <v>325</v>
          </cell>
        </row>
        <row r="33">
          <cell r="D33">
            <v>23749000</v>
          </cell>
          <cell r="K33">
            <v>23749</v>
          </cell>
        </row>
        <row r="35">
          <cell r="D35">
            <v>143550656</v>
          </cell>
          <cell r="K35">
            <v>143551</v>
          </cell>
        </row>
        <row r="36">
          <cell r="D36">
            <v>15427247</v>
          </cell>
          <cell r="K36">
            <v>15427</v>
          </cell>
        </row>
        <row r="37">
          <cell r="D37">
            <v>431320</v>
          </cell>
          <cell r="K37">
            <v>431</v>
          </cell>
        </row>
        <row r="38">
          <cell r="D38">
            <v>2378271</v>
          </cell>
          <cell r="K38">
            <v>2378</v>
          </cell>
        </row>
        <row r="39">
          <cell r="D39">
            <v>40971</v>
          </cell>
          <cell r="K39">
            <v>41</v>
          </cell>
        </row>
        <row r="41">
          <cell r="D41">
            <v>2474621</v>
          </cell>
          <cell r="K41">
            <v>2474</v>
          </cell>
        </row>
        <row r="42">
          <cell r="D42">
            <v>4075644</v>
          </cell>
          <cell r="K42">
            <v>4076</v>
          </cell>
        </row>
        <row r="46">
          <cell r="K46">
            <v>0</v>
          </cell>
        </row>
        <row r="47">
          <cell r="K47">
            <v>0</v>
          </cell>
        </row>
        <row r="50">
          <cell r="D50">
            <v>13286000</v>
          </cell>
          <cell r="K50">
            <v>13286</v>
          </cell>
        </row>
        <row r="51">
          <cell r="D51">
            <v>6944000</v>
          </cell>
          <cell r="K51">
            <v>6944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Marts1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4">
        <row r="19">
          <cell r="D19">
            <v>1882936</v>
          </cell>
        </row>
        <row r="22">
          <cell r="J22">
            <v>0</v>
          </cell>
        </row>
        <row r="24">
          <cell r="D24">
            <v>766802</v>
          </cell>
          <cell r="J24">
            <v>767</v>
          </cell>
        </row>
        <row r="26">
          <cell r="D26">
            <v>649001</v>
          </cell>
          <cell r="J26">
            <v>649</v>
          </cell>
        </row>
        <row r="27">
          <cell r="D27">
            <v>20884</v>
          </cell>
          <cell r="J27">
            <v>21</v>
          </cell>
        </row>
        <row r="31">
          <cell r="D31">
            <v>678180</v>
          </cell>
          <cell r="J31">
            <v>678</v>
          </cell>
        </row>
        <row r="32">
          <cell r="D32">
            <v>109803</v>
          </cell>
          <cell r="J32">
            <v>110</v>
          </cell>
        </row>
        <row r="34">
          <cell r="D34">
            <v>195514</v>
          </cell>
          <cell r="J34">
            <v>195</v>
          </cell>
        </row>
        <row r="37">
          <cell r="D37">
            <v>69226</v>
          </cell>
          <cell r="J37">
            <v>69</v>
          </cell>
        </row>
        <row r="40">
          <cell r="J40">
            <v>0</v>
          </cell>
        </row>
        <row r="43">
          <cell r="D43">
            <v>41891</v>
          </cell>
          <cell r="J43">
            <v>42</v>
          </cell>
        </row>
        <row r="45">
          <cell r="J45">
            <v>0</v>
          </cell>
        </row>
        <row r="48">
          <cell r="J48">
            <v>0</v>
          </cell>
        </row>
        <row r="49">
          <cell r="D49">
            <v>364052</v>
          </cell>
          <cell r="J49">
            <v>364</v>
          </cell>
        </row>
        <row r="51">
          <cell r="D51">
            <v>23800</v>
          </cell>
          <cell r="J51">
            <v>24</v>
          </cell>
        </row>
        <row r="52">
          <cell r="D52">
            <v>5000</v>
          </cell>
          <cell r="J52">
            <v>5</v>
          </cell>
        </row>
        <row r="56">
          <cell r="D56">
            <v>762400</v>
          </cell>
          <cell r="J56">
            <v>762</v>
          </cell>
        </row>
        <row r="58">
          <cell r="D58">
            <v>342000</v>
          </cell>
          <cell r="J58">
            <v>342</v>
          </cell>
        </row>
        <row r="59">
          <cell r="D59">
            <v>257500</v>
          </cell>
          <cell r="J59">
            <v>258</v>
          </cell>
        </row>
        <row r="62">
          <cell r="J62">
            <v>0</v>
          </cell>
        </row>
        <row r="64">
          <cell r="J64">
            <v>0</v>
          </cell>
        </row>
        <row r="65">
          <cell r="J65">
            <v>0</v>
          </cell>
        </row>
        <row r="66">
          <cell r="J66">
            <v>0</v>
          </cell>
        </row>
        <row r="67">
          <cell r="J67">
            <v>0</v>
          </cell>
        </row>
        <row r="68">
          <cell r="J68">
            <v>0</v>
          </cell>
        </row>
        <row r="69">
          <cell r="J69">
            <v>0</v>
          </cell>
        </row>
        <row r="73">
          <cell r="D73">
            <v>82758</v>
          </cell>
          <cell r="J73">
            <v>83</v>
          </cell>
        </row>
        <row r="74">
          <cell r="D74">
            <v>193086</v>
          </cell>
          <cell r="J74">
            <v>193</v>
          </cell>
        </row>
        <row r="76">
          <cell r="D76">
            <v>210996</v>
          </cell>
          <cell r="J76">
            <v>211</v>
          </cell>
        </row>
        <row r="77">
          <cell r="J77">
            <v>0</v>
          </cell>
        </row>
        <row r="80">
          <cell r="D80">
            <v>5990644</v>
          </cell>
          <cell r="J80">
            <v>5991</v>
          </cell>
        </row>
        <row r="81">
          <cell r="D81">
            <v>459410</v>
          </cell>
          <cell r="J81">
            <v>460</v>
          </cell>
        </row>
        <row r="83">
          <cell r="D83">
            <v>5453826</v>
          </cell>
          <cell r="J83">
            <v>5454</v>
          </cell>
        </row>
        <row r="84">
          <cell r="D84">
            <v>342251</v>
          </cell>
          <cell r="J84">
            <v>342</v>
          </cell>
        </row>
        <row r="88">
          <cell r="D88">
            <v>3258104</v>
          </cell>
          <cell r="J88">
            <v>3258</v>
          </cell>
        </row>
        <row r="89">
          <cell r="D89">
            <v>11959513</v>
          </cell>
          <cell r="J89">
            <v>11960</v>
          </cell>
        </row>
        <row r="90">
          <cell r="D90">
            <v>7487</v>
          </cell>
          <cell r="J90">
            <v>7</v>
          </cell>
        </row>
        <row r="92">
          <cell r="D92">
            <v>16723062</v>
          </cell>
          <cell r="J92">
            <v>16723</v>
          </cell>
        </row>
        <row r="93">
          <cell r="D93">
            <v>3922420</v>
          </cell>
          <cell r="J93">
            <v>3922</v>
          </cell>
        </row>
        <row r="95">
          <cell r="D95">
            <v>1398696</v>
          </cell>
          <cell r="J95">
            <v>1399</v>
          </cell>
        </row>
        <row r="98">
          <cell r="J98">
            <v>0</v>
          </cell>
        </row>
        <row r="99">
          <cell r="J99">
            <v>0</v>
          </cell>
        </row>
        <row r="101">
          <cell r="J101">
            <v>0</v>
          </cell>
        </row>
        <row r="102">
          <cell r="J102">
            <v>0</v>
          </cell>
        </row>
        <row r="105">
          <cell r="D105">
            <v>212020</v>
          </cell>
          <cell r="J105">
            <v>212</v>
          </cell>
        </row>
        <row r="106">
          <cell r="D106">
            <v>4969</v>
          </cell>
          <cell r="J106">
            <v>5</v>
          </cell>
        </row>
        <row r="108">
          <cell r="D108">
            <v>145000</v>
          </cell>
          <cell r="J108">
            <v>145</v>
          </cell>
        </row>
        <row r="109">
          <cell r="D109">
            <v>32501</v>
          </cell>
          <cell r="J109">
            <v>32</v>
          </cell>
        </row>
        <row r="111">
          <cell r="D111">
            <v>593167</v>
          </cell>
          <cell r="J111">
            <v>593</v>
          </cell>
        </row>
        <row r="113">
          <cell r="D113">
            <v>576548</v>
          </cell>
          <cell r="J113">
            <v>577</v>
          </cell>
        </row>
        <row r="117">
          <cell r="D117">
            <v>139528620</v>
          </cell>
          <cell r="J117">
            <v>139529</v>
          </cell>
        </row>
        <row r="118">
          <cell r="D118">
            <v>639381</v>
          </cell>
          <cell r="J118">
            <v>639</v>
          </cell>
        </row>
        <row r="119">
          <cell r="D119">
            <v>1667046</v>
          </cell>
          <cell r="J119">
            <v>1667</v>
          </cell>
        </row>
        <row r="121">
          <cell r="D121">
            <v>166763164</v>
          </cell>
          <cell r="J121">
            <v>166763</v>
          </cell>
        </row>
        <row r="122">
          <cell r="D122">
            <v>1097022</v>
          </cell>
          <cell r="J122">
            <v>1097</v>
          </cell>
        </row>
        <row r="123">
          <cell r="J123">
            <v>-26025</v>
          </cell>
        </row>
        <row r="124">
          <cell r="D124">
            <v>11887516</v>
          </cell>
          <cell r="J124">
            <v>11887</v>
          </cell>
        </row>
        <row r="127">
          <cell r="D127">
            <v>105476205</v>
          </cell>
          <cell r="J127">
            <v>105476</v>
          </cell>
        </row>
        <row r="128">
          <cell r="D128">
            <v>4988</v>
          </cell>
          <cell r="J128">
            <v>5</v>
          </cell>
        </row>
        <row r="129">
          <cell r="D129">
            <v>6312037</v>
          </cell>
          <cell r="J129">
            <v>6312</v>
          </cell>
        </row>
        <row r="131">
          <cell r="D131">
            <v>128733716</v>
          </cell>
          <cell r="J131">
            <v>128734</v>
          </cell>
        </row>
        <row r="133">
          <cell r="D133">
            <v>9409467</v>
          </cell>
          <cell r="J133">
            <v>9409</v>
          </cell>
        </row>
        <row r="136">
          <cell r="D136">
            <v>10231714</v>
          </cell>
          <cell r="J136">
            <v>10232</v>
          </cell>
        </row>
        <row r="137">
          <cell r="D137">
            <v>100767</v>
          </cell>
          <cell r="J137">
            <v>101</v>
          </cell>
        </row>
        <row r="138">
          <cell r="D138">
            <v>645144</v>
          </cell>
          <cell r="J138">
            <v>645</v>
          </cell>
        </row>
        <row r="140">
          <cell r="D140">
            <v>16529542</v>
          </cell>
          <cell r="J140">
            <v>16530</v>
          </cell>
        </row>
        <row r="141">
          <cell r="J141">
            <v>0</v>
          </cell>
        </row>
        <row r="143">
          <cell r="J143">
            <v>0</v>
          </cell>
        </row>
        <row r="146">
          <cell r="D146">
            <v>341231</v>
          </cell>
          <cell r="J146">
            <v>341</v>
          </cell>
        </row>
        <row r="148">
          <cell r="D148">
            <v>7495</v>
          </cell>
          <cell r="J148">
            <v>7</v>
          </cell>
        </row>
        <row r="150">
          <cell r="D150">
            <v>158536</v>
          </cell>
          <cell r="J150">
            <v>159</v>
          </cell>
        </row>
        <row r="153">
          <cell r="J153">
            <v>0</v>
          </cell>
        </row>
        <row r="156">
          <cell r="D156">
            <v>23479470</v>
          </cell>
          <cell r="J156">
            <v>23479</v>
          </cell>
        </row>
        <row r="158">
          <cell r="D158">
            <v>1413791</v>
          </cell>
          <cell r="J158">
            <v>1414</v>
          </cell>
        </row>
        <row r="160">
          <cell r="D160">
            <v>28083768</v>
          </cell>
          <cell r="J160">
            <v>28084</v>
          </cell>
        </row>
        <row r="162">
          <cell r="D162">
            <v>2035060</v>
          </cell>
          <cell r="J162">
            <v>2035</v>
          </cell>
        </row>
        <row r="165">
          <cell r="D165">
            <v>639381</v>
          </cell>
          <cell r="J165">
            <v>639</v>
          </cell>
        </row>
        <row r="166">
          <cell r="D166">
            <v>2849496</v>
          </cell>
          <cell r="J166">
            <v>2849</v>
          </cell>
        </row>
        <row r="168">
          <cell r="D168">
            <v>2924274</v>
          </cell>
          <cell r="J168">
            <v>2924</v>
          </cell>
        </row>
        <row r="169">
          <cell r="D169">
            <v>851974</v>
          </cell>
          <cell r="J169">
            <v>852</v>
          </cell>
        </row>
        <row r="171">
          <cell r="D171">
            <v>442989</v>
          </cell>
          <cell r="J171">
            <v>443</v>
          </cell>
        </row>
        <row r="174">
          <cell r="D174">
            <v>21903377</v>
          </cell>
          <cell r="J174">
            <v>21903</v>
          </cell>
        </row>
        <row r="175">
          <cell r="D175">
            <v>17430662</v>
          </cell>
          <cell r="J175">
            <v>17431</v>
          </cell>
        </row>
        <row r="176">
          <cell r="D176">
            <v>3350288</v>
          </cell>
          <cell r="J176">
            <v>3350</v>
          </cell>
        </row>
        <row r="178">
          <cell r="D178">
            <v>35568239</v>
          </cell>
          <cell r="J178">
            <v>35568</v>
          </cell>
        </row>
        <row r="179">
          <cell r="D179">
            <v>24000</v>
          </cell>
          <cell r="J179">
            <v>24</v>
          </cell>
        </row>
        <row r="185">
          <cell r="D185">
            <v>1760578</v>
          </cell>
          <cell r="J185">
            <v>1761</v>
          </cell>
        </row>
        <row r="186">
          <cell r="D186">
            <v>57310</v>
          </cell>
          <cell r="J186">
            <v>57</v>
          </cell>
        </row>
        <row r="187">
          <cell r="D187">
            <v>15035</v>
          </cell>
          <cell r="J187">
            <v>15</v>
          </cell>
        </row>
        <row r="189">
          <cell r="D189">
            <v>2231790</v>
          </cell>
          <cell r="J189">
            <v>2232</v>
          </cell>
        </row>
        <row r="190">
          <cell r="D190">
            <v>37098</v>
          </cell>
          <cell r="J190">
            <v>37</v>
          </cell>
        </row>
        <row r="192">
          <cell r="D192">
            <v>711250</v>
          </cell>
          <cell r="J192">
            <v>711</v>
          </cell>
        </row>
        <row r="194">
          <cell r="D194">
            <v>14537</v>
          </cell>
          <cell r="J194">
            <v>15</v>
          </cell>
        </row>
        <row r="195">
          <cell r="D195">
            <v>234218</v>
          </cell>
          <cell r="J195">
            <v>234</v>
          </cell>
        </row>
        <row r="199">
          <cell r="D199">
            <v>816400</v>
          </cell>
          <cell r="J199">
            <v>816</v>
          </cell>
        </row>
        <row r="200">
          <cell r="J200">
            <v>0</v>
          </cell>
        </row>
        <row r="202">
          <cell r="D202">
            <v>680641</v>
          </cell>
          <cell r="J202">
            <v>681</v>
          </cell>
        </row>
        <row r="205">
          <cell r="D205">
            <v>38138</v>
          </cell>
          <cell r="J205">
            <v>38</v>
          </cell>
        </row>
        <row r="206">
          <cell r="D206">
            <v>20903</v>
          </cell>
          <cell r="J206">
            <v>21</v>
          </cell>
        </row>
        <row r="208">
          <cell r="D208">
            <v>49929</v>
          </cell>
          <cell r="J208">
            <v>50</v>
          </cell>
        </row>
        <row r="209">
          <cell r="J209">
            <v>1</v>
          </cell>
        </row>
        <row r="212">
          <cell r="J212">
            <v>0</v>
          </cell>
        </row>
        <row r="214">
          <cell r="D214">
            <v>2772</v>
          </cell>
          <cell r="J214">
            <v>3</v>
          </cell>
        </row>
        <row r="215">
          <cell r="D215">
            <v>73</v>
          </cell>
          <cell r="J2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12">
          <cell r="D12">
            <v>197315359</v>
          </cell>
          <cell r="K12">
            <v>197315</v>
          </cell>
        </row>
        <row r="13">
          <cell r="K13">
            <v>0</v>
          </cell>
        </row>
        <row r="14">
          <cell r="D14">
            <v>18757488</v>
          </cell>
          <cell r="K14">
            <v>18758</v>
          </cell>
        </row>
        <row r="18">
          <cell r="D18">
            <v>46233258</v>
          </cell>
          <cell r="K18">
            <v>46233</v>
          </cell>
        </row>
        <row r="19">
          <cell r="D19">
            <v>12537351</v>
          </cell>
          <cell r="K19">
            <v>12537</v>
          </cell>
        </row>
        <row r="21">
          <cell r="D21">
            <v>37280180</v>
          </cell>
          <cell r="K21">
            <v>37280</v>
          </cell>
        </row>
        <row r="22">
          <cell r="D22">
            <v>3751926</v>
          </cell>
          <cell r="K22">
            <v>3752</v>
          </cell>
        </row>
        <row r="23">
          <cell r="D23">
            <v>103034</v>
          </cell>
          <cell r="K23">
            <v>103</v>
          </cell>
        </row>
        <row r="25">
          <cell r="D25">
            <v>4005416</v>
          </cell>
          <cell r="K25">
            <v>4005</v>
          </cell>
        </row>
        <row r="26">
          <cell r="D26">
            <v>4373841</v>
          </cell>
          <cell r="K26">
            <v>4374</v>
          </cell>
        </row>
        <row r="27">
          <cell r="D27">
            <v>45760</v>
          </cell>
          <cell r="K27">
            <v>46</v>
          </cell>
        </row>
        <row r="29">
          <cell r="D29">
            <v>5281650</v>
          </cell>
          <cell r="K29">
            <v>5282</v>
          </cell>
        </row>
        <row r="30">
          <cell r="D30">
            <v>27846863</v>
          </cell>
          <cell r="K30">
            <v>27847</v>
          </cell>
        </row>
        <row r="31">
          <cell r="D31">
            <v>2034338</v>
          </cell>
          <cell r="K31">
            <v>2034</v>
          </cell>
        </row>
        <row r="33">
          <cell r="D33">
            <v>18121244</v>
          </cell>
          <cell r="K33">
            <v>18121</v>
          </cell>
        </row>
        <row r="34">
          <cell r="D34">
            <v>13356958</v>
          </cell>
          <cell r="K34">
            <v>13358</v>
          </cell>
        </row>
        <row r="36">
          <cell r="D36">
            <v>148789</v>
          </cell>
          <cell r="K36">
            <v>149</v>
          </cell>
        </row>
        <row r="37">
          <cell r="D37">
            <v>21685914</v>
          </cell>
          <cell r="K37">
            <v>21686</v>
          </cell>
        </row>
        <row r="38">
          <cell r="D38">
            <v>2308064</v>
          </cell>
          <cell r="K38">
            <v>2308</v>
          </cell>
        </row>
        <row r="39">
          <cell r="D39">
            <v>1709412</v>
          </cell>
          <cell r="K39">
            <v>1709</v>
          </cell>
        </row>
        <row r="40">
          <cell r="D40">
            <v>1412107</v>
          </cell>
          <cell r="K40">
            <v>1412</v>
          </cell>
        </row>
        <row r="42">
          <cell r="D42">
            <v>2095332</v>
          </cell>
          <cell r="K42">
            <v>2095</v>
          </cell>
        </row>
        <row r="43">
          <cell r="D43">
            <v>7707519</v>
          </cell>
          <cell r="K43">
            <v>7708</v>
          </cell>
        </row>
        <row r="45">
          <cell r="D45">
            <v>40287722</v>
          </cell>
          <cell r="K45">
            <v>40287</v>
          </cell>
        </row>
        <row r="46">
          <cell r="D46">
            <v>24802258</v>
          </cell>
          <cell r="K46">
            <v>24802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3">
        <row r="12">
          <cell r="D12">
            <v>333522</v>
          </cell>
          <cell r="K12">
            <v>334</v>
          </cell>
        </row>
        <row r="13">
          <cell r="D13">
            <v>21584</v>
          </cell>
          <cell r="K13">
            <v>21</v>
          </cell>
        </row>
        <row r="15">
          <cell r="D15">
            <v>1468296</v>
          </cell>
          <cell r="K15">
            <v>1468</v>
          </cell>
        </row>
        <row r="16">
          <cell r="D16">
            <v>140309</v>
          </cell>
          <cell r="K16">
            <v>140</v>
          </cell>
        </row>
        <row r="18">
          <cell r="D18">
            <v>1121471</v>
          </cell>
          <cell r="K18">
            <v>1122</v>
          </cell>
        </row>
        <row r="19">
          <cell r="D19">
            <v>53336</v>
          </cell>
          <cell r="K19">
            <v>53</v>
          </cell>
        </row>
        <row r="21">
          <cell r="D21">
            <v>7266991</v>
          </cell>
          <cell r="K21">
            <v>7267</v>
          </cell>
        </row>
        <row r="22">
          <cell r="D22">
            <v>69526</v>
          </cell>
          <cell r="K22">
            <v>70</v>
          </cell>
        </row>
        <row r="24">
          <cell r="D24">
            <v>3485713</v>
          </cell>
          <cell r="K24">
            <v>3486</v>
          </cell>
        </row>
        <row r="25">
          <cell r="D25">
            <v>111621</v>
          </cell>
          <cell r="K25">
            <v>112</v>
          </cell>
        </row>
        <row r="27">
          <cell r="D27">
            <v>1262336</v>
          </cell>
          <cell r="K27">
            <v>1262</v>
          </cell>
        </row>
        <row r="28">
          <cell r="D28">
            <v>33294</v>
          </cell>
          <cell r="K28">
            <v>33</v>
          </cell>
        </row>
        <row r="30">
          <cell r="D30">
            <v>22084116</v>
          </cell>
          <cell r="K30">
            <v>22084</v>
          </cell>
        </row>
        <row r="31">
          <cell r="D31">
            <v>2690795</v>
          </cell>
          <cell r="K31">
            <v>2691</v>
          </cell>
        </row>
        <row r="33">
          <cell r="D33">
            <v>27761270</v>
          </cell>
          <cell r="K33">
            <v>27761</v>
          </cell>
        </row>
        <row r="34">
          <cell r="D34">
            <v>1878167</v>
          </cell>
          <cell r="K34">
            <v>1878</v>
          </cell>
        </row>
        <row r="36">
          <cell r="D36">
            <v>17722617</v>
          </cell>
          <cell r="K36">
            <v>17723</v>
          </cell>
        </row>
        <row r="37">
          <cell r="D37">
            <v>507836</v>
          </cell>
          <cell r="K37">
            <v>508</v>
          </cell>
        </row>
        <row r="39">
          <cell r="D39">
            <v>13219594</v>
          </cell>
          <cell r="K39">
            <v>13219</v>
          </cell>
        </row>
        <row r="40">
          <cell r="D40">
            <v>697644</v>
          </cell>
          <cell r="K40">
            <v>698</v>
          </cell>
        </row>
        <row r="42">
          <cell r="D42">
            <v>1455822</v>
          </cell>
          <cell r="K42">
            <v>1456</v>
          </cell>
        </row>
        <row r="43">
          <cell r="D43">
            <v>527879</v>
          </cell>
          <cell r="K43">
            <v>528</v>
          </cell>
        </row>
        <row r="45">
          <cell r="D45">
            <v>56784273</v>
          </cell>
          <cell r="K45">
            <v>56784</v>
          </cell>
        </row>
        <row r="46">
          <cell r="D46">
            <v>717025</v>
          </cell>
          <cell r="K46">
            <v>717</v>
          </cell>
        </row>
        <row r="48">
          <cell r="D48">
            <v>3635861</v>
          </cell>
          <cell r="K48">
            <v>3636</v>
          </cell>
        </row>
        <row r="49">
          <cell r="D49">
            <v>76781</v>
          </cell>
          <cell r="K49">
            <v>77</v>
          </cell>
        </row>
        <row r="53">
          <cell r="D53">
            <v>1892816</v>
          </cell>
          <cell r="K53">
            <v>1893</v>
          </cell>
        </row>
        <row r="54">
          <cell r="D54">
            <v>373083</v>
          </cell>
          <cell r="K54">
            <v>373</v>
          </cell>
        </row>
        <row r="56">
          <cell r="D56">
            <v>4158946</v>
          </cell>
          <cell r="K56">
            <v>4159</v>
          </cell>
        </row>
        <row r="57">
          <cell r="D57">
            <v>447878</v>
          </cell>
          <cell r="K57">
            <v>448</v>
          </cell>
        </row>
        <row r="59">
          <cell r="D59">
            <v>3501016</v>
          </cell>
          <cell r="K59">
            <v>3501</v>
          </cell>
        </row>
        <row r="60">
          <cell r="D60">
            <v>385176</v>
          </cell>
          <cell r="K60">
            <v>385</v>
          </cell>
        </row>
        <row r="62">
          <cell r="D62">
            <v>380454</v>
          </cell>
          <cell r="K62">
            <v>380</v>
          </cell>
        </row>
        <row r="63">
          <cell r="D63">
            <v>28666</v>
          </cell>
          <cell r="K63">
            <v>29</v>
          </cell>
        </row>
        <row r="65">
          <cell r="D65">
            <v>249173</v>
          </cell>
          <cell r="K65">
            <v>249</v>
          </cell>
        </row>
        <row r="68">
          <cell r="D68">
            <v>89845</v>
          </cell>
          <cell r="K68">
            <v>90</v>
          </cell>
        </row>
        <row r="69">
          <cell r="K69">
            <v>0</v>
          </cell>
        </row>
        <row r="71">
          <cell r="D71">
            <v>1914272</v>
          </cell>
          <cell r="K71">
            <v>1914</v>
          </cell>
        </row>
        <row r="72">
          <cell r="D72">
            <v>85820</v>
          </cell>
          <cell r="K72">
            <v>86</v>
          </cell>
        </row>
        <row r="74">
          <cell r="D74">
            <v>23205</v>
          </cell>
          <cell r="K74">
            <v>23</v>
          </cell>
        </row>
        <row r="75">
          <cell r="K75">
            <v>0</v>
          </cell>
        </row>
        <row r="77">
          <cell r="D77">
            <v>14667</v>
          </cell>
          <cell r="K77">
            <v>15</v>
          </cell>
        </row>
        <row r="79">
          <cell r="D79">
            <v>262894</v>
          </cell>
          <cell r="K79">
            <v>263</v>
          </cell>
        </row>
        <row r="81">
          <cell r="D81">
            <v>2144732</v>
          </cell>
          <cell r="K81">
            <v>2145</v>
          </cell>
        </row>
        <row r="82">
          <cell r="D82">
            <v>3999</v>
          </cell>
          <cell r="K82">
            <v>4</v>
          </cell>
        </row>
        <row r="84">
          <cell r="D84">
            <v>25173</v>
          </cell>
          <cell r="K84">
            <v>25</v>
          </cell>
        </row>
        <row r="86">
          <cell r="D86">
            <v>95815</v>
          </cell>
          <cell r="K86">
            <v>96</v>
          </cell>
        </row>
        <row r="87">
          <cell r="D87">
            <v>2447</v>
          </cell>
          <cell r="K87">
            <v>2</v>
          </cell>
        </row>
        <row r="89">
          <cell r="D89">
            <v>27846863</v>
          </cell>
          <cell r="K89">
            <v>27847</v>
          </cell>
        </row>
        <row r="90">
          <cell r="D90">
            <v>950000</v>
          </cell>
          <cell r="K90">
            <v>950</v>
          </cell>
        </row>
        <row r="92">
          <cell r="D92">
            <v>2034338</v>
          </cell>
          <cell r="K92">
            <v>2034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3">
        <row r="11">
          <cell r="D11">
            <v>32525290</v>
          </cell>
          <cell r="J11">
            <v>32525</v>
          </cell>
        </row>
        <row r="13">
          <cell r="D13">
            <v>99592234</v>
          </cell>
          <cell r="J13">
            <v>99592</v>
          </cell>
        </row>
        <row r="14">
          <cell r="D14">
            <v>34936379</v>
          </cell>
          <cell r="J14">
            <v>34936</v>
          </cell>
        </row>
        <row r="15">
          <cell r="D15">
            <v>4932218</v>
          </cell>
          <cell r="J15">
            <v>4932</v>
          </cell>
        </row>
        <row r="16">
          <cell r="D16">
            <v>4901182</v>
          </cell>
          <cell r="J16">
            <v>4901</v>
          </cell>
        </row>
        <row r="18">
          <cell r="D18">
            <v>170983</v>
          </cell>
          <cell r="J18">
            <v>171</v>
          </cell>
        </row>
        <row r="19">
          <cell r="D19">
            <v>2815086</v>
          </cell>
          <cell r="J19">
            <v>2815</v>
          </cell>
        </row>
        <row r="20">
          <cell r="D20">
            <v>3135294</v>
          </cell>
          <cell r="J20">
            <v>3135</v>
          </cell>
        </row>
        <row r="21">
          <cell r="D21">
            <v>178472</v>
          </cell>
          <cell r="J21">
            <v>179</v>
          </cell>
        </row>
        <row r="22">
          <cell r="D22">
            <v>515114</v>
          </cell>
          <cell r="J22">
            <v>515</v>
          </cell>
        </row>
        <row r="23">
          <cell r="D23">
            <v>1561142</v>
          </cell>
          <cell r="J23">
            <v>1561</v>
          </cell>
        </row>
        <row r="24">
          <cell r="D24">
            <v>3637795</v>
          </cell>
          <cell r="J24">
            <v>3638</v>
          </cell>
        </row>
        <row r="25">
          <cell r="D25">
            <v>1508656</v>
          </cell>
          <cell r="J25">
            <v>1509</v>
          </cell>
        </row>
        <row r="26">
          <cell r="D26">
            <v>325002</v>
          </cell>
          <cell r="J26">
            <v>325</v>
          </cell>
        </row>
        <row r="27">
          <cell r="D27">
            <v>1804137</v>
          </cell>
          <cell r="J27">
            <v>1804</v>
          </cell>
        </row>
        <row r="28">
          <cell r="D28">
            <v>385</v>
          </cell>
          <cell r="J28">
            <v>0</v>
          </cell>
        </row>
        <row r="29">
          <cell r="J29">
            <v>0</v>
          </cell>
        </row>
        <row r="30">
          <cell r="D30">
            <v>1030245</v>
          </cell>
          <cell r="J30">
            <v>1030</v>
          </cell>
        </row>
        <row r="31">
          <cell r="D31">
            <v>711250</v>
          </cell>
          <cell r="J31">
            <v>711</v>
          </cell>
        </row>
        <row r="32">
          <cell r="D32">
            <v>318995</v>
          </cell>
          <cell r="J32">
            <v>319</v>
          </cell>
        </row>
        <row r="33">
          <cell r="J33">
            <v>18758</v>
          </cell>
        </row>
        <row r="34">
          <cell r="D34">
            <v>18757558</v>
          </cell>
          <cell r="J34">
            <v>18758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3"/>
      <sheetName val="Sheet14"/>
      <sheetName val="Sheet15"/>
      <sheetName val="Sheet16"/>
    </sheetNames>
    <sheetDataSet>
      <sheetData sheetId="3">
        <row r="12">
          <cell r="C12">
            <v>32525000</v>
          </cell>
          <cell r="H12">
            <v>32525</v>
          </cell>
        </row>
        <row r="14">
          <cell r="C14">
            <v>99592000</v>
          </cell>
          <cell r="H14">
            <v>99592</v>
          </cell>
        </row>
        <row r="15">
          <cell r="C15">
            <v>34936000</v>
          </cell>
          <cell r="H15">
            <v>34936</v>
          </cell>
        </row>
        <row r="16">
          <cell r="C16">
            <v>4932000</v>
          </cell>
          <cell r="H16">
            <v>4932</v>
          </cell>
        </row>
        <row r="17">
          <cell r="C17">
            <v>4901000</v>
          </cell>
          <cell r="H17">
            <v>4901</v>
          </cell>
        </row>
        <row r="18">
          <cell r="C18">
            <v>13044000</v>
          </cell>
          <cell r="H18">
            <v>13044</v>
          </cell>
        </row>
        <row r="19">
          <cell r="C19">
            <v>18758000</v>
          </cell>
          <cell r="H19">
            <v>18758</v>
          </cell>
        </row>
        <row r="20">
          <cell r="C20">
            <v>1834000</v>
          </cell>
          <cell r="H20">
            <v>1834</v>
          </cell>
        </row>
        <row r="24">
          <cell r="C24">
            <v>139444572</v>
          </cell>
          <cell r="H24">
            <v>139445</v>
          </cell>
        </row>
        <row r="25">
          <cell r="C25">
            <v>11960000</v>
          </cell>
          <cell r="H25">
            <v>11960</v>
          </cell>
        </row>
        <row r="26">
          <cell r="C26">
            <v>21903000</v>
          </cell>
          <cell r="H26">
            <v>21903</v>
          </cell>
        </row>
        <row r="27">
          <cell r="C27">
            <v>42067428</v>
          </cell>
          <cell r="H27">
            <v>42067</v>
          </cell>
        </row>
        <row r="28">
          <cell r="C28">
            <v>18160000</v>
          </cell>
          <cell r="H28">
            <v>18160</v>
          </cell>
        </row>
        <row r="41">
          <cell r="C41">
            <v>202236000</v>
          </cell>
          <cell r="H41">
            <v>202236</v>
          </cell>
        </row>
        <row r="42">
          <cell r="C42">
            <v>18121000</v>
          </cell>
          <cell r="H42">
            <v>18121</v>
          </cell>
        </row>
        <row r="44">
          <cell r="C44">
            <v>2095000</v>
          </cell>
          <cell r="H44">
            <v>2095</v>
          </cell>
        </row>
        <row r="48">
          <cell r="C48">
            <v>7708000</v>
          </cell>
          <cell r="H48">
            <v>7708</v>
          </cell>
        </row>
        <row r="49">
          <cell r="C49">
            <v>39000</v>
          </cell>
          <cell r="H49">
            <v>39</v>
          </cell>
        </row>
        <row r="53">
          <cell r="C53">
            <v>40287000</v>
          </cell>
          <cell r="H53">
            <v>40287</v>
          </cell>
        </row>
        <row r="54">
          <cell r="C54">
            <v>29109138</v>
          </cell>
          <cell r="H54">
            <v>29109</v>
          </cell>
        </row>
        <row r="56">
          <cell r="C56">
            <v>24802258</v>
          </cell>
          <cell r="H56">
            <v>24802</v>
          </cell>
        </row>
        <row r="57">
          <cell r="C57">
            <v>15805254</v>
          </cell>
          <cell r="H57">
            <v>15805</v>
          </cell>
        </row>
        <row r="63">
          <cell r="C63">
            <v>229055000</v>
          </cell>
          <cell r="H63">
            <v>229055</v>
          </cell>
        </row>
        <row r="64">
          <cell r="C64">
            <v>1834000</v>
          </cell>
          <cell r="H64">
            <v>1834</v>
          </cell>
        </row>
        <row r="66">
          <cell r="C66">
            <v>2474000</v>
          </cell>
          <cell r="H66">
            <v>2474</v>
          </cell>
        </row>
        <row r="68">
          <cell r="C68">
            <v>4075644</v>
          </cell>
          <cell r="H68">
            <v>4076</v>
          </cell>
        </row>
        <row r="72">
          <cell r="H72">
            <v>0</v>
          </cell>
        </row>
        <row r="74">
          <cell r="H7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F1">
      <selection activeCell="F19" sqref="F19"/>
    </sheetView>
  </sheetViews>
  <sheetFormatPr defaultColWidth="9.140625" defaultRowHeight="12.75"/>
  <cols>
    <col min="1" max="1" width="39.28125" style="1" hidden="1" customWidth="1"/>
    <col min="2" max="2" width="13.28125" style="1" hidden="1" customWidth="1"/>
    <col min="3" max="3" width="11.57421875" style="95" hidden="1" customWidth="1"/>
    <col min="4" max="4" width="12.140625" style="1" hidden="1" customWidth="1"/>
    <col min="5" max="5" width="9.421875" style="190" hidden="1" customWidth="1"/>
    <col min="6" max="6" width="41.140625" style="1" customWidth="1"/>
    <col min="7" max="7" width="11.00390625" style="1" customWidth="1"/>
    <col min="8" max="8" width="11.8515625" style="1" customWidth="1"/>
    <col min="9" max="9" width="11.140625" style="1" customWidth="1"/>
    <col min="10" max="16384" width="9.140625" style="1" customWidth="1"/>
  </cols>
  <sheetData>
    <row r="1" spans="1:10" s="249" customFormat="1" ht="15.75" customHeight="1">
      <c r="A1" s="282" t="s">
        <v>396</v>
      </c>
      <c r="B1" s="282"/>
      <c r="C1" s="282"/>
      <c r="D1" s="282"/>
      <c r="E1" s="282"/>
      <c r="F1" s="282" t="s">
        <v>397</v>
      </c>
      <c r="G1" s="282"/>
      <c r="H1" s="282"/>
      <c r="I1" s="282"/>
      <c r="J1" s="282"/>
    </row>
    <row r="2" spans="1:10" s="249" customFormat="1" ht="15.75" customHeight="1">
      <c r="A2" s="282"/>
      <c r="B2" s="282"/>
      <c r="C2" s="282"/>
      <c r="D2" s="282"/>
      <c r="E2" s="282"/>
      <c r="F2" s="282"/>
      <c r="G2" s="282"/>
      <c r="H2" s="282"/>
      <c r="I2" s="282"/>
      <c r="J2" s="282"/>
    </row>
    <row r="3" spans="1:12" ht="12.75" customHeight="1">
      <c r="A3" s="250"/>
      <c r="B3" s="44"/>
      <c r="C3" s="46"/>
      <c r="D3" s="148" t="s">
        <v>398</v>
      </c>
      <c r="E3" s="251"/>
      <c r="F3" s="250"/>
      <c r="G3" s="44"/>
      <c r="H3" s="46"/>
      <c r="I3" s="148" t="s">
        <v>398</v>
      </c>
      <c r="J3" s="251"/>
      <c r="K3" s="2"/>
      <c r="L3" s="2"/>
    </row>
    <row r="4" spans="1:10" s="101" customFormat="1" ht="33.75">
      <c r="A4" s="11" t="s">
        <v>7</v>
      </c>
      <c r="B4" s="12" t="s">
        <v>399</v>
      </c>
      <c r="C4" s="12" t="s">
        <v>400</v>
      </c>
      <c r="D4" s="12" t="s">
        <v>401</v>
      </c>
      <c r="E4" s="252" t="s">
        <v>402</v>
      </c>
      <c r="F4" s="11" t="s">
        <v>7</v>
      </c>
      <c r="G4" s="12" t="s">
        <v>399</v>
      </c>
      <c r="H4" s="12" t="s">
        <v>400</v>
      </c>
      <c r="I4" s="12" t="s">
        <v>401</v>
      </c>
      <c r="J4" s="252" t="s">
        <v>96</v>
      </c>
    </row>
    <row r="5" spans="1:10" s="2" customFormat="1" ht="12.75">
      <c r="A5" s="62" t="s">
        <v>403</v>
      </c>
      <c r="B5" s="68">
        <v>405514</v>
      </c>
      <c r="C5" s="65">
        <v>131581</v>
      </c>
      <c r="D5" s="68">
        <f>B5+C5</f>
        <v>537095</v>
      </c>
      <c r="E5" s="253">
        <v>140836</v>
      </c>
      <c r="F5" s="62" t="s">
        <v>403</v>
      </c>
      <c r="G5" s="68">
        <v>510019</v>
      </c>
      <c r="H5" s="65">
        <v>168552</v>
      </c>
      <c r="I5" s="68">
        <f>G5+H5</f>
        <v>678571</v>
      </c>
      <c r="J5" s="253">
        <f>I5-D5</f>
        <v>141476</v>
      </c>
    </row>
    <row r="6" spans="1:10" s="120" customFormat="1" ht="22.5">
      <c r="A6" s="254" t="s">
        <v>404</v>
      </c>
      <c r="B6" s="73" t="s">
        <v>59</v>
      </c>
      <c r="C6" s="73" t="s">
        <v>59</v>
      </c>
      <c r="D6" s="121">
        <v>30831</v>
      </c>
      <c r="E6" s="255">
        <v>9242</v>
      </c>
      <c r="F6" s="254" t="s">
        <v>404</v>
      </c>
      <c r="G6" s="73" t="s">
        <v>59</v>
      </c>
      <c r="H6" s="73" t="s">
        <v>59</v>
      </c>
      <c r="I6" s="121">
        <v>39349</v>
      </c>
      <c r="J6" s="255">
        <f aca="true" t="shared" si="0" ref="J6:J39">I6-D6</f>
        <v>8518</v>
      </c>
    </row>
    <row r="7" spans="1:10" s="120" customFormat="1" ht="22.5">
      <c r="A7" s="254" t="s">
        <v>405</v>
      </c>
      <c r="B7" s="73" t="s">
        <v>59</v>
      </c>
      <c r="C7" s="73" t="s">
        <v>59</v>
      </c>
      <c r="D7" s="121">
        <v>3961</v>
      </c>
      <c r="E7" s="255">
        <v>-584</v>
      </c>
      <c r="F7" s="254" t="s">
        <v>405</v>
      </c>
      <c r="G7" s="73" t="s">
        <v>59</v>
      </c>
      <c r="H7" s="73" t="s">
        <v>59</v>
      </c>
      <c r="I7" s="121">
        <v>4494</v>
      </c>
      <c r="J7" s="255">
        <f t="shared" si="0"/>
        <v>533</v>
      </c>
    </row>
    <row r="8" spans="1:10" s="2" customFormat="1" ht="12.75">
      <c r="A8" s="256" t="s">
        <v>406</v>
      </c>
      <c r="B8" s="70" t="s">
        <v>59</v>
      </c>
      <c r="C8" s="70" t="s">
        <v>59</v>
      </c>
      <c r="D8" s="68">
        <f>D5-D6-D7</f>
        <v>502303</v>
      </c>
      <c r="E8" s="257">
        <f>E5-E6-E7</f>
        <v>132178</v>
      </c>
      <c r="F8" s="256" t="s">
        <v>406</v>
      </c>
      <c r="G8" s="70" t="s">
        <v>59</v>
      </c>
      <c r="H8" s="70" t="s">
        <v>59</v>
      </c>
      <c r="I8" s="68">
        <f>I5-I6-I7</f>
        <v>634728</v>
      </c>
      <c r="J8" s="253">
        <f t="shared" si="0"/>
        <v>132425</v>
      </c>
    </row>
    <row r="9" spans="1:12" s="195" customFormat="1" ht="12.75">
      <c r="A9" s="62" t="s">
        <v>407</v>
      </c>
      <c r="B9" s="68">
        <v>430174</v>
      </c>
      <c r="C9" s="65">
        <v>124192</v>
      </c>
      <c r="D9" s="68">
        <f>B9+C9</f>
        <v>554366</v>
      </c>
      <c r="E9" s="253">
        <f>153802-28</f>
        <v>153774</v>
      </c>
      <c r="F9" s="62" t="s">
        <v>407</v>
      </c>
      <c r="G9" s="68">
        <v>551865</v>
      </c>
      <c r="H9" s="65">
        <v>159035</v>
      </c>
      <c r="I9" s="68">
        <f>G9+H9</f>
        <v>710900</v>
      </c>
      <c r="J9" s="253">
        <f t="shared" si="0"/>
        <v>156534</v>
      </c>
      <c r="K9" s="2"/>
      <c r="L9" s="2"/>
    </row>
    <row r="10" spans="1:12" s="258" customFormat="1" ht="22.5">
      <c r="A10" s="254" t="s">
        <v>408</v>
      </c>
      <c r="B10" s="73" t="s">
        <v>59</v>
      </c>
      <c r="C10" s="73" t="s">
        <v>59</v>
      </c>
      <c r="D10" s="121">
        <v>30831</v>
      </c>
      <c r="E10" s="255">
        <v>9242</v>
      </c>
      <c r="F10" s="254" t="s">
        <v>408</v>
      </c>
      <c r="G10" s="73" t="s">
        <v>59</v>
      </c>
      <c r="H10" s="73" t="s">
        <v>59</v>
      </c>
      <c r="I10" s="121">
        <v>39349</v>
      </c>
      <c r="J10" s="255">
        <f t="shared" si="0"/>
        <v>8518</v>
      </c>
      <c r="K10" s="120"/>
      <c r="L10" s="120"/>
    </row>
    <row r="11" spans="1:12" s="258" customFormat="1" ht="22.5">
      <c r="A11" s="254" t="s">
        <v>409</v>
      </c>
      <c r="B11" s="73" t="s">
        <v>59</v>
      </c>
      <c r="C11" s="73" t="s">
        <v>59</v>
      </c>
      <c r="D11" s="121">
        <v>3961</v>
      </c>
      <c r="E11" s="255">
        <v>-584</v>
      </c>
      <c r="F11" s="254" t="s">
        <v>409</v>
      </c>
      <c r="G11" s="73" t="s">
        <v>59</v>
      </c>
      <c r="H11" s="73" t="s">
        <v>59</v>
      </c>
      <c r="I11" s="121">
        <v>4494</v>
      </c>
      <c r="J11" s="255">
        <f t="shared" si="0"/>
        <v>533</v>
      </c>
      <c r="K11" s="120"/>
      <c r="L11" s="120"/>
    </row>
    <row r="12" spans="1:12" s="195" customFormat="1" ht="12.75">
      <c r="A12" s="256" t="s">
        <v>410</v>
      </c>
      <c r="B12" s="70" t="s">
        <v>59</v>
      </c>
      <c r="C12" s="70" t="s">
        <v>59</v>
      </c>
      <c r="D12" s="68">
        <f>D9-D10-D11</f>
        <v>519574</v>
      </c>
      <c r="E12" s="257">
        <f>E9-E10-E11</f>
        <v>145116</v>
      </c>
      <c r="F12" s="256" t="s">
        <v>410</v>
      </c>
      <c r="G12" s="70" t="s">
        <v>59</v>
      </c>
      <c r="H12" s="70" t="s">
        <v>59</v>
      </c>
      <c r="I12" s="68">
        <f>I9-I10-I11</f>
        <v>667057</v>
      </c>
      <c r="J12" s="253">
        <f t="shared" si="0"/>
        <v>147483</v>
      </c>
      <c r="K12" s="2"/>
      <c r="L12" s="2"/>
    </row>
    <row r="13" spans="1:12" s="130" customFormat="1" ht="25.5">
      <c r="A13" s="256" t="s">
        <v>411</v>
      </c>
      <c r="B13" s="68">
        <f>B5-B9</f>
        <v>-24660</v>
      </c>
      <c r="C13" s="65">
        <f>C5-C9</f>
        <v>7389</v>
      </c>
      <c r="D13" s="68">
        <f>D8-D12</f>
        <v>-17271</v>
      </c>
      <c r="E13" s="257">
        <f>E8-E12</f>
        <v>-12938</v>
      </c>
      <c r="F13" s="256" t="s">
        <v>411</v>
      </c>
      <c r="G13" s="68">
        <f>G5-G9</f>
        <v>-41846</v>
      </c>
      <c r="H13" s="65">
        <f>H5-H9</f>
        <v>9517</v>
      </c>
      <c r="I13" s="68">
        <f>I8-I12</f>
        <v>-32329</v>
      </c>
      <c r="J13" s="253">
        <f t="shared" si="0"/>
        <v>-15058</v>
      </c>
      <c r="K13" s="2"/>
      <c r="L13" s="2"/>
    </row>
    <row r="14" spans="1:12" s="130" customFormat="1" ht="12.75">
      <c r="A14" s="259" t="s">
        <v>412</v>
      </c>
      <c r="B14" s="65">
        <f>B15-B18</f>
        <v>2182</v>
      </c>
      <c r="C14" s="65">
        <f>C15-C18</f>
        <v>-652</v>
      </c>
      <c r="D14" s="65">
        <f>D17-D20</f>
        <v>4511</v>
      </c>
      <c r="E14" s="257">
        <f>E17-E20</f>
        <v>966</v>
      </c>
      <c r="F14" s="259" t="s">
        <v>412</v>
      </c>
      <c r="G14" s="65">
        <f>G15-G18</f>
        <v>3779</v>
      </c>
      <c r="H14" s="65">
        <f>H15-H18</f>
        <v>-424</v>
      </c>
      <c r="I14" s="65">
        <f>I17-I20</f>
        <v>6113</v>
      </c>
      <c r="J14" s="253">
        <f t="shared" si="0"/>
        <v>1602</v>
      </c>
      <c r="K14" s="2"/>
      <c r="L14" s="2"/>
    </row>
    <row r="15" spans="1:12" s="130" customFormat="1" ht="12.75">
      <c r="A15" s="260" t="s">
        <v>413</v>
      </c>
      <c r="B15" s="71">
        <v>11179</v>
      </c>
      <c r="C15" s="43">
        <v>2104</v>
      </c>
      <c r="D15" s="71">
        <f>B15+C15</f>
        <v>13283</v>
      </c>
      <c r="E15" s="261">
        <v>3971</v>
      </c>
      <c r="F15" s="260" t="s">
        <v>413</v>
      </c>
      <c r="G15" s="71">
        <v>14328</v>
      </c>
      <c r="H15" s="43">
        <v>2660</v>
      </c>
      <c r="I15" s="71">
        <f>G15+H15</f>
        <v>16988</v>
      </c>
      <c r="J15" s="262">
        <f t="shared" si="0"/>
        <v>3705</v>
      </c>
      <c r="K15" s="2"/>
      <c r="L15" s="2"/>
    </row>
    <row r="16" spans="1:12" s="181" customFormat="1" ht="22.5">
      <c r="A16" s="254" t="s">
        <v>414</v>
      </c>
      <c r="B16" s="73" t="s">
        <v>59</v>
      </c>
      <c r="C16" s="73" t="s">
        <v>59</v>
      </c>
      <c r="D16" s="121">
        <v>1197</v>
      </c>
      <c r="E16" s="170">
        <v>105</v>
      </c>
      <c r="F16" s="254" t="s">
        <v>414</v>
      </c>
      <c r="G16" s="73" t="s">
        <v>59</v>
      </c>
      <c r="H16" s="73" t="s">
        <v>59</v>
      </c>
      <c r="I16" s="121">
        <v>2067</v>
      </c>
      <c r="J16" s="255">
        <f t="shared" si="0"/>
        <v>870</v>
      </c>
      <c r="K16" s="120"/>
      <c r="L16" s="120"/>
    </row>
    <row r="17" spans="1:12" s="130" customFormat="1" ht="12.75">
      <c r="A17" s="259" t="s">
        <v>415</v>
      </c>
      <c r="B17" s="70" t="s">
        <v>59</v>
      </c>
      <c r="C17" s="70" t="s">
        <v>59</v>
      </c>
      <c r="D17" s="71">
        <f>D15-D16</f>
        <v>12086</v>
      </c>
      <c r="E17" s="261">
        <f>E15-E16</f>
        <v>3866</v>
      </c>
      <c r="F17" s="259" t="s">
        <v>415</v>
      </c>
      <c r="G17" s="70" t="s">
        <v>59</v>
      </c>
      <c r="H17" s="70" t="s">
        <v>59</v>
      </c>
      <c r="I17" s="71">
        <f>I15-I16</f>
        <v>14921</v>
      </c>
      <c r="J17" s="253">
        <f t="shared" si="0"/>
        <v>2835</v>
      </c>
      <c r="K17" s="2"/>
      <c r="L17" s="2"/>
    </row>
    <row r="18" spans="1:12" s="130" customFormat="1" ht="12.75">
      <c r="A18" s="260" t="s">
        <v>416</v>
      </c>
      <c r="B18" s="71">
        <v>8997</v>
      </c>
      <c r="C18" s="43">
        <v>2756</v>
      </c>
      <c r="D18" s="71">
        <f>B18+C18</f>
        <v>11753</v>
      </c>
      <c r="E18" s="261">
        <v>3398</v>
      </c>
      <c r="F18" s="260" t="s">
        <v>416</v>
      </c>
      <c r="G18" s="71">
        <v>10549</v>
      </c>
      <c r="H18" s="43">
        <v>3084</v>
      </c>
      <c r="I18" s="71">
        <f>G18+H18</f>
        <v>13633</v>
      </c>
      <c r="J18" s="262">
        <f t="shared" si="0"/>
        <v>1880</v>
      </c>
      <c r="K18" s="2"/>
      <c r="L18" s="2"/>
    </row>
    <row r="19" spans="1:12" s="130" customFormat="1" ht="22.5">
      <c r="A19" s="254" t="s">
        <v>417</v>
      </c>
      <c r="B19" s="70" t="s">
        <v>59</v>
      </c>
      <c r="C19" s="70" t="s">
        <v>59</v>
      </c>
      <c r="D19" s="121">
        <v>4178</v>
      </c>
      <c r="E19" s="170">
        <v>498</v>
      </c>
      <c r="F19" s="254" t="s">
        <v>417</v>
      </c>
      <c r="G19" s="70" t="s">
        <v>59</v>
      </c>
      <c r="H19" s="70" t="s">
        <v>59</v>
      </c>
      <c r="I19" s="121">
        <v>4825</v>
      </c>
      <c r="J19" s="255">
        <f t="shared" si="0"/>
        <v>647</v>
      </c>
      <c r="K19" s="2"/>
      <c r="L19" s="2"/>
    </row>
    <row r="20" spans="1:12" s="130" customFormat="1" ht="12.75">
      <c r="A20" s="259" t="s">
        <v>418</v>
      </c>
      <c r="B20" s="70" t="s">
        <v>59</v>
      </c>
      <c r="C20" s="70" t="s">
        <v>59</v>
      </c>
      <c r="D20" s="71">
        <f>D18-D19</f>
        <v>7575</v>
      </c>
      <c r="E20" s="261">
        <f>E18-E19</f>
        <v>2900</v>
      </c>
      <c r="F20" s="259" t="s">
        <v>418</v>
      </c>
      <c r="G20" s="70" t="s">
        <v>59</v>
      </c>
      <c r="H20" s="70" t="s">
        <v>59</v>
      </c>
      <c r="I20" s="71">
        <f>I18-I19</f>
        <v>8808</v>
      </c>
      <c r="J20" s="253">
        <f t="shared" si="0"/>
        <v>1233</v>
      </c>
      <c r="K20" s="2"/>
      <c r="L20" s="2"/>
    </row>
    <row r="21" spans="1:12" s="130" customFormat="1" ht="12.75">
      <c r="A21" s="256" t="s">
        <v>419</v>
      </c>
      <c r="B21" s="65">
        <f>B13-B14</f>
        <v>-26842</v>
      </c>
      <c r="C21" s="65">
        <f>C13-C14</f>
        <v>8041</v>
      </c>
      <c r="D21" s="68">
        <f>D13-D14</f>
        <v>-21782</v>
      </c>
      <c r="E21" s="257">
        <f>E13-E14</f>
        <v>-13904</v>
      </c>
      <c r="F21" s="256" t="s">
        <v>419</v>
      </c>
      <c r="G21" s="65">
        <f>G13-G14</f>
        <v>-45625</v>
      </c>
      <c r="H21" s="65">
        <f>H13-H14</f>
        <v>9941</v>
      </c>
      <c r="I21" s="68">
        <f>I13-I14</f>
        <v>-38442</v>
      </c>
      <c r="J21" s="253">
        <f t="shared" si="0"/>
        <v>-16660</v>
      </c>
      <c r="K21" s="2"/>
      <c r="L21" s="2"/>
    </row>
    <row r="22" spans="1:12" s="130" customFormat="1" ht="12.75">
      <c r="A22" s="62" t="s">
        <v>420</v>
      </c>
      <c r="B22" s="68">
        <f>B23+B39</f>
        <v>26842</v>
      </c>
      <c r="C22" s="65">
        <f>C23+C39</f>
        <v>-8041</v>
      </c>
      <c r="D22" s="68">
        <f>D23+D39</f>
        <v>21782</v>
      </c>
      <c r="E22" s="263">
        <f>E23+E39</f>
        <v>15068</v>
      </c>
      <c r="F22" s="62" t="s">
        <v>420</v>
      </c>
      <c r="G22" s="68">
        <f>G23+G39</f>
        <v>45625</v>
      </c>
      <c r="H22" s="65">
        <f>H23+H39</f>
        <v>-9941</v>
      </c>
      <c r="I22" s="68">
        <f>I23+I39</f>
        <v>38442</v>
      </c>
      <c r="J22" s="253">
        <f t="shared" si="0"/>
        <v>16660</v>
      </c>
      <c r="K22" s="2"/>
      <c r="L22" s="2"/>
    </row>
    <row r="23" spans="1:12" s="130" customFormat="1" ht="12.75">
      <c r="A23" s="62" t="s">
        <v>421</v>
      </c>
      <c r="B23" s="68">
        <f>B24+B29+B34+B38</f>
        <v>28468</v>
      </c>
      <c r="C23" s="65">
        <f>C24+C29+C34+C38</f>
        <v>-8041</v>
      </c>
      <c r="D23" s="65">
        <f>D24+D29+D34+D38</f>
        <v>23408</v>
      </c>
      <c r="E23" s="257">
        <f>E24+E29+E34+E38</f>
        <v>14466</v>
      </c>
      <c r="F23" s="62" t="s">
        <v>421</v>
      </c>
      <c r="G23" s="68">
        <f>G24+G29+G34+G38</f>
        <v>-47483</v>
      </c>
      <c r="H23" s="65">
        <f>H24+H29+H34+H38</f>
        <v>-9941</v>
      </c>
      <c r="I23" s="65">
        <f>I24+I29+I34+I38</f>
        <v>-54666</v>
      </c>
      <c r="J23" s="253">
        <f t="shared" si="0"/>
        <v>-78074</v>
      </c>
      <c r="K23" s="2"/>
      <c r="L23" s="2"/>
    </row>
    <row r="24" spans="1:12" s="28" customFormat="1" ht="12.75">
      <c r="A24" s="264" t="s">
        <v>422</v>
      </c>
      <c r="B24" s="43">
        <f>B25+B26</f>
        <v>-1165</v>
      </c>
      <c r="C24" s="43">
        <f>C25+C26</f>
        <v>-3344</v>
      </c>
      <c r="D24" s="43">
        <f>D25+D28</f>
        <v>-1051</v>
      </c>
      <c r="E24" s="266">
        <f>E25+E28</f>
        <v>324</v>
      </c>
      <c r="F24" s="264" t="s">
        <v>422</v>
      </c>
      <c r="G24" s="43">
        <f>G25+G26</f>
        <v>-1932</v>
      </c>
      <c r="H24" s="43">
        <f>H25+H26</f>
        <v>-2612</v>
      </c>
      <c r="I24" s="43">
        <f>I25+I28</f>
        <v>-1786</v>
      </c>
      <c r="J24" s="262">
        <f t="shared" si="0"/>
        <v>-735</v>
      </c>
      <c r="K24" s="2"/>
      <c r="L24" s="2"/>
    </row>
    <row r="25" spans="1:12" s="28" customFormat="1" ht="22.5">
      <c r="A25" s="254" t="s">
        <v>423</v>
      </c>
      <c r="B25" s="121">
        <v>-1165</v>
      </c>
      <c r="C25" s="74">
        <v>114</v>
      </c>
      <c r="D25" s="121">
        <f>B25+C25</f>
        <v>-1051</v>
      </c>
      <c r="E25" s="170">
        <v>324</v>
      </c>
      <c r="F25" s="254" t="s">
        <v>423</v>
      </c>
      <c r="G25" s="121">
        <v>-1932</v>
      </c>
      <c r="H25" s="74">
        <v>146</v>
      </c>
      <c r="I25" s="121">
        <f>G25+H25</f>
        <v>-1786</v>
      </c>
      <c r="J25" s="255">
        <f t="shared" si="0"/>
        <v>-735</v>
      </c>
      <c r="K25" s="120"/>
      <c r="L25" s="120"/>
    </row>
    <row r="26" spans="1:12" s="267" customFormat="1" ht="12.75">
      <c r="A26" s="254" t="s">
        <v>424</v>
      </c>
      <c r="B26" s="121"/>
      <c r="C26" s="74">
        <v>-3458</v>
      </c>
      <c r="D26" s="121">
        <f>B26+C26</f>
        <v>-3458</v>
      </c>
      <c r="E26" s="170">
        <f>-2006-28</f>
        <v>-2034</v>
      </c>
      <c r="F26" s="254" t="s">
        <v>424</v>
      </c>
      <c r="G26" s="121"/>
      <c r="H26" s="74">
        <f>-3312+554</f>
        <v>-2758</v>
      </c>
      <c r="I26" s="121">
        <f>G26+H26</f>
        <v>-2758</v>
      </c>
      <c r="J26" s="255">
        <f t="shared" si="0"/>
        <v>700</v>
      </c>
      <c r="K26" s="120"/>
      <c r="L26" s="120"/>
    </row>
    <row r="27" spans="1:12" s="28" customFormat="1" ht="22.5">
      <c r="A27" s="268" t="s">
        <v>425</v>
      </c>
      <c r="B27" s="70" t="s">
        <v>59</v>
      </c>
      <c r="C27" s="43" t="s">
        <v>59</v>
      </c>
      <c r="D27" s="71">
        <v>3458</v>
      </c>
      <c r="E27" s="261">
        <v>-870</v>
      </c>
      <c r="F27" s="268" t="s">
        <v>425</v>
      </c>
      <c r="G27" s="70" t="s">
        <v>59</v>
      </c>
      <c r="H27" s="70" t="s">
        <v>59</v>
      </c>
      <c r="I27" s="71">
        <v>2758</v>
      </c>
      <c r="J27" s="262">
        <f t="shared" si="0"/>
        <v>-700</v>
      </c>
      <c r="K27" s="2"/>
      <c r="L27" s="2"/>
    </row>
    <row r="28" spans="1:12" s="28" customFormat="1" ht="12.75">
      <c r="A28" s="254" t="s">
        <v>426</v>
      </c>
      <c r="B28" s="70" t="s">
        <v>59</v>
      </c>
      <c r="C28" s="43" t="s">
        <v>59</v>
      </c>
      <c r="D28" s="71">
        <f>D26+D27</f>
        <v>0</v>
      </c>
      <c r="E28" s="261"/>
      <c r="F28" s="254" t="s">
        <v>426</v>
      </c>
      <c r="G28" s="70" t="s">
        <v>59</v>
      </c>
      <c r="H28" s="70" t="s">
        <v>59</v>
      </c>
      <c r="I28" s="71">
        <f>I26+I27</f>
        <v>0</v>
      </c>
      <c r="J28" s="262">
        <f t="shared" si="0"/>
        <v>0</v>
      </c>
      <c r="K28" s="2"/>
      <c r="L28" s="2"/>
    </row>
    <row r="29" spans="1:12" s="28" customFormat="1" ht="12.75">
      <c r="A29" s="269" t="s">
        <v>427</v>
      </c>
      <c r="B29" s="71">
        <f>SUM(B30:B33)</f>
        <v>4916</v>
      </c>
      <c r="C29" s="43">
        <f>SUM(C30:C33)</f>
        <v>0</v>
      </c>
      <c r="D29" s="71">
        <f aca="true" t="shared" si="1" ref="D29:D39">B29+C29</f>
        <v>4916</v>
      </c>
      <c r="E29" s="266">
        <f>SUM(E30:E33)</f>
        <v>21934</v>
      </c>
      <c r="F29" s="269" t="s">
        <v>427</v>
      </c>
      <c r="G29" s="71">
        <f>SUM(G30:G33)</f>
        <v>-59287</v>
      </c>
      <c r="H29" s="43">
        <f>SUM(H30:H33)</f>
        <v>0</v>
      </c>
      <c r="I29" s="71">
        <f aca="true" t="shared" si="2" ref="I29:I38">G29+H29</f>
        <v>-59287</v>
      </c>
      <c r="J29" s="262">
        <f t="shared" si="0"/>
        <v>-64203</v>
      </c>
      <c r="K29" s="2"/>
      <c r="L29" s="2"/>
    </row>
    <row r="30" spans="1:12" s="28" customFormat="1" ht="12.75">
      <c r="A30" s="254" t="s">
        <v>428</v>
      </c>
      <c r="B30" s="121"/>
      <c r="C30" s="43"/>
      <c r="D30" s="121">
        <f t="shared" si="1"/>
        <v>0</v>
      </c>
      <c r="E30" s="170"/>
      <c r="F30" s="254" t="s">
        <v>428</v>
      </c>
      <c r="G30" s="121"/>
      <c r="H30" s="43"/>
      <c r="I30" s="121">
        <f t="shared" si="2"/>
        <v>0</v>
      </c>
      <c r="J30" s="255">
        <f t="shared" si="0"/>
        <v>0</v>
      </c>
      <c r="K30" s="2"/>
      <c r="L30" s="2"/>
    </row>
    <row r="31" spans="1:12" s="28" customFormat="1" ht="12.75">
      <c r="A31" s="254" t="s">
        <v>429</v>
      </c>
      <c r="B31" s="121">
        <v>-12833</v>
      </c>
      <c r="C31" s="43"/>
      <c r="D31" s="121">
        <f t="shared" si="1"/>
        <v>-12833</v>
      </c>
      <c r="E31" s="170">
        <v>9625</v>
      </c>
      <c r="F31" s="254" t="s">
        <v>429</v>
      </c>
      <c r="G31" s="121">
        <v>-81636</v>
      </c>
      <c r="H31" s="43"/>
      <c r="I31" s="121">
        <f t="shared" si="2"/>
        <v>-81636</v>
      </c>
      <c r="J31" s="255">
        <f t="shared" si="0"/>
        <v>-68803</v>
      </c>
      <c r="K31" s="2"/>
      <c r="L31" s="2"/>
    </row>
    <row r="32" spans="1:12" s="28" customFormat="1" ht="22.5">
      <c r="A32" s="254" t="s">
        <v>430</v>
      </c>
      <c r="B32" s="121">
        <v>-62</v>
      </c>
      <c r="C32" s="43"/>
      <c r="D32" s="121">
        <f t="shared" si="1"/>
        <v>-62</v>
      </c>
      <c r="E32" s="170">
        <v>12973</v>
      </c>
      <c r="F32" s="254" t="s">
        <v>430</v>
      </c>
      <c r="G32" s="121">
        <v>-369</v>
      </c>
      <c r="H32" s="43"/>
      <c r="I32" s="121">
        <f t="shared" si="2"/>
        <v>-369</v>
      </c>
      <c r="J32" s="255">
        <f t="shared" si="0"/>
        <v>-307</v>
      </c>
      <c r="K32" s="2"/>
      <c r="L32" s="2"/>
    </row>
    <row r="33" spans="1:12" s="28" customFormat="1" ht="12.75">
      <c r="A33" s="254" t="s">
        <v>431</v>
      </c>
      <c r="B33" s="121">
        <v>17811</v>
      </c>
      <c r="C33" s="43"/>
      <c r="D33" s="121">
        <f t="shared" si="1"/>
        <v>17811</v>
      </c>
      <c r="E33" s="170">
        <v>-664</v>
      </c>
      <c r="F33" s="254" t="s">
        <v>431</v>
      </c>
      <c r="G33" s="121">
        <v>22718</v>
      </c>
      <c r="H33" s="43"/>
      <c r="I33" s="121">
        <f t="shared" si="2"/>
        <v>22718</v>
      </c>
      <c r="J33" s="255">
        <f t="shared" si="0"/>
        <v>4907</v>
      </c>
      <c r="K33" s="2"/>
      <c r="L33" s="2"/>
    </row>
    <row r="34" spans="1:12" s="28" customFormat="1" ht="12.75">
      <c r="A34" s="270" t="s">
        <v>432</v>
      </c>
      <c r="B34" s="121">
        <f>SUM(B35:B37)</f>
        <v>24717</v>
      </c>
      <c r="C34" s="74">
        <f>SUM(C35:C37)</f>
        <v>-5274</v>
      </c>
      <c r="D34" s="71">
        <f t="shared" si="1"/>
        <v>19443</v>
      </c>
      <c r="E34" s="271">
        <v>-7854</v>
      </c>
      <c r="F34" s="270" t="s">
        <v>432</v>
      </c>
      <c r="G34" s="71">
        <f>SUM(G35:G37)</f>
        <v>19736</v>
      </c>
      <c r="H34" s="74">
        <f>SUM(H35:H37)</f>
        <v>-7561</v>
      </c>
      <c r="I34" s="71">
        <f t="shared" si="2"/>
        <v>12175</v>
      </c>
      <c r="J34" s="262">
        <f t="shared" si="0"/>
        <v>-7268</v>
      </c>
      <c r="K34" s="2"/>
      <c r="L34" s="2"/>
    </row>
    <row r="35" spans="1:12" s="28" customFormat="1" ht="12.75">
      <c r="A35" s="73" t="s">
        <v>433</v>
      </c>
      <c r="B35" s="121"/>
      <c r="C35" s="74">
        <v>-17</v>
      </c>
      <c r="D35" s="121">
        <f t="shared" si="1"/>
        <v>-17</v>
      </c>
      <c r="E35" s="170">
        <v>-31</v>
      </c>
      <c r="F35" s="73" t="s">
        <v>433</v>
      </c>
      <c r="G35" s="121"/>
      <c r="H35" s="74">
        <v>-26</v>
      </c>
      <c r="I35" s="121">
        <f t="shared" si="2"/>
        <v>-26</v>
      </c>
      <c r="J35" s="255">
        <f t="shared" si="0"/>
        <v>-9</v>
      </c>
      <c r="K35" s="2"/>
      <c r="L35" s="2"/>
    </row>
    <row r="36" spans="1:12" s="28" customFormat="1" ht="12.75">
      <c r="A36" s="73" t="s">
        <v>429</v>
      </c>
      <c r="B36" s="121">
        <v>19691</v>
      </c>
      <c r="C36" s="43"/>
      <c r="D36" s="121">
        <f t="shared" si="1"/>
        <v>19691</v>
      </c>
      <c r="E36" s="170">
        <v>170</v>
      </c>
      <c r="F36" s="73" t="s">
        <v>429</v>
      </c>
      <c r="G36" s="121">
        <v>15191</v>
      </c>
      <c r="H36" s="43"/>
      <c r="I36" s="121">
        <f t="shared" si="2"/>
        <v>15191</v>
      </c>
      <c r="J36" s="255">
        <f t="shared" si="0"/>
        <v>-4500</v>
      </c>
      <c r="K36" s="2"/>
      <c r="L36" s="2"/>
    </row>
    <row r="37" spans="1:12" s="28" customFormat="1" ht="22.5">
      <c r="A37" s="254" t="s">
        <v>430</v>
      </c>
      <c r="B37" s="121">
        <v>5026</v>
      </c>
      <c r="C37" s="74">
        <v>-5257</v>
      </c>
      <c r="D37" s="121">
        <f t="shared" si="1"/>
        <v>-231</v>
      </c>
      <c r="E37" s="170">
        <v>-7802</v>
      </c>
      <c r="F37" s="254" t="s">
        <v>430</v>
      </c>
      <c r="G37" s="121">
        <v>4545</v>
      </c>
      <c r="H37" s="74">
        <v>-7535</v>
      </c>
      <c r="I37" s="121">
        <f t="shared" si="2"/>
        <v>-2990</v>
      </c>
      <c r="J37" s="255">
        <f t="shared" si="0"/>
        <v>-2759</v>
      </c>
      <c r="K37" s="2"/>
      <c r="L37" s="2"/>
    </row>
    <row r="38" spans="1:12" s="28" customFormat="1" ht="12.75">
      <c r="A38" s="270" t="s">
        <v>434</v>
      </c>
      <c r="B38" s="71"/>
      <c r="C38" s="43">
        <v>577</v>
      </c>
      <c r="D38" s="71">
        <v>100</v>
      </c>
      <c r="E38" s="261">
        <v>62</v>
      </c>
      <c r="F38" s="270" t="s">
        <v>434</v>
      </c>
      <c r="G38" s="71">
        <v>-6000</v>
      </c>
      <c r="H38" s="43">
        <f>786-554</f>
        <v>232</v>
      </c>
      <c r="I38" s="121">
        <f t="shared" si="2"/>
        <v>-5768</v>
      </c>
      <c r="J38" s="255">
        <f t="shared" si="0"/>
        <v>-5868</v>
      </c>
      <c r="K38" s="2"/>
      <c r="L38" s="2"/>
    </row>
    <row r="39" spans="1:12" s="28" customFormat="1" ht="12.75">
      <c r="A39" s="150" t="s">
        <v>435</v>
      </c>
      <c r="B39" s="68">
        <v>-1626</v>
      </c>
      <c r="C39" s="65"/>
      <c r="D39" s="68">
        <f t="shared" si="1"/>
        <v>-1626</v>
      </c>
      <c r="E39" s="257">
        <v>602</v>
      </c>
      <c r="F39" s="150" t="s">
        <v>435</v>
      </c>
      <c r="G39" s="68">
        <v>93108</v>
      </c>
      <c r="H39" s="65"/>
      <c r="I39" s="68">
        <f>G39+H39</f>
        <v>93108</v>
      </c>
      <c r="J39" s="253">
        <f t="shared" si="0"/>
        <v>94734</v>
      </c>
      <c r="K39" s="2"/>
      <c r="L39" s="2"/>
    </row>
    <row r="40" spans="1:12" ht="12.75">
      <c r="A40" s="47" t="s">
        <v>436</v>
      </c>
      <c r="B40" s="272"/>
      <c r="C40" s="93"/>
      <c r="D40" s="33"/>
      <c r="E40" s="251"/>
      <c r="F40" s="47" t="s">
        <v>436</v>
      </c>
      <c r="G40" s="272"/>
      <c r="H40" s="93"/>
      <c r="I40" s="33"/>
      <c r="J40" s="251"/>
      <c r="K40" s="2"/>
      <c r="L40" s="2"/>
    </row>
    <row r="41" spans="1:12" ht="12.75">
      <c r="A41" s="44"/>
      <c r="B41" s="273"/>
      <c r="C41" s="93"/>
      <c r="D41" s="274"/>
      <c r="E41" s="275"/>
      <c r="F41" s="44"/>
      <c r="G41" s="273"/>
      <c r="H41" s="93"/>
      <c r="I41" s="274"/>
      <c r="J41" s="275"/>
      <c r="K41" s="2"/>
      <c r="L41" s="2"/>
    </row>
    <row r="42" spans="1:12" ht="12.75">
      <c r="A42" s="281"/>
      <c r="B42" s="281"/>
      <c r="C42" s="281"/>
      <c r="D42" s="281"/>
      <c r="E42" s="251"/>
      <c r="F42" s="281"/>
      <c r="G42" s="281"/>
      <c r="H42" s="281"/>
      <c r="I42" s="281"/>
      <c r="J42" s="251"/>
      <c r="K42" s="2"/>
      <c r="L42" s="2"/>
    </row>
    <row r="43" spans="1:12" ht="12.75">
      <c r="A43" s="281"/>
      <c r="B43" s="281"/>
      <c r="C43" s="281"/>
      <c r="D43" s="281"/>
      <c r="E43" s="251"/>
      <c r="F43" s="281"/>
      <c r="G43" s="281"/>
      <c r="H43" s="281"/>
      <c r="I43" s="281"/>
      <c r="J43" s="251"/>
      <c r="K43" s="2"/>
      <c r="L43" s="2"/>
    </row>
    <row r="44" spans="1:12" ht="12.75">
      <c r="A44" s="281" t="s">
        <v>437</v>
      </c>
      <c r="B44" s="281"/>
      <c r="C44" s="281"/>
      <c r="D44" s="281"/>
      <c r="E44" s="251"/>
      <c r="F44" s="281" t="s">
        <v>438</v>
      </c>
      <c r="G44" s="281"/>
      <c r="H44" s="281"/>
      <c r="I44" s="281"/>
      <c r="J44" s="251"/>
      <c r="K44" s="2"/>
      <c r="L44" s="2"/>
    </row>
    <row r="45" spans="3:12" s="101" customFormat="1" ht="11.25">
      <c r="C45" s="276"/>
      <c r="D45" s="277"/>
      <c r="E45" s="278"/>
      <c r="H45" s="276"/>
      <c r="I45" s="277"/>
      <c r="J45" s="278"/>
      <c r="K45" s="277"/>
      <c r="L45" s="277"/>
    </row>
    <row r="46" spans="3:10" s="101" customFormat="1" ht="11.25">
      <c r="C46" s="47"/>
      <c r="E46" s="207"/>
      <c r="H46" s="47"/>
      <c r="J46" s="207"/>
    </row>
    <row r="47" spans="1:12" ht="12.75">
      <c r="A47" s="101" t="s">
        <v>439</v>
      </c>
      <c r="B47" s="272"/>
      <c r="C47" s="93"/>
      <c r="D47" s="33"/>
      <c r="E47" s="251"/>
      <c r="F47" s="101" t="s">
        <v>439</v>
      </c>
      <c r="G47" s="272"/>
      <c r="H47" s="93"/>
      <c r="I47" s="33"/>
      <c r="J47" s="251"/>
      <c r="K47" s="2"/>
      <c r="L47" s="2"/>
    </row>
    <row r="48" spans="1:12" ht="12.75">
      <c r="A48" s="101" t="s">
        <v>440</v>
      </c>
      <c r="B48" s="272"/>
      <c r="C48" s="93"/>
      <c r="D48" s="33"/>
      <c r="E48" s="251"/>
      <c r="F48" s="101" t="s">
        <v>35</v>
      </c>
      <c r="G48" s="272"/>
      <c r="H48" s="93"/>
      <c r="I48" s="33"/>
      <c r="J48" s="251"/>
      <c r="K48" s="2"/>
      <c r="L48" s="2"/>
    </row>
    <row r="49" spans="1:12" ht="12.75">
      <c r="A49" s="2"/>
      <c r="B49" s="2"/>
      <c r="C49" s="93"/>
      <c r="D49" s="2"/>
      <c r="E49" s="251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93"/>
      <c r="D50" s="279"/>
      <c r="E50" s="280"/>
      <c r="F50" s="279"/>
      <c r="G50" s="279"/>
      <c r="H50" s="279"/>
      <c r="I50" s="279"/>
      <c r="J50" s="279"/>
      <c r="K50" s="279"/>
      <c r="L50" s="279"/>
    </row>
  </sheetData>
  <mergeCells count="8">
    <mergeCell ref="A1:E2"/>
    <mergeCell ref="F1:J2"/>
    <mergeCell ref="A42:D42"/>
    <mergeCell ref="F42:I42"/>
    <mergeCell ref="A43:D43"/>
    <mergeCell ref="F43:I43"/>
    <mergeCell ref="A44:D44"/>
    <mergeCell ref="F44:I4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">
      <selection activeCell="C14" sqref="C14"/>
    </sheetView>
  </sheetViews>
  <sheetFormatPr defaultColWidth="9.140625" defaultRowHeight="12.75"/>
  <cols>
    <col min="1" max="1" width="39.421875" style="1" customWidth="1"/>
    <col min="2" max="2" width="8.7109375" style="1" customWidth="1"/>
    <col min="3" max="3" width="11.421875" style="1" customWidth="1"/>
    <col min="4" max="4" width="9.57421875" style="1" customWidth="1"/>
    <col min="5" max="5" width="8.28125" style="1" customWidth="1"/>
    <col min="6" max="6" width="10.8515625" style="1" customWidth="1"/>
    <col min="7" max="16384" width="9.140625" style="1" customWidth="1"/>
  </cols>
  <sheetData>
    <row r="1" spans="3:4" ht="12.75">
      <c r="C1" s="2"/>
      <c r="D1" s="2"/>
    </row>
    <row r="2" spans="1:6" ht="12.75">
      <c r="A2" s="2" t="s">
        <v>3</v>
      </c>
      <c r="C2" s="2"/>
      <c r="D2" s="2"/>
      <c r="E2" s="2"/>
      <c r="F2" s="4" t="s">
        <v>2</v>
      </c>
    </row>
    <row r="3" spans="1:6" ht="15.75">
      <c r="A3" s="283" t="s">
        <v>4</v>
      </c>
      <c r="B3" s="283"/>
      <c r="C3" s="283"/>
      <c r="D3" s="283"/>
      <c r="E3" s="283"/>
      <c r="F3" s="283"/>
    </row>
    <row r="4" ht="15.75">
      <c r="A4" s="5" t="s">
        <v>5</v>
      </c>
    </row>
    <row r="7" ht="12">
      <c r="F7" s="6"/>
    </row>
    <row r="8" spans="4:6" ht="12.75">
      <c r="D8" s="2"/>
      <c r="F8" s="8" t="s">
        <v>6</v>
      </c>
    </row>
    <row r="9" spans="1:6" ht="60" customHeight="1">
      <c r="A9" s="9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10" t="s">
        <v>12</v>
      </c>
    </row>
    <row r="10" spans="1:6" ht="12" customHeight="1">
      <c r="A10" s="11">
        <v>1</v>
      </c>
      <c r="B10" s="11">
        <v>2</v>
      </c>
      <c r="C10" s="12">
        <v>3</v>
      </c>
      <c r="D10" s="12">
        <v>4</v>
      </c>
      <c r="E10" s="12">
        <v>5</v>
      </c>
      <c r="F10" s="13">
        <v>6</v>
      </c>
    </row>
    <row r="11" spans="1:6" ht="18" customHeight="1">
      <c r="A11" s="14" t="s">
        <v>13</v>
      </c>
      <c r="B11" s="15"/>
      <c r="C11" s="18">
        <v>870884</v>
      </c>
      <c r="D11" s="18">
        <v>309044</v>
      </c>
      <c r="E11" s="19">
        <v>0.35486241566040944</v>
      </c>
      <c r="F11" s="18">
        <v>3609</v>
      </c>
    </row>
    <row r="12" spans="1:6" ht="18" customHeight="1">
      <c r="A12" s="24" t="s">
        <v>14</v>
      </c>
      <c r="B12" s="25">
        <v>1</v>
      </c>
      <c r="C12" s="26">
        <v>133</v>
      </c>
      <c r="D12" s="26">
        <v>285</v>
      </c>
      <c r="E12" s="27">
        <v>2.142857142857143</v>
      </c>
      <c r="F12" s="26">
        <v>3115</v>
      </c>
    </row>
    <row r="13" spans="1:6" ht="18.75" customHeight="1">
      <c r="A13" s="29" t="s">
        <v>15</v>
      </c>
      <c r="B13" s="25">
        <v>2</v>
      </c>
      <c r="C13" s="26">
        <v>0</v>
      </c>
      <c r="D13" s="26">
        <v>0</v>
      </c>
      <c r="E13" s="27" t="s">
        <v>16</v>
      </c>
      <c r="F13" s="26">
        <v>0</v>
      </c>
    </row>
    <row r="14" spans="1:6" ht="17.25" customHeight="1">
      <c r="A14" s="29" t="s">
        <v>17</v>
      </c>
      <c r="B14" s="25">
        <v>3</v>
      </c>
      <c r="C14" s="26">
        <v>0</v>
      </c>
      <c r="D14" s="26">
        <v>0</v>
      </c>
      <c r="E14" s="27" t="s">
        <v>16</v>
      </c>
      <c r="F14" s="26">
        <v>0</v>
      </c>
    </row>
    <row r="15" spans="1:6" ht="16.5" customHeight="1">
      <c r="A15" s="29" t="s">
        <v>18</v>
      </c>
      <c r="B15" s="25">
        <v>4</v>
      </c>
      <c r="C15" s="26">
        <v>718</v>
      </c>
      <c r="D15" s="26">
        <v>0</v>
      </c>
      <c r="E15" s="27">
        <v>0</v>
      </c>
      <c r="F15" s="26">
        <v>143</v>
      </c>
    </row>
    <row r="16" spans="1:6" ht="18.75" customHeight="1">
      <c r="A16" s="29" t="s">
        <v>19</v>
      </c>
      <c r="B16" s="25">
        <v>5</v>
      </c>
      <c r="C16" s="26">
        <v>147053</v>
      </c>
      <c r="D16" s="26">
        <v>0</v>
      </c>
      <c r="E16" s="27">
        <v>0</v>
      </c>
      <c r="F16" s="26">
        <v>0</v>
      </c>
    </row>
    <row r="17" spans="1:6" ht="18" customHeight="1">
      <c r="A17" s="29" t="s">
        <v>20</v>
      </c>
      <c r="B17" s="25">
        <v>6</v>
      </c>
      <c r="C17" s="26">
        <v>510061</v>
      </c>
      <c r="D17" s="26">
        <v>209236</v>
      </c>
      <c r="E17" s="27">
        <v>0.4102176014241434</v>
      </c>
      <c r="F17" s="26">
        <v>204</v>
      </c>
    </row>
    <row r="18" spans="1:6" ht="24" customHeight="1">
      <c r="A18" s="31" t="s">
        <v>21</v>
      </c>
      <c r="B18" s="25">
        <v>7</v>
      </c>
      <c r="C18" s="26">
        <v>10127</v>
      </c>
      <c r="D18" s="26">
        <v>54510</v>
      </c>
      <c r="E18" s="27">
        <v>5.382640466080774</v>
      </c>
      <c r="F18" s="26">
        <v>14</v>
      </c>
    </row>
    <row r="19" spans="1:6" ht="15.75" customHeight="1">
      <c r="A19" s="29" t="s">
        <v>22</v>
      </c>
      <c r="B19" s="25">
        <v>8</v>
      </c>
      <c r="C19" s="26">
        <v>4225</v>
      </c>
      <c r="D19" s="26">
        <v>1725</v>
      </c>
      <c r="E19" s="27">
        <v>0.40828402366863903</v>
      </c>
      <c r="F19" s="26">
        <v>4</v>
      </c>
    </row>
    <row r="20" spans="1:6" ht="20.25" customHeight="1">
      <c r="A20" s="29" t="s">
        <v>23</v>
      </c>
      <c r="B20" s="25">
        <v>9</v>
      </c>
      <c r="C20" s="26">
        <v>0</v>
      </c>
      <c r="D20" s="26">
        <v>0</v>
      </c>
      <c r="E20" s="27" t="s">
        <v>16</v>
      </c>
      <c r="F20" s="26">
        <v>0</v>
      </c>
    </row>
    <row r="21" spans="1:6" ht="24.75" customHeight="1">
      <c r="A21" s="31" t="s">
        <v>24</v>
      </c>
      <c r="B21" s="25">
        <v>10</v>
      </c>
      <c r="C21" s="26">
        <v>24600</v>
      </c>
      <c r="D21" s="26">
        <v>8089</v>
      </c>
      <c r="E21" s="27">
        <v>0.3288211382113821</v>
      </c>
      <c r="F21" s="26">
        <v>124</v>
      </c>
    </row>
    <row r="22" spans="1:6" ht="27.75" customHeight="1">
      <c r="A22" s="31" t="s">
        <v>25</v>
      </c>
      <c r="B22" s="25">
        <v>11</v>
      </c>
      <c r="C22" s="26">
        <v>0</v>
      </c>
      <c r="D22" s="26">
        <v>0</v>
      </c>
      <c r="E22" s="27" t="s">
        <v>16</v>
      </c>
      <c r="F22" s="26">
        <v>0</v>
      </c>
    </row>
    <row r="23" spans="1:6" ht="18" customHeight="1">
      <c r="A23" s="29" t="s">
        <v>26</v>
      </c>
      <c r="B23" s="25">
        <v>12</v>
      </c>
      <c r="C23" s="26">
        <v>122570</v>
      </c>
      <c r="D23" s="26">
        <v>30471</v>
      </c>
      <c r="E23" s="27">
        <v>0.24860079954311823</v>
      </c>
      <c r="F23" s="26">
        <v>0</v>
      </c>
    </row>
    <row r="24" spans="1:6" ht="18.75" customHeight="1">
      <c r="A24" s="29" t="s">
        <v>27</v>
      </c>
      <c r="B24" s="25">
        <v>13</v>
      </c>
      <c r="C24" s="26">
        <v>51397</v>
      </c>
      <c r="D24" s="26">
        <v>3495</v>
      </c>
      <c r="E24" s="27">
        <v>0.06800007782555402</v>
      </c>
      <c r="F24" s="26">
        <v>5</v>
      </c>
    </row>
    <row r="25" spans="1:6" ht="24" customHeight="1">
      <c r="A25" s="31" t="s">
        <v>29</v>
      </c>
      <c r="B25" s="25">
        <v>14</v>
      </c>
      <c r="C25" s="26">
        <v>0</v>
      </c>
      <c r="D25" s="26">
        <v>1233</v>
      </c>
      <c r="E25" s="27" t="s">
        <v>16</v>
      </c>
      <c r="F25" s="26">
        <v>0</v>
      </c>
    </row>
    <row r="26" spans="2:5" ht="12.75">
      <c r="B26" s="32"/>
      <c r="C26" s="33"/>
      <c r="D26" s="33"/>
      <c r="E26" s="34"/>
    </row>
    <row r="27" spans="1:5" ht="14.25">
      <c r="A27" s="35"/>
      <c r="B27" s="36"/>
      <c r="C27" s="33"/>
      <c r="D27" s="33"/>
      <c r="E27" s="34"/>
    </row>
    <row r="28" spans="1:5" ht="14.25">
      <c r="A28" s="1" t="s">
        <v>30</v>
      </c>
      <c r="B28" s="36"/>
      <c r="C28" s="33"/>
      <c r="D28" s="33"/>
      <c r="E28" s="34"/>
    </row>
    <row r="29" spans="1:5" ht="14.25">
      <c r="A29" s="35"/>
      <c r="B29" s="36"/>
      <c r="C29" s="33"/>
      <c r="D29" s="33"/>
      <c r="E29" s="34"/>
    </row>
    <row r="30" spans="1:5" ht="14.25">
      <c r="A30" s="35"/>
      <c r="B30" s="36"/>
      <c r="C30" s="33"/>
      <c r="D30" s="33"/>
      <c r="E30" s="34"/>
    </row>
    <row r="31" spans="2:5" ht="14.25">
      <c r="B31" s="36"/>
      <c r="C31" s="33"/>
      <c r="D31" s="33"/>
      <c r="E31" s="34"/>
    </row>
    <row r="32" spans="1:5" ht="14.25">
      <c r="A32" s="35"/>
      <c r="B32" s="36"/>
      <c r="C32" s="33"/>
      <c r="D32" s="33"/>
      <c r="E32" s="34"/>
    </row>
    <row r="33" spans="1:5" ht="14.25">
      <c r="A33" s="35"/>
      <c r="B33" s="36"/>
      <c r="C33" s="33"/>
      <c r="D33" s="33"/>
      <c r="E33" s="34"/>
    </row>
    <row r="34" spans="1:5" ht="15.75" customHeight="1">
      <c r="A34" s="1" t="s">
        <v>31</v>
      </c>
      <c r="B34" s="32"/>
      <c r="C34" s="37" t="s">
        <v>33</v>
      </c>
      <c r="D34" s="37"/>
      <c r="E34" s="34"/>
    </row>
    <row r="35" spans="2:5" ht="12">
      <c r="B35" s="32"/>
      <c r="C35" s="37"/>
      <c r="D35" s="37"/>
      <c r="E35" s="34"/>
    </row>
    <row r="36" spans="3:5" ht="15.75" customHeight="1">
      <c r="C36" s="37"/>
      <c r="D36" s="37"/>
      <c r="E36" s="38"/>
    </row>
    <row r="37" spans="3:5" ht="12.75">
      <c r="C37" s="33"/>
      <c r="D37" s="33"/>
      <c r="E37" s="34"/>
    </row>
    <row r="38" spans="3:5" ht="12.75">
      <c r="C38" s="33"/>
      <c r="D38" s="33"/>
      <c r="E38" s="34"/>
    </row>
    <row r="39" spans="3:5" ht="12.75">
      <c r="C39" s="33"/>
      <c r="D39" s="33"/>
      <c r="E39" s="34"/>
    </row>
    <row r="40" spans="1:5" ht="12.75">
      <c r="A40" s="1" t="s">
        <v>34</v>
      </c>
      <c r="C40" s="33"/>
      <c r="D40" s="33"/>
      <c r="E40" s="34"/>
    </row>
    <row r="41" spans="1:5" ht="12.75">
      <c r="A41" s="1" t="s">
        <v>35</v>
      </c>
      <c r="C41" s="33"/>
      <c r="D41" s="33"/>
      <c r="E41" s="34"/>
    </row>
    <row r="42" spans="3:5" ht="12.75">
      <c r="C42" s="33"/>
      <c r="D42" s="33"/>
      <c r="E42" s="34"/>
    </row>
    <row r="43" spans="3:5" ht="12.75">
      <c r="C43" s="33"/>
      <c r="D43" s="33"/>
      <c r="E43" s="34"/>
    </row>
    <row r="44" spans="3:5" ht="12.75">
      <c r="C44" s="33"/>
      <c r="D44" s="33"/>
      <c r="E44" s="34"/>
    </row>
    <row r="45" spans="1:5" ht="14.25">
      <c r="A45" s="35"/>
      <c r="B45" s="35"/>
      <c r="C45" s="33"/>
      <c r="D45" s="33"/>
      <c r="E45" s="34"/>
    </row>
    <row r="46" spans="3:5" ht="12.75">
      <c r="C46" s="33"/>
      <c r="D46" s="33"/>
      <c r="E46" s="34"/>
    </row>
    <row r="47" spans="3:5" ht="12.75">
      <c r="C47" s="33"/>
      <c r="D47" s="33"/>
      <c r="E47" s="34"/>
    </row>
    <row r="48" spans="3:5" ht="12.75">
      <c r="C48" s="33"/>
      <c r="D48" s="33"/>
      <c r="E48" s="34"/>
    </row>
    <row r="49" spans="3:5" ht="12.75">
      <c r="C49" s="33"/>
      <c r="D49" s="33"/>
      <c r="E49" s="34"/>
    </row>
    <row r="50" spans="3:5" ht="12.75">
      <c r="C50" s="33"/>
      <c r="D50" s="33"/>
      <c r="E50" s="34"/>
    </row>
    <row r="51" spans="3:5" ht="12.75">
      <c r="C51" s="37"/>
      <c r="D51" s="33"/>
      <c r="E51" s="34"/>
    </row>
    <row r="52" spans="3:5" ht="12.75">
      <c r="C52" s="37"/>
      <c r="D52" s="33"/>
      <c r="E52" s="34"/>
    </row>
    <row r="53" spans="3:5" ht="12.75">
      <c r="C53" s="37"/>
      <c r="D53" s="33"/>
      <c r="E53" s="34"/>
    </row>
    <row r="54" spans="3:5" ht="12.75">
      <c r="C54" s="37"/>
      <c r="D54" s="2"/>
      <c r="E54" s="34"/>
    </row>
    <row r="55" spans="3:5" ht="12.75">
      <c r="C55" s="37"/>
      <c r="D55" s="2"/>
      <c r="E55" s="34"/>
    </row>
    <row r="56" spans="3:5" ht="12.75">
      <c r="C56" s="37"/>
      <c r="D56" s="2"/>
      <c r="E56" s="34"/>
    </row>
    <row r="57" spans="3:5" ht="12.75">
      <c r="C57" s="37"/>
      <c r="D57" s="2"/>
      <c r="E57" s="34"/>
    </row>
    <row r="58" spans="3:5" ht="12.75">
      <c r="C58" s="37"/>
      <c r="D58" s="2"/>
      <c r="E58" s="34"/>
    </row>
    <row r="59" spans="3:5" ht="12.75">
      <c r="C59" s="37"/>
      <c r="D59" s="2"/>
      <c r="E59" s="34"/>
    </row>
    <row r="60" spans="3:5" ht="12.75">
      <c r="C60" s="37"/>
      <c r="D60" s="2"/>
      <c r="E60" s="34"/>
    </row>
    <row r="61" spans="3:5" ht="12.75">
      <c r="C61" s="37"/>
      <c r="D61" s="2"/>
      <c r="E61" s="34"/>
    </row>
    <row r="62" spans="3:5" ht="12.75">
      <c r="C62" s="37"/>
      <c r="D62" s="2"/>
      <c r="E62" s="34"/>
    </row>
    <row r="63" spans="3:5" ht="12.75">
      <c r="C63" s="37"/>
      <c r="D63" s="2"/>
      <c r="E63" s="34"/>
    </row>
    <row r="64" spans="3:5" ht="12.75">
      <c r="C64" s="37"/>
      <c r="D64" s="2"/>
      <c r="E64" s="34"/>
    </row>
    <row r="65" spans="3:5" ht="12.75">
      <c r="C65" s="37"/>
      <c r="D65" s="2"/>
      <c r="E65" s="34"/>
    </row>
    <row r="66" spans="3:5" ht="12.75">
      <c r="C66" s="37"/>
      <c r="D66" s="2"/>
      <c r="E66" s="34"/>
    </row>
    <row r="67" spans="3:5" ht="12.75">
      <c r="C67" s="37"/>
      <c r="D67" s="2"/>
      <c r="E67" s="34"/>
    </row>
    <row r="68" spans="3:5" ht="12.75">
      <c r="C68" s="37"/>
      <c r="D68" s="2"/>
      <c r="E68" s="34"/>
    </row>
    <row r="69" spans="3:5" ht="12.75">
      <c r="C69" s="37"/>
      <c r="D69" s="2"/>
      <c r="E69" s="34"/>
    </row>
    <row r="70" spans="3:5" ht="12.75">
      <c r="C70" s="37"/>
      <c r="D70" s="2"/>
      <c r="E70" s="34"/>
    </row>
    <row r="71" spans="3:5" ht="12.75">
      <c r="C71" s="37"/>
      <c r="D71" s="2"/>
      <c r="E71" s="34"/>
    </row>
    <row r="72" spans="3:5" ht="12.75">
      <c r="C72" s="37"/>
      <c r="D72" s="2"/>
      <c r="E72" s="34"/>
    </row>
    <row r="73" spans="3:5" ht="12.75">
      <c r="C73" s="37"/>
      <c r="D73" s="2"/>
      <c r="E73" s="34"/>
    </row>
    <row r="74" spans="3:5" ht="12">
      <c r="C74" s="37"/>
      <c r="E74" s="34"/>
    </row>
    <row r="75" spans="3:5" ht="12">
      <c r="C75" s="37"/>
      <c r="E75" s="34"/>
    </row>
    <row r="76" spans="3:5" ht="12">
      <c r="C76" s="37"/>
      <c r="E76" s="34"/>
    </row>
    <row r="77" spans="3:5" ht="12">
      <c r="C77" s="37"/>
      <c r="E77" s="34"/>
    </row>
    <row r="78" spans="3:5" ht="12">
      <c r="C78" s="37"/>
      <c r="E78" s="34"/>
    </row>
    <row r="79" spans="3:5" ht="12">
      <c r="C79" s="37"/>
      <c r="E79" s="34"/>
    </row>
    <row r="80" spans="3:5" ht="12">
      <c r="C80" s="37"/>
      <c r="E80" s="34"/>
    </row>
    <row r="81" spans="2:4" ht="12">
      <c r="B81" s="37"/>
      <c r="D81" s="34"/>
    </row>
    <row r="82" spans="2:4" ht="12">
      <c r="B82" s="37"/>
      <c r="D82" s="34"/>
    </row>
    <row r="83" spans="2:4" ht="12">
      <c r="B83" s="37"/>
      <c r="D83" s="34"/>
    </row>
    <row r="84" spans="2:4" ht="12">
      <c r="B84" s="37"/>
      <c r="D84" s="34"/>
    </row>
    <row r="85" spans="2:4" ht="12">
      <c r="B85" s="37"/>
      <c r="D85" s="34"/>
    </row>
    <row r="86" spans="2:4" ht="12">
      <c r="B86" s="37"/>
      <c r="D86" s="34"/>
    </row>
    <row r="87" spans="2:4" ht="12">
      <c r="B87" s="37"/>
      <c r="D87" s="34"/>
    </row>
    <row r="88" spans="2:4" ht="12">
      <c r="B88" s="37"/>
      <c r="D88" s="34"/>
    </row>
    <row r="89" spans="2:4" ht="12">
      <c r="B89" s="37"/>
      <c r="D89" s="34"/>
    </row>
    <row r="90" spans="2:4" ht="12">
      <c r="B90" s="37"/>
      <c r="D90" s="34"/>
    </row>
    <row r="91" spans="2:4" ht="12">
      <c r="B91" s="37"/>
      <c r="D91" s="34"/>
    </row>
    <row r="92" spans="2:4" ht="12">
      <c r="B92" s="37"/>
      <c r="D92" s="34"/>
    </row>
    <row r="93" spans="2:4" ht="12">
      <c r="B93" s="37"/>
      <c r="D93" s="34"/>
    </row>
    <row r="94" spans="2:4" ht="12">
      <c r="B94" s="37"/>
      <c r="D94" s="34"/>
    </row>
    <row r="95" spans="2:4" ht="12">
      <c r="B95" s="37"/>
      <c r="D95" s="34"/>
    </row>
    <row r="96" spans="2:4" ht="12">
      <c r="B96" s="37"/>
      <c r="D96" s="34"/>
    </row>
    <row r="97" spans="2:4" ht="12">
      <c r="B97" s="37"/>
      <c r="D97" s="34"/>
    </row>
    <row r="98" spans="2:4" ht="12">
      <c r="B98" s="37"/>
      <c r="D98" s="34"/>
    </row>
    <row r="99" spans="2:4" ht="12">
      <c r="B99" s="37"/>
      <c r="D99" s="34"/>
    </row>
    <row r="100" spans="2:4" ht="12">
      <c r="B100" s="37"/>
      <c r="D100" s="34"/>
    </row>
    <row r="101" ht="12">
      <c r="B101" s="37"/>
    </row>
    <row r="102" ht="12">
      <c r="B102" s="37"/>
    </row>
    <row r="103" ht="12">
      <c r="B103" s="37"/>
    </row>
    <row r="104" ht="12">
      <c r="B104" s="37"/>
    </row>
    <row r="105" ht="12">
      <c r="B105" s="37"/>
    </row>
    <row r="106" ht="12">
      <c r="B106" s="37"/>
    </row>
    <row r="107" ht="12">
      <c r="B107" s="37"/>
    </row>
    <row r="108" ht="12">
      <c r="B108" s="37"/>
    </row>
    <row r="109" ht="12">
      <c r="B109" s="37"/>
    </row>
    <row r="236" spans="1:6" ht="12">
      <c r="A236" s="39"/>
      <c r="B236" s="39"/>
      <c r="C236" s="39"/>
      <c r="D236" s="39"/>
      <c r="E236" s="39"/>
      <c r="F236" s="39"/>
    </row>
    <row r="237" spans="1:6" ht="12">
      <c r="A237" s="39"/>
      <c r="B237" s="39"/>
      <c r="C237" s="39"/>
      <c r="D237" s="39"/>
      <c r="E237" s="39"/>
      <c r="F237" s="39"/>
    </row>
    <row r="238" spans="1:6" ht="12">
      <c r="A238" s="39"/>
      <c r="B238" s="39"/>
      <c r="C238" s="39"/>
      <c r="D238" s="39"/>
      <c r="E238" s="39"/>
      <c r="F238" s="39"/>
    </row>
    <row r="239" spans="1:6" ht="12">
      <c r="A239" s="39"/>
      <c r="B239" s="39"/>
      <c r="C239" s="39"/>
      <c r="D239" s="39"/>
      <c r="E239" s="39"/>
      <c r="F239" s="39"/>
    </row>
    <row r="240" spans="1:6" ht="12">
      <c r="A240" s="39"/>
      <c r="B240" s="39"/>
      <c r="C240" s="39"/>
      <c r="D240" s="39"/>
      <c r="E240" s="39"/>
      <c r="F240" s="39"/>
    </row>
    <row r="241" spans="1:6" ht="12">
      <c r="A241" s="39"/>
      <c r="B241" s="39"/>
      <c r="C241" s="39"/>
      <c r="D241" s="39"/>
      <c r="E241" s="39"/>
      <c r="F241" s="39"/>
    </row>
    <row r="242" spans="1:6" ht="12">
      <c r="A242" s="39"/>
      <c r="B242" s="39"/>
      <c r="C242" s="39"/>
      <c r="D242" s="39"/>
      <c r="E242" s="39"/>
      <c r="F242" s="39"/>
    </row>
    <row r="243" spans="1:6" ht="12">
      <c r="A243" s="39"/>
      <c r="B243" s="39"/>
      <c r="C243" s="39"/>
      <c r="D243" s="39"/>
      <c r="E243" s="39"/>
      <c r="F243" s="39"/>
    </row>
    <row r="244" spans="1:6" ht="12">
      <c r="A244" s="39"/>
      <c r="B244" s="39"/>
      <c r="C244" s="39"/>
      <c r="D244" s="39"/>
      <c r="E244" s="39"/>
      <c r="F244" s="39"/>
    </row>
    <row r="245" spans="1:6" ht="12">
      <c r="A245" s="39"/>
      <c r="B245" s="39"/>
      <c r="C245" s="39"/>
      <c r="D245" s="39"/>
      <c r="E245" s="39"/>
      <c r="F245" s="39"/>
    </row>
    <row r="246" spans="1:6" ht="12">
      <c r="A246" s="39"/>
      <c r="B246" s="39"/>
      <c r="C246" s="39"/>
      <c r="D246" s="39"/>
      <c r="E246" s="39"/>
      <c r="F246" s="39"/>
    </row>
    <row r="247" spans="1:6" ht="12">
      <c r="A247" s="39"/>
      <c r="B247" s="39"/>
      <c r="C247" s="39"/>
      <c r="D247" s="39"/>
      <c r="E247" s="39"/>
      <c r="F247" s="39"/>
    </row>
    <row r="248" spans="1:6" ht="12">
      <c r="A248" s="39"/>
      <c r="B248" s="39"/>
      <c r="C248" s="39"/>
      <c r="D248" s="39"/>
      <c r="E248" s="39"/>
      <c r="F248" s="39"/>
    </row>
    <row r="249" spans="1:6" ht="12">
      <c r="A249" s="39"/>
      <c r="B249" s="39"/>
      <c r="C249" s="39"/>
      <c r="D249" s="39"/>
      <c r="E249" s="39"/>
      <c r="F249" s="39"/>
    </row>
    <row r="250" spans="1:6" ht="12">
      <c r="A250" s="39"/>
      <c r="B250" s="39"/>
      <c r="C250" s="39"/>
      <c r="D250" s="39"/>
      <c r="E250" s="39"/>
      <c r="F250" s="39"/>
    </row>
    <row r="251" spans="1:6" ht="12">
      <c r="A251" s="39"/>
      <c r="B251" s="39"/>
      <c r="C251" s="39"/>
      <c r="D251" s="39"/>
      <c r="E251" s="39"/>
      <c r="F251" s="39"/>
    </row>
    <row r="252" spans="1:6" ht="12">
      <c r="A252" s="39"/>
      <c r="B252" s="39"/>
      <c r="C252" s="39"/>
      <c r="D252" s="39"/>
      <c r="E252" s="39"/>
      <c r="F252" s="39"/>
    </row>
    <row r="253" spans="1:6" ht="12">
      <c r="A253" s="39"/>
      <c r="B253" s="39"/>
      <c r="C253" s="39"/>
      <c r="D253" s="39"/>
      <c r="E253" s="39"/>
      <c r="F253" s="39"/>
    </row>
    <row r="254" spans="1:6" ht="12">
      <c r="A254" s="39"/>
      <c r="B254" s="39"/>
      <c r="C254" s="39"/>
      <c r="D254" s="39"/>
      <c r="E254" s="39"/>
      <c r="F254" s="39"/>
    </row>
    <row r="255" spans="1:6" ht="12">
      <c r="A255" s="39"/>
      <c r="B255" s="39"/>
      <c r="C255" s="39"/>
      <c r="D255" s="39"/>
      <c r="E255" s="39"/>
      <c r="F255" s="39"/>
    </row>
    <row r="256" spans="1:6" ht="12">
      <c r="A256" s="39"/>
      <c r="B256" s="39"/>
      <c r="C256" s="39"/>
      <c r="D256" s="39"/>
      <c r="E256" s="39"/>
      <c r="F256" s="39"/>
    </row>
    <row r="257" spans="1:6" ht="12">
      <c r="A257" s="39"/>
      <c r="B257" s="39"/>
      <c r="C257" s="39"/>
      <c r="D257" s="39"/>
      <c r="E257" s="39"/>
      <c r="F257" s="39"/>
    </row>
    <row r="258" spans="1:6" ht="12">
      <c r="A258" s="39"/>
      <c r="B258" s="39"/>
      <c r="C258" s="39"/>
      <c r="D258" s="39"/>
      <c r="E258" s="39"/>
      <c r="F258" s="39"/>
    </row>
    <row r="259" spans="1:6" ht="12">
      <c r="A259" s="39"/>
      <c r="B259" s="39"/>
      <c r="C259" s="39"/>
      <c r="D259" s="39"/>
      <c r="E259" s="39"/>
      <c r="F259" s="39"/>
    </row>
    <row r="260" spans="1:6" ht="12">
      <c r="A260" s="39"/>
      <c r="B260" s="39"/>
      <c r="C260" s="39"/>
      <c r="D260" s="39"/>
      <c r="E260" s="39"/>
      <c r="F260" s="39"/>
    </row>
    <row r="261" spans="1:6" ht="12">
      <c r="A261" s="39"/>
      <c r="B261" s="39"/>
      <c r="C261" s="39"/>
      <c r="D261" s="39"/>
      <c r="E261" s="39"/>
      <c r="F261" s="39"/>
    </row>
    <row r="262" spans="1:6" ht="12">
      <c r="A262" s="39"/>
      <c r="B262" s="39"/>
      <c r="C262" s="39"/>
      <c r="D262" s="39"/>
      <c r="E262" s="39"/>
      <c r="F262" s="39"/>
    </row>
  </sheetData>
  <mergeCells count="1">
    <mergeCell ref="A3:F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N125"/>
  <sheetViews>
    <sheetView workbookViewId="0" topLeftCell="A1">
      <selection activeCell="A55" sqref="A55"/>
    </sheetView>
  </sheetViews>
  <sheetFormatPr defaultColWidth="9.140625" defaultRowHeight="12.75"/>
  <cols>
    <col min="1" max="1" width="58.57421875" style="287" customWidth="1"/>
    <col min="2" max="2" width="9.8515625" style="287" customWidth="1"/>
    <col min="3" max="3" width="11.00390625" style="287" customWidth="1"/>
    <col min="4" max="4" width="10.421875" style="287" customWidth="1"/>
    <col min="5" max="5" width="11.140625" style="287" customWidth="1"/>
    <col min="6" max="16384" width="8.00390625" style="287" customWidth="1"/>
  </cols>
  <sheetData>
    <row r="1" spans="1:5" ht="12.75">
      <c r="A1" s="286" t="s">
        <v>124</v>
      </c>
      <c r="B1" s="286"/>
      <c r="C1" s="286"/>
      <c r="D1" s="286"/>
      <c r="E1" s="371" t="s">
        <v>697</v>
      </c>
    </row>
    <row r="2" spans="1:5" ht="12.75">
      <c r="A2" s="299"/>
      <c r="B2" s="299"/>
      <c r="C2" s="299"/>
      <c r="D2" s="299"/>
      <c r="E2" s="299"/>
    </row>
    <row r="3" spans="1:5" ht="18">
      <c r="A3" s="384" t="s">
        <v>698</v>
      </c>
      <c r="B3" s="506"/>
      <c r="C3" s="286"/>
      <c r="D3" s="286"/>
      <c r="E3" s="286"/>
    </row>
    <row r="4" spans="1:5" ht="18">
      <c r="A4" s="384" t="s">
        <v>650</v>
      </c>
      <c r="B4" s="506"/>
      <c r="C4" s="286"/>
      <c r="D4" s="286"/>
      <c r="E4" s="286"/>
    </row>
    <row r="5" spans="1:5" ht="18">
      <c r="A5" s="506"/>
      <c r="B5" s="506"/>
      <c r="C5" s="286"/>
      <c r="D5" s="265"/>
      <c r="E5" s="265" t="s">
        <v>312</v>
      </c>
    </row>
    <row r="6" spans="1:5" ht="35.25" customHeight="1">
      <c r="A6" s="485" t="s">
        <v>7</v>
      </c>
      <c r="B6" s="485" t="s">
        <v>446</v>
      </c>
      <c r="C6" s="485" t="s">
        <v>10</v>
      </c>
      <c r="D6" s="485" t="s">
        <v>313</v>
      </c>
      <c r="E6" s="485" t="s">
        <v>96</v>
      </c>
    </row>
    <row r="7" spans="1:5" s="370" customFormat="1" ht="12.75" customHeight="1">
      <c r="A7" s="485">
        <v>1</v>
      </c>
      <c r="B7" s="485">
        <v>2</v>
      </c>
      <c r="C7" s="485">
        <v>3</v>
      </c>
      <c r="D7" s="485">
        <v>4</v>
      </c>
      <c r="E7" s="485">
        <v>5</v>
      </c>
    </row>
    <row r="8" spans="1:5" ht="16.5" customHeight="1">
      <c r="A8" s="507" t="s">
        <v>699</v>
      </c>
      <c r="B8" s="508"/>
      <c r="C8" s="490">
        <v>168552</v>
      </c>
      <c r="D8" s="509"/>
      <c r="E8" s="490">
        <v>36969</v>
      </c>
    </row>
    <row r="9" spans="1:5" ht="12">
      <c r="A9" s="510" t="s">
        <v>700</v>
      </c>
      <c r="B9" s="511"/>
      <c r="C9" s="490">
        <v>163766</v>
      </c>
      <c r="D9" s="490"/>
      <c r="E9" s="490">
        <v>34343</v>
      </c>
    </row>
    <row r="10" spans="1:5" ht="12">
      <c r="A10" s="510" t="s">
        <v>701</v>
      </c>
      <c r="B10" s="511"/>
      <c r="C10" s="490">
        <v>93562</v>
      </c>
      <c r="D10" s="512"/>
      <c r="E10" s="490">
        <v>19554</v>
      </c>
    </row>
    <row r="11" spans="1:5" ht="12">
      <c r="A11" s="510" t="s">
        <v>702</v>
      </c>
      <c r="B11" s="511"/>
      <c r="C11" s="490">
        <v>7511</v>
      </c>
      <c r="D11" s="490"/>
      <c r="E11" s="490">
        <v>1638</v>
      </c>
    </row>
    <row r="12" spans="1:5" ht="12">
      <c r="A12" s="510" t="s">
        <v>703</v>
      </c>
      <c r="B12" s="511"/>
      <c r="C12" s="490">
        <v>11150</v>
      </c>
      <c r="D12" s="490"/>
      <c r="E12" s="490">
        <v>2105</v>
      </c>
    </row>
    <row r="13" spans="1:5" ht="12">
      <c r="A13" s="510" t="s">
        <v>704</v>
      </c>
      <c r="B13" s="511"/>
      <c r="C13" s="490">
        <v>51543</v>
      </c>
      <c r="D13" s="490"/>
      <c r="E13" s="490">
        <v>11046</v>
      </c>
    </row>
    <row r="14" spans="1:5" ht="12">
      <c r="A14" s="513" t="s">
        <v>705</v>
      </c>
      <c r="B14" s="511"/>
      <c r="C14" s="490">
        <v>1769</v>
      </c>
      <c r="D14" s="490"/>
      <c r="E14" s="490">
        <v>542</v>
      </c>
    </row>
    <row r="15" spans="1:5" ht="22.5">
      <c r="A15" s="513" t="s">
        <v>706</v>
      </c>
      <c r="B15" s="511"/>
      <c r="C15" s="490">
        <v>9687</v>
      </c>
      <c r="D15" s="490"/>
      <c r="E15" s="490">
        <v>1744</v>
      </c>
    </row>
    <row r="16" spans="1:5" ht="19.5" customHeight="1">
      <c r="A16" s="507" t="s">
        <v>707</v>
      </c>
      <c r="B16" s="508"/>
      <c r="C16" s="490">
        <v>152310</v>
      </c>
      <c r="D16" s="509"/>
      <c r="E16" s="490">
        <v>32057</v>
      </c>
    </row>
    <row r="17" spans="1:5" ht="12.75">
      <c r="A17" s="510" t="s">
        <v>708</v>
      </c>
      <c r="B17" s="508"/>
      <c r="C17" s="490">
        <v>16242</v>
      </c>
      <c r="D17" s="490"/>
      <c r="E17" s="490">
        <v>4912</v>
      </c>
    </row>
    <row r="18" spans="1:5" ht="12.75">
      <c r="A18" s="510" t="s">
        <v>709</v>
      </c>
      <c r="B18" s="508"/>
      <c r="C18" s="490">
        <v>14264</v>
      </c>
      <c r="D18" s="509"/>
      <c r="E18" s="490">
        <v>3838</v>
      </c>
    </row>
    <row r="19" spans="1:5" ht="12">
      <c r="A19" s="510" t="s">
        <v>710</v>
      </c>
      <c r="B19" s="511"/>
      <c r="C19" s="490">
        <v>1978</v>
      </c>
      <c r="D19" s="512"/>
      <c r="E19" s="490">
        <v>1074</v>
      </c>
    </row>
    <row r="20" spans="1:5" ht="23.25" customHeight="1">
      <c r="A20" s="507" t="s">
        <v>711</v>
      </c>
      <c r="B20" s="508"/>
      <c r="C20" s="490">
        <v>16242</v>
      </c>
      <c r="D20" s="490"/>
      <c r="E20" s="490">
        <v>4912</v>
      </c>
    </row>
    <row r="21" spans="1:5" ht="35.25" customHeight="1">
      <c r="A21" s="507" t="s">
        <v>712</v>
      </c>
      <c r="B21" s="508"/>
      <c r="C21" s="490">
        <f>SUM(C22:C24)</f>
        <v>159035</v>
      </c>
      <c r="D21" s="490"/>
      <c r="E21" s="490">
        <v>34842</v>
      </c>
    </row>
    <row r="22" spans="1:5" ht="34.5" customHeight="1">
      <c r="A22" s="514" t="s">
        <v>713</v>
      </c>
      <c r="B22" s="511"/>
      <c r="C22" s="490">
        <v>139388</v>
      </c>
      <c r="D22" s="490"/>
      <c r="E22" s="490">
        <v>29150</v>
      </c>
    </row>
    <row r="23" spans="1:5" ht="30.75" customHeight="1">
      <c r="A23" s="514" t="s">
        <v>714</v>
      </c>
      <c r="B23" s="511"/>
      <c r="C23" s="490">
        <v>9167</v>
      </c>
      <c r="D23" s="490"/>
      <c r="E23" s="490">
        <v>2255</v>
      </c>
    </row>
    <row r="24" spans="1:5" ht="31.5" customHeight="1">
      <c r="A24" s="514" t="s">
        <v>715</v>
      </c>
      <c r="B24" s="511"/>
      <c r="C24" s="490">
        <v>10480</v>
      </c>
      <c r="D24" s="490"/>
      <c r="E24" s="490">
        <v>3437</v>
      </c>
    </row>
    <row r="25" spans="1:5" ht="59.25" customHeight="1">
      <c r="A25" s="507" t="s">
        <v>716</v>
      </c>
      <c r="B25" s="511"/>
      <c r="C25" s="490">
        <f>SUM(C8-C21)</f>
        <v>9517</v>
      </c>
      <c r="D25" s="490"/>
      <c r="E25" s="490">
        <f>SUM(E8-E21)</f>
        <v>2127</v>
      </c>
    </row>
    <row r="26" spans="1:5" ht="30" customHeight="1">
      <c r="A26" s="507" t="s">
        <v>717</v>
      </c>
      <c r="B26" s="511"/>
      <c r="C26" s="490">
        <f>SUM(C38+C47)</f>
        <v>-424</v>
      </c>
      <c r="D26" s="490"/>
      <c r="E26" s="490">
        <f>SUM(E38+E47)</f>
        <v>228</v>
      </c>
    </row>
    <row r="27" spans="1:5" ht="38.25" customHeight="1">
      <c r="A27" s="507" t="s">
        <v>718</v>
      </c>
      <c r="B27" s="511"/>
      <c r="C27" s="490">
        <f>SUM(C21+C26)</f>
        <v>158611</v>
      </c>
      <c r="D27" s="490"/>
      <c r="E27" s="490">
        <f>SUM(E21+E26)</f>
        <v>35070</v>
      </c>
    </row>
    <row r="28" spans="1:5" ht="41.25" customHeight="1">
      <c r="A28" s="507" t="s">
        <v>719</v>
      </c>
      <c r="B28" s="511"/>
      <c r="C28" s="490">
        <f>SUM(C25-C26)</f>
        <v>9941</v>
      </c>
      <c r="D28" s="490"/>
      <c r="E28" s="490">
        <f>SUM(E25-E26)</f>
        <v>1899</v>
      </c>
    </row>
    <row r="29" spans="1:5" ht="18.75" customHeight="1">
      <c r="A29" s="515" t="s">
        <v>720</v>
      </c>
      <c r="B29" s="511"/>
      <c r="C29" s="490">
        <v>154588</v>
      </c>
      <c r="D29" s="490"/>
      <c r="E29" s="490">
        <v>33237</v>
      </c>
    </row>
    <row r="30" spans="1:5" ht="12.75">
      <c r="A30" s="513" t="s">
        <v>721</v>
      </c>
      <c r="B30" s="508"/>
      <c r="C30" s="490">
        <v>11456</v>
      </c>
      <c r="D30" s="490"/>
      <c r="E30" s="490">
        <v>2286</v>
      </c>
    </row>
    <row r="31" spans="1:5" ht="17.25" customHeight="1">
      <c r="A31" s="515" t="s">
        <v>722</v>
      </c>
      <c r="B31" s="511"/>
      <c r="C31" s="490">
        <f>SUM(C29-C30)</f>
        <v>143132</v>
      </c>
      <c r="D31" s="490"/>
      <c r="E31" s="490">
        <f>SUM(E29-E30)</f>
        <v>30951</v>
      </c>
    </row>
    <row r="32" spans="1:5" ht="15.75" customHeight="1">
      <c r="A32" s="516" t="s">
        <v>723</v>
      </c>
      <c r="B32" s="511"/>
      <c r="C32" s="490">
        <v>138578</v>
      </c>
      <c r="D32" s="490"/>
      <c r="E32" s="490">
        <v>28471</v>
      </c>
    </row>
    <row r="33" spans="1:5" ht="12.75">
      <c r="A33" s="513" t="s">
        <v>721</v>
      </c>
      <c r="B33" s="508"/>
      <c r="C33" s="490">
        <v>11456</v>
      </c>
      <c r="D33" s="490"/>
      <c r="E33" s="490">
        <v>2286</v>
      </c>
    </row>
    <row r="34" spans="1:5" ht="12">
      <c r="A34" s="516" t="s">
        <v>724</v>
      </c>
      <c r="B34" s="511"/>
      <c r="C34" s="490">
        <v>127122</v>
      </c>
      <c r="D34" s="490"/>
      <c r="E34" s="490">
        <v>26185</v>
      </c>
    </row>
    <row r="35" spans="1:5" ht="12">
      <c r="A35" s="516" t="s">
        <v>725</v>
      </c>
      <c r="B35" s="511"/>
      <c r="C35" s="490">
        <v>5648</v>
      </c>
      <c r="D35" s="490"/>
      <c r="E35" s="490">
        <v>1421</v>
      </c>
    </row>
    <row r="36" spans="1:5" ht="12.75">
      <c r="A36" s="516" t="s">
        <v>726</v>
      </c>
      <c r="B36" s="508"/>
      <c r="C36" s="490">
        <v>10362</v>
      </c>
      <c r="D36" s="490"/>
      <c r="E36" s="490">
        <v>3345</v>
      </c>
    </row>
    <row r="37" spans="1:5" s="518" customFormat="1" ht="42" customHeight="1">
      <c r="A37" s="507" t="s">
        <v>727</v>
      </c>
      <c r="B37" s="517"/>
      <c r="C37" s="490">
        <f>SUM(C16-C31)</f>
        <v>9178</v>
      </c>
      <c r="D37" s="490"/>
      <c r="E37" s="490">
        <f>SUM(E16-E31)</f>
        <v>1106</v>
      </c>
    </row>
    <row r="38" spans="1:5" s="518" customFormat="1" ht="27" customHeight="1">
      <c r="A38" s="515" t="s">
        <v>728</v>
      </c>
      <c r="B38" s="469"/>
      <c r="C38" s="490">
        <v>563</v>
      </c>
      <c r="D38" s="490"/>
      <c r="E38" s="490">
        <v>-1</v>
      </c>
    </row>
    <row r="39" spans="1:5" s="518" customFormat="1" ht="15.75" customHeight="1">
      <c r="A39" s="516" t="s">
        <v>729</v>
      </c>
      <c r="B39" s="517"/>
      <c r="C39" s="490">
        <v>1009</v>
      </c>
      <c r="D39" s="490"/>
      <c r="E39" s="490">
        <v>313</v>
      </c>
    </row>
    <row r="40" spans="1:5" s="518" customFormat="1" ht="18" customHeight="1">
      <c r="A40" s="516" t="s">
        <v>730</v>
      </c>
      <c r="B40" s="469"/>
      <c r="C40" s="490">
        <v>446</v>
      </c>
      <c r="D40" s="490"/>
      <c r="E40" s="490">
        <v>314</v>
      </c>
    </row>
    <row r="41" spans="1:5" s="518" customFormat="1" ht="38.25" customHeight="1">
      <c r="A41" s="507" t="s">
        <v>731</v>
      </c>
      <c r="B41" s="517"/>
      <c r="C41" s="490">
        <f>SUM(C37-C38)</f>
        <v>8615</v>
      </c>
      <c r="D41" s="490"/>
      <c r="E41" s="490">
        <f>SUM(E37-E38)</f>
        <v>1107</v>
      </c>
    </row>
    <row r="42" spans="1:5" s="518" customFormat="1" ht="23.25" customHeight="1">
      <c r="A42" s="515" t="s">
        <v>732</v>
      </c>
      <c r="B42" s="517"/>
      <c r="C42" s="490">
        <v>15903</v>
      </c>
      <c r="D42" s="490"/>
      <c r="E42" s="490">
        <v>3891</v>
      </c>
    </row>
    <row r="43" spans="1:5" s="518" customFormat="1" ht="12.75">
      <c r="A43" s="516" t="s">
        <v>733</v>
      </c>
      <c r="B43" s="517"/>
      <c r="C43" s="490">
        <v>12266</v>
      </c>
      <c r="D43" s="490"/>
      <c r="E43" s="490">
        <v>2965</v>
      </c>
    </row>
    <row r="44" spans="1:5" s="518" customFormat="1" ht="12.75">
      <c r="A44" s="516" t="s">
        <v>734</v>
      </c>
      <c r="B44" s="517"/>
      <c r="C44" s="490">
        <v>3519</v>
      </c>
      <c r="D44" s="490"/>
      <c r="E44" s="490">
        <v>834</v>
      </c>
    </row>
    <row r="45" spans="1:5" s="518" customFormat="1" ht="12.75">
      <c r="A45" s="516" t="s">
        <v>735</v>
      </c>
      <c r="B45" s="517"/>
      <c r="C45" s="490">
        <v>118</v>
      </c>
      <c r="D45" s="490"/>
      <c r="E45" s="490">
        <v>92</v>
      </c>
    </row>
    <row r="46" spans="1:14" s="518" customFormat="1" ht="46.5" customHeight="1">
      <c r="A46" s="507" t="s">
        <v>736</v>
      </c>
      <c r="B46" s="517"/>
      <c r="C46" s="490">
        <f>SUM(C20-C42)</f>
        <v>339</v>
      </c>
      <c r="D46" s="490"/>
      <c r="E46" s="490">
        <f>SUM(E20-E42)</f>
        <v>1021</v>
      </c>
      <c r="N46" s="299"/>
    </row>
    <row r="47" spans="1:5" s="518" customFormat="1" ht="18.75" customHeight="1">
      <c r="A47" s="515" t="s">
        <v>737</v>
      </c>
      <c r="C47" s="490">
        <v>-987</v>
      </c>
      <c r="D47" s="490"/>
      <c r="E47" s="490">
        <v>229</v>
      </c>
    </row>
    <row r="48" spans="1:5" s="518" customFormat="1" ht="12">
      <c r="A48" s="516" t="s">
        <v>738</v>
      </c>
      <c r="C48" s="490">
        <v>1651</v>
      </c>
      <c r="D48" s="490"/>
      <c r="E48" s="490">
        <v>243</v>
      </c>
    </row>
    <row r="49" spans="1:5" s="518" customFormat="1" ht="12">
      <c r="A49" s="516" t="s">
        <v>739</v>
      </c>
      <c r="C49" s="490">
        <v>2638</v>
      </c>
      <c r="E49" s="490">
        <v>14</v>
      </c>
    </row>
    <row r="50" spans="1:5" s="518" customFormat="1" ht="46.5" customHeight="1">
      <c r="A50" s="507" t="s">
        <v>0</v>
      </c>
      <c r="C50" s="490">
        <f>SUM(C46-C47)</f>
        <v>1326</v>
      </c>
      <c r="E50" s="490">
        <f>SUM(E46-E47)</f>
        <v>792</v>
      </c>
    </row>
    <row r="51" s="299" customFormat="1" ht="12.75">
      <c r="A51" s="380"/>
    </row>
    <row r="52" s="299" customFormat="1" ht="12.75">
      <c r="A52" s="380"/>
    </row>
    <row r="53" s="299" customFormat="1" ht="12.75">
      <c r="A53" s="380"/>
    </row>
    <row r="54" s="299" customFormat="1" ht="12.75">
      <c r="A54" s="380"/>
    </row>
    <row r="55" s="299" customFormat="1" ht="12.75">
      <c r="A55" s="380"/>
    </row>
    <row r="56" s="299" customFormat="1" ht="12.75">
      <c r="A56" s="380"/>
    </row>
    <row r="57" spans="1:4" s="299" customFormat="1" ht="12.75">
      <c r="A57" s="343" t="s">
        <v>1</v>
      </c>
      <c r="B57" s="519"/>
      <c r="C57" s="320"/>
      <c r="D57" s="320" t="s">
        <v>481</v>
      </c>
    </row>
    <row r="58" s="299" customFormat="1" ht="12.75">
      <c r="A58" s="380"/>
    </row>
    <row r="59" s="299" customFormat="1" ht="12.75">
      <c r="A59" s="380"/>
    </row>
    <row r="60" s="299" customFormat="1" ht="12.75">
      <c r="A60" s="380"/>
    </row>
    <row r="61" s="299" customFormat="1" ht="12.75">
      <c r="A61" s="380"/>
    </row>
    <row r="62" s="299" customFormat="1" ht="12.75">
      <c r="A62" s="380"/>
    </row>
    <row r="63" s="299" customFormat="1" ht="12.75">
      <c r="A63" s="380"/>
    </row>
    <row r="64" s="299" customFormat="1" ht="12.75">
      <c r="A64" s="380"/>
    </row>
    <row r="65" s="299" customFormat="1" ht="12.75">
      <c r="A65" s="380"/>
    </row>
    <row r="66" s="299" customFormat="1" ht="12.75">
      <c r="A66" s="380"/>
    </row>
    <row r="67" s="299" customFormat="1" ht="12.75">
      <c r="A67" s="380"/>
    </row>
    <row r="68" s="299" customFormat="1" ht="12.75">
      <c r="A68" s="380"/>
    </row>
    <row r="69" s="299" customFormat="1" ht="12.75">
      <c r="A69" s="429"/>
    </row>
    <row r="70" s="299" customFormat="1" ht="12.75">
      <c r="A70" s="429" t="s">
        <v>614</v>
      </c>
    </row>
    <row r="71" s="299" customFormat="1" ht="12.75">
      <c r="A71" s="429" t="s">
        <v>615</v>
      </c>
    </row>
    <row r="72" s="299" customFormat="1" ht="12.75">
      <c r="A72" s="380"/>
    </row>
    <row r="73" s="299" customFormat="1" ht="12.75">
      <c r="A73" s="380"/>
    </row>
    <row r="74" s="299" customFormat="1" ht="12.75">
      <c r="A74" s="380"/>
    </row>
    <row r="75" s="299" customFormat="1" ht="12.75">
      <c r="A75" s="380"/>
    </row>
    <row r="76" s="299" customFormat="1" ht="12.75">
      <c r="A76" s="380"/>
    </row>
    <row r="77" s="299" customFormat="1" ht="12.75">
      <c r="A77" s="380"/>
    </row>
    <row r="78" s="299" customFormat="1" ht="12.75">
      <c r="A78" s="380"/>
    </row>
    <row r="79" ht="11.25">
      <c r="A79" s="381"/>
    </row>
    <row r="80" ht="11.25">
      <c r="A80" s="381"/>
    </row>
    <row r="81" ht="11.25">
      <c r="A81" s="381"/>
    </row>
    <row r="82" ht="11.25">
      <c r="A82" s="381"/>
    </row>
    <row r="83" ht="11.25">
      <c r="A83" s="381"/>
    </row>
    <row r="84" ht="11.25">
      <c r="A84" s="381"/>
    </row>
    <row r="85" ht="11.25">
      <c r="A85" s="381"/>
    </row>
    <row r="86" ht="11.25">
      <c r="A86" s="381"/>
    </row>
    <row r="87" ht="11.25">
      <c r="A87" s="381"/>
    </row>
    <row r="88" ht="11.25">
      <c r="A88" s="381"/>
    </row>
    <row r="89" ht="11.25">
      <c r="A89" s="381"/>
    </row>
    <row r="90" ht="11.25">
      <c r="A90" s="381"/>
    </row>
    <row r="91" ht="11.25">
      <c r="A91" s="381"/>
    </row>
    <row r="92" ht="11.25">
      <c r="A92" s="381"/>
    </row>
    <row r="93" ht="11.25">
      <c r="A93" s="381"/>
    </row>
    <row r="94" ht="11.25">
      <c r="A94" s="381"/>
    </row>
    <row r="95" ht="11.25">
      <c r="A95" s="381"/>
    </row>
    <row r="96" ht="11.25">
      <c r="A96" s="381"/>
    </row>
    <row r="97" ht="11.25">
      <c r="A97" s="381"/>
    </row>
    <row r="98" ht="11.25">
      <c r="A98" s="381"/>
    </row>
    <row r="99" ht="11.25">
      <c r="A99" s="381"/>
    </row>
    <row r="100" ht="11.25">
      <c r="A100" s="381"/>
    </row>
    <row r="101" ht="11.25">
      <c r="A101" s="381"/>
    </row>
    <row r="102" ht="11.25">
      <c r="A102" s="381"/>
    </row>
    <row r="103" ht="11.25">
      <c r="A103" s="381"/>
    </row>
    <row r="104" ht="11.25">
      <c r="A104" s="381"/>
    </row>
    <row r="105" ht="11.25">
      <c r="A105" s="381"/>
    </row>
    <row r="106" ht="11.25">
      <c r="A106" s="381"/>
    </row>
    <row r="107" ht="11.25">
      <c r="A107" s="381"/>
    </row>
    <row r="108" ht="11.25">
      <c r="A108" s="381"/>
    </row>
    <row r="109" ht="11.25">
      <c r="A109" s="381"/>
    </row>
    <row r="110" ht="11.25">
      <c r="A110" s="381"/>
    </row>
    <row r="111" ht="11.25">
      <c r="A111" s="381"/>
    </row>
    <row r="112" ht="11.25">
      <c r="A112" s="381"/>
    </row>
    <row r="113" ht="11.25">
      <c r="A113" s="381"/>
    </row>
    <row r="114" ht="11.25">
      <c r="A114" s="381"/>
    </row>
    <row r="115" ht="11.25">
      <c r="A115" s="381"/>
    </row>
    <row r="116" ht="11.25">
      <c r="A116" s="381"/>
    </row>
    <row r="117" ht="11.25">
      <c r="A117" s="381"/>
    </row>
    <row r="118" ht="11.25">
      <c r="A118" s="381"/>
    </row>
    <row r="119" ht="11.25">
      <c r="A119" s="381"/>
    </row>
    <row r="120" ht="11.25">
      <c r="A120" s="381"/>
    </row>
    <row r="121" ht="11.25">
      <c r="A121" s="381"/>
    </row>
    <row r="122" ht="11.25">
      <c r="A122" s="381"/>
    </row>
    <row r="123" ht="11.25">
      <c r="A123" s="381"/>
    </row>
    <row r="124" ht="11.25">
      <c r="A124" s="381"/>
    </row>
    <row r="125" ht="11.25">
      <c r="A125" s="381"/>
    </row>
  </sheetData>
  <printOptions/>
  <pageMargins left="0.39" right="0.17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I58"/>
  <sheetViews>
    <sheetView showGridLines="0" showZeros="0" workbookViewId="0" topLeftCell="A1">
      <selection activeCell="A55" sqref="A55"/>
    </sheetView>
  </sheetViews>
  <sheetFormatPr defaultColWidth="9.140625" defaultRowHeight="12.75"/>
  <cols>
    <col min="1" max="1" width="37.57421875" style="293" customWidth="1"/>
    <col min="2" max="5" width="12.7109375" style="287" customWidth="1"/>
    <col min="6" max="16384" width="7.421875" style="287" customWidth="1"/>
  </cols>
  <sheetData>
    <row r="1" spans="1:5" ht="12.75">
      <c r="A1" s="285" t="s">
        <v>441</v>
      </c>
      <c r="B1" s="285"/>
      <c r="C1" s="286"/>
      <c r="D1" s="286"/>
      <c r="E1" s="286" t="s">
        <v>442</v>
      </c>
    </row>
    <row r="2" spans="1:7" s="286" customFormat="1" ht="12.75">
      <c r="A2" s="285"/>
      <c r="B2" s="285"/>
      <c r="E2" s="288"/>
      <c r="G2" s="285" t="s">
        <v>443</v>
      </c>
    </row>
    <row r="4" spans="1:6" s="292" customFormat="1" ht="15.75">
      <c r="A4" s="289" t="s">
        <v>444</v>
      </c>
      <c r="B4" s="290"/>
      <c r="C4" s="291"/>
      <c r="D4" s="291"/>
      <c r="E4" s="291"/>
      <c r="F4" s="291"/>
    </row>
    <row r="5" spans="1:6" s="292" customFormat="1" ht="15.75">
      <c r="A5" s="289" t="s">
        <v>445</v>
      </c>
      <c r="B5" s="290"/>
      <c r="C5" s="291"/>
      <c r="D5" s="291"/>
      <c r="E5" s="291"/>
      <c r="F5" s="291"/>
    </row>
    <row r="6" spans="2:4" ht="11.25">
      <c r="B6" s="294"/>
      <c r="C6" s="294"/>
      <c r="D6" s="294"/>
    </row>
    <row r="7" spans="3:9" ht="12.75" customHeight="1">
      <c r="C7" s="294"/>
      <c r="D7" s="294"/>
      <c r="E7" s="294"/>
      <c r="F7" s="265"/>
      <c r="G7" s="265"/>
      <c r="H7" s="265"/>
      <c r="I7" s="265"/>
    </row>
    <row r="8" spans="1:5" s="265" customFormat="1" ht="12.75" customHeight="1">
      <c r="A8" s="295"/>
      <c r="B8" s="295"/>
      <c r="C8" s="296"/>
      <c r="D8" s="296"/>
      <c r="E8" s="296" t="s">
        <v>6</v>
      </c>
    </row>
    <row r="9" spans="1:8" s="265" customFormat="1" ht="40.5" customHeight="1">
      <c r="A9" s="297" t="s">
        <v>7</v>
      </c>
      <c r="B9" s="298" t="s">
        <v>446</v>
      </c>
      <c r="C9" s="298" t="s">
        <v>10</v>
      </c>
      <c r="D9" s="298" t="s">
        <v>447</v>
      </c>
      <c r="E9" s="298" t="s">
        <v>96</v>
      </c>
      <c r="F9" s="299"/>
      <c r="G9" s="299"/>
      <c r="H9" s="299"/>
    </row>
    <row r="10" spans="1:8" s="265" customFormat="1" ht="12.75">
      <c r="A10" s="300" t="s">
        <v>448</v>
      </c>
      <c r="B10" s="300">
        <v>2</v>
      </c>
      <c r="C10" s="300">
        <v>3</v>
      </c>
      <c r="D10" s="300">
        <v>4</v>
      </c>
      <c r="E10" s="300">
        <v>5</v>
      </c>
      <c r="F10" s="299"/>
      <c r="G10" s="299"/>
      <c r="H10" s="299"/>
    </row>
    <row r="11" spans="1:6" s="299" customFormat="1" ht="12.75">
      <c r="A11" s="301" t="s">
        <v>449</v>
      </c>
      <c r="B11" s="302">
        <v>0</v>
      </c>
      <c r="C11" s="302">
        <v>163766</v>
      </c>
      <c r="D11" s="303">
        <v>0</v>
      </c>
      <c r="E11" s="302">
        <v>34343</v>
      </c>
      <c r="F11" s="287"/>
    </row>
    <row r="12" spans="1:7" ht="25.5">
      <c r="A12" s="304" t="s">
        <v>450</v>
      </c>
      <c r="B12" s="302">
        <v>0</v>
      </c>
      <c r="C12" s="302">
        <v>112223</v>
      </c>
      <c r="D12" s="303">
        <v>0</v>
      </c>
      <c r="E12" s="302">
        <v>23297</v>
      </c>
      <c r="F12" s="299"/>
      <c r="G12" s="299"/>
    </row>
    <row r="13" spans="1:5" s="299" customFormat="1" ht="12.75">
      <c r="A13" s="305" t="s">
        <v>451</v>
      </c>
      <c r="B13" s="302">
        <v>0</v>
      </c>
      <c r="C13" s="302">
        <v>93562</v>
      </c>
      <c r="D13" s="303">
        <v>0</v>
      </c>
      <c r="E13" s="302">
        <v>19554</v>
      </c>
    </row>
    <row r="14" spans="1:6" s="299" customFormat="1" ht="12.75">
      <c r="A14" s="306" t="s">
        <v>278</v>
      </c>
      <c r="B14" s="302">
        <v>0</v>
      </c>
      <c r="C14" s="302">
        <v>93121</v>
      </c>
      <c r="D14" s="303">
        <v>0</v>
      </c>
      <c r="E14" s="302">
        <v>19559</v>
      </c>
      <c r="F14" s="287"/>
    </row>
    <row r="15" spans="1:6" s="265" customFormat="1" ht="12">
      <c r="A15" s="307" t="s">
        <v>452</v>
      </c>
      <c r="B15" s="302">
        <v>0</v>
      </c>
      <c r="C15" s="302">
        <v>71330</v>
      </c>
      <c r="D15" s="303">
        <v>0</v>
      </c>
      <c r="E15" s="302">
        <v>14592</v>
      </c>
      <c r="F15" s="287"/>
    </row>
    <row r="16" spans="1:6" s="265" customFormat="1" ht="12">
      <c r="A16" s="307" t="s">
        <v>453</v>
      </c>
      <c r="B16" s="302">
        <v>0</v>
      </c>
      <c r="C16" s="302">
        <v>9312</v>
      </c>
      <c r="D16" s="303">
        <v>0</v>
      </c>
      <c r="E16" s="302">
        <v>2891</v>
      </c>
      <c r="F16" s="287"/>
    </row>
    <row r="17" spans="1:6" s="265" customFormat="1" ht="12">
      <c r="A17" s="307" t="s">
        <v>454</v>
      </c>
      <c r="B17" s="302">
        <v>0</v>
      </c>
      <c r="C17" s="302">
        <v>11596</v>
      </c>
      <c r="D17" s="303">
        <v>0</v>
      </c>
      <c r="E17" s="302">
        <v>1929</v>
      </c>
      <c r="F17" s="287"/>
    </row>
    <row r="18" spans="1:6" s="265" customFormat="1" ht="12">
      <c r="A18" s="307" t="s">
        <v>455</v>
      </c>
      <c r="B18" s="302">
        <v>0</v>
      </c>
      <c r="C18" s="302">
        <v>883</v>
      </c>
      <c r="D18" s="303">
        <v>0</v>
      </c>
      <c r="E18" s="302">
        <v>147</v>
      </c>
      <c r="F18" s="287"/>
    </row>
    <row r="19" spans="1:6" s="299" customFormat="1" ht="12.75">
      <c r="A19" s="306" t="s">
        <v>280</v>
      </c>
      <c r="B19" s="302">
        <v>0</v>
      </c>
      <c r="C19" s="302">
        <v>441</v>
      </c>
      <c r="D19" s="303">
        <v>0</v>
      </c>
      <c r="E19" s="302">
        <v>-5</v>
      </c>
      <c r="F19" s="287"/>
    </row>
    <row r="20" spans="1:5" ht="12">
      <c r="A20" s="307" t="s">
        <v>456</v>
      </c>
      <c r="B20" s="302">
        <v>0</v>
      </c>
      <c r="C20" s="302">
        <v>441</v>
      </c>
      <c r="D20" s="303">
        <v>0</v>
      </c>
      <c r="E20" s="302">
        <v>-5</v>
      </c>
    </row>
    <row r="21" spans="1:5" s="299" customFormat="1" ht="12.75">
      <c r="A21" s="305" t="s">
        <v>457</v>
      </c>
      <c r="B21" s="302">
        <v>0</v>
      </c>
      <c r="C21" s="302">
        <v>7511</v>
      </c>
      <c r="D21" s="303">
        <v>0</v>
      </c>
      <c r="E21" s="302">
        <v>1638</v>
      </c>
    </row>
    <row r="22" spans="1:7" ht="12.75">
      <c r="A22" s="307" t="s">
        <v>458</v>
      </c>
      <c r="B22" s="302">
        <v>0</v>
      </c>
      <c r="C22" s="302">
        <v>167</v>
      </c>
      <c r="D22" s="303">
        <v>0</v>
      </c>
      <c r="E22" s="302">
        <v>36</v>
      </c>
      <c r="F22" s="299"/>
      <c r="G22" s="299"/>
    </row>
    <row r="23" spans="1:7" ht="12.75">
      <c r="A23" s="307" t="s">
        <v>459</v>
      </c>
      <c r="B23" s="302">
        <v>0</v>
      </c>
      <c r="C23" s="302">
        <v>1539</v>
      </c>
      <c r="D23" s="303">
        <v>0</v>
      </c>
      <c r="E23" s="302">
        <v>312</v>
      </c>
      <c r="F23" s="299"/>
      <c r="G23" s="299"/>
    </row>
    <row r="24" spans="1:7" ht="12.75">
      <c r="A24" s="307" t="s">
        <v>460</v>
      </c>
      <c r="B24" s="302">
        <v>0</v>
      </c>
      <c r="C24" s="302">
        <v>217</v>
      </c>
      <c r="D24" s="303">
        <v>0</v>
      </c>
      <c r="E24" s="302">
        <v>137</v>
      </c>
      <c r="F24" s="299"/>
      <c r="G24" s="299"/>
    </row>
    <row r="25" spans="1:7" ht="12.75">
      <c r="A25" s="307" t="s">
        <v>461</v>
      </c>
      <c r="B25" s="302">
        <v>0</v>
      </c>
      <c r="C25" s="302">
        <v>5268</v>
      </c>
      <c r="D25" s="303">
        <v>0</v>
      </c>
      <c r="E25" s="302">
        <v>1074</v>
      </c>
      <c r="F25" s="299"/>
      <c r="G25" s="299"/>
    </row>
    <row r="26" spans="1:7" ht="22.5">
      <c r="A26" s="308" t="s">
        <v>462</v>
      </c>
      <c r="B26" s="302">
        <v>0</v>
      </c>
      <c r="C26" s="302">
        <v>242</v>
      </c>
      <c r="D26" s="303">
        <v>0</v>
      </c>
      <c r="E26" s="302">
        <v>46</v>
      </c>
      <c r="F26" s="299"/>
      <c r="G26" s="299"/>
    </row>
    <row r="27" spans="1:7" ht="12.75">
      <c r="A27" s="307" t="s">
        <v>463</v>
      </c>
      <c r="B27" s="302">
        <v>0</v>
      </c>
      <c r="C27" s="302">
        <v>78</v>
      </c>
      <c r="D27" s="303">
        <v>0</v>
      </c>
      <c r="E27" s="302">
        <v>33</v>
      </c>
      <c r="F27" s="299"/>
      <c r="G27" s="299"/>
    </row>
    <row r="28" spans="1:7" ht="38.25">
      <c r="A28" s="309" t="s">
        <v>464</v>
      </c>
      <c r="B28" s="302">
        <v>0</v>
      </c>
      <c r="C28" s="302">
        <v>11150</v>
      </c>
      <c r="D28" s="303">
        <v>0</v>
      </c>
      <c r="E28" s="302">
        <v>2105</v>
      </c>
      <c r="F28" s="299"/>
      <c r="G28" s="299"/>
    </row>
    <row r="29" spans="1:7" ht="12.75">
      <c r="A29" s="305" t="s">
        <v>465</v>
      </c>
      <c r="B29" s="302">
        <v>0</v>
      </c>
      <c r="C29" s="302">
        <v>51543</v>
      </c>
      <c r="D29" s="303">
        <v>0</v>
      </c>
      <c r="E29" s="302">
        <v>11046</v>
      </c>
      <c r="F29" s="299"/>
      <c r="G29" s="299"/>
    </row>
    <row r="30" spans="1:7" ht="12.75">
      <c r="A30" s="310" t="s">
        <v>466</v>
      </c>
      <c r="B30" s="302">
        <v>0</v>
      </c>
      <c r="C30" s="302">
        <v>1769</v>
      </c>
      <c r="D30" s="303">
        <v>0</v>
      </c>
      <c r="E30" s="302">
        <v>542</v>
      </c>
      <c r="F30" s="299"/>
      <c r="G30" s="299"/>
    </row>
    <row r="31" spans="1:7" ht="22.5">
      <c r="A31" s="308" t="s">
        <v>467</v>
      </c>
      <c r="B31" s="302">
        <v>0</v>
      </c>
      <c r="C31" s="302">
        <v>1413</v>
      </c>
      <c r="D31" s="303">
        <v>0</v>
      </c>
      <c r="E31" s="302">
        <v>446</v>
      </c>
      <c r="F31" s="299"/>
      <c r="G31" s="299"/>
    </row>
    <row r="32" spans="1:7" ht="22.5">
      <c r="A32" s="308" t="s">
        <v>468</v>
      </c>
      <c r="B32" s="302">
        <v>0</v>
      </c>
      <c r="C32" s="302">
        <v>67</v>
      </c>
      <c r="D32" s="303">
        <v>0</v>
      </c>
      <c r="E32" s="302">
        <v>11</v>
      </c>
      <c r="F32" s="299"/>
      <c r="G32" s="299"/>
    </row>
    <row r="33" spans="1:7" ht="12.75">
      <c r="A33" s="307" t="s">
        <v>469</v>
      </c>
      <c r="B33" s="302">
        <v>0</v>
      </c>
      <c r="C33" s="302">
        <v>289</v>
      </c>
      <c r="D33" s="303">
        <v>0</v>
      </c>
      <c r="E33" s="302">
        <v>85</v>
      </c>
      <c r="F33" s="299"/>
      <c r="G33" s="299"/>
    </row>
    <row r="34" spans="1:7" ht="12.75">
      <c r="A34" s="310" t="s">
        <v>470</v>
      </c>
      <c r="B34" s="302">
        <v>0</v>
      </c>
      <c r="C34" s="302">
        <v>36848</v>
      </c>
      <c r="D34" s="303">
        <v>0</v>
      </c>
      <c r="E34" s="302">
        <v>8014</v>
      </c>
      <c r="F34" s="299"/>
      <c r="G34" s="299"/>
    </row>
    <row r="35" spans="1:7" ht="12.75">
      <c r="A35" s="307" t="s">
        <v>471</v>
      </c>
      <c r="B35" s="302">
        <v>0</v>
      </c>
      <c r="C35" s="302">
        <v>20</v>
      </c>
      <c r="D35" s="303">
        <v>0</v>
      </c>
      <c r="E35" s="302">
        <v>5</v>
      </c>
      <c r="F35" s="299"/>
      <c r="G35" s="299"/>
    </row>
    <row r="36" spans="1:5" ht="12">
      <c r="A36" s="307" t="s">
        <v>472</v>
      </c>
      <c r="B36" s="302">
        <v>0</v>
      </c>
      <c r="C36" s="302">
        <v>20</v>
      </c>
      <c r="D36" s="303">
        <v>0</v>
      </c>
      <c r="E36" s="302">
        <v>5</v>
      </c>
    </row>
    <row r="37" spans="1:5" ht="12">
      <c r="A37" s="307" t="s">
        <v>473</v>
      </c>
      <c r="B37" s="302">
        <v>0</v>
      </c>
      <c r="C37" s="302">
        <v>36828</v>
      </c>
      <c r="D37" s="303">
        <v>0</v>
      </c>
      <c r="E37" s="302">
        <v>8009</v>
      </c>
    </row>
    <row r="38" spans="1:5" ht="22.5">
      <c r="A38" s="311" t="s">
        <v>474</v>
      </c>
      <c r="B38" s="302">
        <v>0</v>
      </c>
      <c r="C38" s="302">
        <v>12628</v>
      </c>
      <c r="D38" s="303">
        <v>0</v>
      </c>
      <c r="E38" s="302">
        <v>2393</v>
      </c>
    </row>
    <row r="39" spans="1:5" ht="12">
      <c r="A39" s="307" t="s">
        <v>471</v>
      </c>
      <c r="B39" s="302">
        <v>0</v>
      </c>
      <c r="C39" s="302">
        <v>12628</v>
      </c>
      <c r="D39" s="303">
        <v>0</v>
      </c>
      <c r="E39" s="302">
        <v>2393</v>
      </c>
    </row>
    <row r="40" spans="1:5" ht="12">
      <c r="A40" s="307" t="s">
        <v>475</v>
      </c>
      <c r="B40" s="302">
        <v>0</v>
      </c>
      <c r="C40" s="302">
        <v>0</v>
      </c>
      <c r="D40" s="303">
        <v>0</v>
      </c>
      <c r="E40" s="302">
        <v>0</v>
      </c>
    </row>
    <row r="41" spans="1:5" ht="22.5">
      <c r="A41" s="308" t="s">
        <v>476</v>
      </c>
      <c r="B41" s="302">
        <v>0</v>
      </c>
      <c r="C41" s="302">
        <v>0</v>
      </c>
      <c r="D41" s="303">
        <v>0</v>
      </c>
      <c r="E41" s="302"/>
    </row>
    <row r="42" spans="1:5" ht="12">
      <c r="A42" s="310" t="s">
        <v>477</v>
      </c>
      <c r="B42" s="302">
        <v>0</v>
      </c>
      <c r="C42" s="302">
        <v>298</v>
      </c>
      <c r="D42" s="303">
        <v>0</v>
      </c>
      <c r="E42" s="302">
        <v>97</v>
      </c>
    </row>
    <row r="43" spans="1:5" ht="12">
      <c r="A43" s="312" t="s">
        <v>478</v>
      </c>
      <c r="B43" s="313"/>
      <c r="C43" s="313"/>
      <c r="D43" s="314"/>
      <c r="E43" s="315"/>
    </row>
    <row r="44" spans="1:5" ht="12.75">
      <c r="A44" s="312" t="s">
        <v>479</v>
      </c>
      <c r="B44" s="316"/>
      <c r="C44" s="316"/>
      <c r="D44" s="316"/>
      <c r="E44" s="315"/>
    </row>
    <row r="45" spans="1:5" ht="12.75">
      <c r="A45" s="312"/>
      <c r="B45" s="316"/>
      <c r="C45" s="316"/>
      <c r="D45" s="316"/>
      <c r="E45" s="315"/>
    </row>
    <row r="46" spans="1:5" ht="12.75">
      <c r="A46" s="312"/>
      <c r="B46" s="316"/>
      <c r="C46" s="316"/>
      <c r="D46" s="316"/>
      <c r="E46" s="315"/>
    </row>
    <row r="47" spans="1:4" s="314" customFormat="1" ht="12">
      <c r="A47" s="317"/>
      <c r="B47" s="315"/>
      <c r="C47" s="313"/>
      <c r="D47" s="313"/>
    </row>
    <row r="48" spans="1:5" s="321" customFormat="1" ht="15.75" customHeight="1">
      <c r="A48" s="318" t="s">
        <v>480</v>
      </c>
      <c r="B48" s="318"/>
      <c r="C48" s="319"/>
      <c r="D48" s="319"/>
      <c r="E48" s="320" t="s">
        <v>481</v>
      </c>
    </row>
    <row r="49" spans="1:4" ht="12.75">
      <c r="A49" s="316"/>
      <c r="B49" s="314"/>
      <c r="C49" s="314"/>
      <c r="D49" s="314"/>
    </row>
    <row r="50" spans="1:4" s="314" customFormat="1" ht="13.5" customHeight="1">
      <c r="A50" s="322"/>
      <c r="C50" s="323"/>
      <c r="D50" s="287"/>
    </row>
    <row r="51" spans="1:4" ht="12.75">
      <c r="A51" s="316"/>
      <c r="B51" s="314"/>
      <c r="C51" s="314"/>
      <c r="D51" s="314"/>
    </row>
    <row r="52" spans="1:4" s="314" customFormat="1" ht="11.25">
      <c r="A52" s="322"/>
      <c r="C52" s="323"/>
      <c r="D52" s="287"/>
    </row>
    <row r="53" spans="1:4" ht="13.5" customHeight="1">
      <c r="A53" s="316"/>
      <c r="B53" s="314"/>
      <c r="C53" s="314"/>
      <c r="D53" s="314"/>
    </row>
    <row r="54" spans="1:3" ht="12">
      <c r="A54" s="318"/>
      <c r="B54" s="324"/>
      <c r="C54" s="323"/>
    </row>
    <row r="55" spans="1:3" ht="12">
      <c r="A55" s="318"/>
      <c r="B55" s="324"/>
      <c r="C55" s="265"/>
    </row>
    <row r="57" spans="1:3" ht="12">
      <c r="A57" s="295"/>
      <c r="B57" s="324"/>
      <c r="C57" s="321"/>
    </row>
    <row r="58" spans="1:3" ht="12">
      <c r="A58" s="318"/>
      <c r="B58" s="324"/>
      <c r="C58" s="321"/>
    </row>
  </sheetData>
  <printOptions/>
  <pageMargins left="1.05" right="0.38" top="0.49" bottom="0.24" header="0.25" footer="0.31"/>
  <pageSetup horizontalDpi="600" verticalDpi="600" orientation="portrait" paperSize="9" r:id="rId1"/>
  <headerFooter alignWithMargins="0">
    <oddFooter xml:space="preserve">&amp;L&amp;"Arial,Regular"&amp;8          Valsts kase / Pārskatu departaments    
          15.06.99.
         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/>
  <dimension ref="A1:I65"/>
  <sheetViews>
    <sheetView showGridLines="0" showZeros="0" workbookViewId="0" topLeftCell="A1">
      <selection activeCell="A55" sqref="A55"/>
    </sheetView>
  </sheetViews>
  <sheetFormatPr defaultColWidth="9.140625" defaultRowHeight="12.75"/>
  <cols>
    <col min="1" max="1" width="41.00390625" style="293" customWidth="1"/>
    <col min="2" max="2" width="13.140625" style="351" customWidth="1"/>
    <col min="3" max="5" width="13.140625" style="287" customWidth="1"/>
    <col min="6" max="6" width="11.28125" style="287" customWidth="1"/>
    <col min="7" max="16384" width="8.00390625" style="287" customWidth="1"/>
  </cols>
  <sheetData>
    <row r="1" spans="1:6" ht="12.75">
      <c r="A1" s="285" t="s">
        <v>482</v>
      </c>
      <c r="B1" s="285"/>
      <c r="C1" s="286"/>
      <c r="D1" s="286"/>
      <c r="E1" s="286" t="s">
        <v>483</v>
      </c>
      <c r="F1" s="316" t="s">
        <v>16</v>
      </c>
    </row>
    <row r="2" spans="1:6" ht="12.75">
      <c r="A2" s="285"/>
      <c r="B2" s="285"/>
      <c r="C2" s="286"/>
      <c r="D2" s="286"/>
      <c r="E2" s="286"/>
      <c r="F2" s="316"/>
    </row>
    <row r="3" spans="1:6" ht="12.75">
      <c r="A3" s="285"/>
      <c r="B3" s="285"/>
      <c r="C3" s="286"/>
      <c r="D3" s="286"/>
      <c r="E3" s="286"/>
      <c r="F3" s="316"/>
    </row>
    <row r="4" spans="1:5" s="265" customFormat="1" ht="11.25">
      <c r="A4" s="325"/>
      <c r="B4" s="325"/>
      <c r="C4" s="296"/>
      <c r="D4" s="296"/>
      <c r="E4" s="296"/>
    </row>
    <row r="5" spans="1:6" ht="15.75">
      <c r="A5" s="289" t="s">
        <v>484</v>
      </c>
      <c r="B5" s="290"/>
      <c r="C5" s="291"/>
      <c r="D5" s="291"/>
      <c r="E5" s="291"/>
      <c r="F5" s="291"/>
    </row>
    <row r="6" spans="1:6" s="292" customFormat="1" ht="15.75">
      <c r="A6" s="289" t="s">
        <v>445</v>
      </c>
      <c r="B6" s="290"/>
      <c r="C6" s="291"/>
      <c r="D6" s="291"/>
      <c r="E6" s="291"/>
      <c r="F6" s="291"/>
    </row>
    <row r="7" spans="1:6" s="292" customFormat="1" ht="15">
      <c r="A7" s="293"/>
      <c r="B7" s="326"/>
      <c r="C7" s="294"/>
      <c r="D7" s="294"/>
      <c r="E7" s="294"/>
      <c r="F7" s="287"/>
    </row>
    <row r="8" spans="1:6" ht="11.25">
      <c r="A8" s="295"/>
      <c r="B8" s="327"/>
      <c r="C8" s="265"/>
      <c r="D8" s="296" t="s">
        <v>485</v>
      </c>
      <c r="E8" s="296"/>
      <c r="F8" s="328"/>
    </row>
    <row r="9" spans="1:5" s="265" customFormat="1" ht="43.5" customHeight="1">
      <c r="A9" s="329" t="s">
        <v>7</v>
      </c>
      <c r="B9" s="330" t="s">
        <v>446</v>
      </c>
      <c r="C9" s="330" t="s">
        <v>10</v>
      </c>
      <c r="D9" s="330" t="s">
        <v>447</v>
      </c>
      <c r="E9" s="331" t="s">
        <v>129</v>
      </c>
    </row>
    <row r="10" spans="1:5" ht="11.25">
      <c r="A10" s="332" t="s">
        <v>448</v>
      </c>
      <c r="B10" s="300" t="s">
        <v>486</v>
      </c>
      <c r="C10" s="300" t="s">
        <v>487</v>
      </c>
      <c r="D10" s="300" t="s">
        <v>488</v>
      </c>
      <c r="E10" s="333" t="s">
        <v>489</v>
      </c>
    </row>
    <row r="11" spans="1:5" ht="12.75">
      <c r="A11" s="334" t="s">
        <v>490</v>
      </c>
      <c r="B11" s="302">
        <v>0</v>
      </c>
      <c r="C11" s="302">
        <v>155151</v>
      </c>
      <c r="D11" s="303">
        <v>0</v>
      </c>
      <c r="E11" s="335">
        <v>33236</v>
      </c>
    </row>
    <row r="12" spans="1:5" s="299" customFormat="1" ht="12.75">
      <c r="A12" s="336" t="s">
        <v>491</v>
      </c>
      <c r="B12" s="302">
        <v>0</v>
      </c>
      <c r="C12" s="302">
        <v>143568</v>
      </c>
      <c r="D12" s="303">
        <v>0</v>
      </c>
      <c r="E12" s="335">
        <v>30907</v>
      </c>
    </row>
    <row r="13" spans="1:5" s="321" customFormat="1" ht="12">
      <c r="A13" s="337" t="s">
        <v>492</v>
      </c>
      <c r="B13" s="302">
        <v>0</v>
      </c>
      <c r="C13" s="302">
        <v>17135</v>
      </c>
      <c r="D13" s="303">
        <v>0</v>
      </c>
      <c r="E13" s="335">
        <v>3052</v>
      </c>
    </row>
    <row r="14" spans="1:5" s="321" customFormat="1" ht="12">
      <c r="A14" s="337" t="s">
        <v>15</v>
      </c>
      <c r="B14" s="302">
        <v>0</v>
      </c>
      <c r="C14" s="302">
        <v>67</v>
      </c>
      <c r="D14" s="303">
        <v>0</v>
      </c>
      <c r="E14" s="335">
        <v>16</v>
      </c>
    </row>
    <row r="15" spans="1:5" s="321" customFormat="1" ht="12">
      <c r="A15" s="337" t="s">
        <v>17</v>
      </c>
      <c r="B15" s="302">
        <v>0</v>
      </c>
      <c r="C15" s="302">
        <v>2399</v>
      </c>
      <c r="D15" s="303">
        <v>0</v>
      </c>
      <c r="E15" s="335">
        <v>552</v>
      </c>
    </row>
    <row r="16" spans="1:9" s="321" customFormat="1" ht="12">
      <c r="A16" s="337" t="s">
        <v>18</v>
      </c>
      <c r="B16" s="302">
        <v>0</v>
      </c>
      <c r="C16" s="302">
        <v>72984</v>
      </c>
      <c r="D16" s="303">
        <v>0</v>
      </c>
      <c r="E16" s="335">
        <v>15365</v>
      </c>
      <c r="I16" s="321" t="s">
        <v>16</v>
      </c>
    </row>
    <row r="17" spans="1:5" s="321" customFormat="1" ht="12">
      <c r="A17" s="337" t="s">
        <v>19</v>
      </c>
      <c r="B17" s="302">
        <v>0</v>
      </c>
      <c r="C17" s="302">
        <v>3033</v>
      </c>
      <c r="D17" s="303">
        <v>0</v>
      </c>
      <c r="E17" s="335">
        <v>660</v>
      </c>
    </row>
    <row r="18" spans="1:5" s="321" customFormat="1" ht="12">
      <c r="A18" s="337" t="s">
        <v>20</v>
      </c>
      <c r="B18" s="302">
        <v>0</v>
      </c>
      <c r="C18" s="302">
        <v>13403</v>
      </c>
      <c r="D18" s="303">
        <v>0</v>
      </c>
      <c r="E18" s="335">
        <v>2607</v>
      </c>
    </row>
    <row r="19" spans="1:5" s="321" customFormat="1" ht="12">
      <c r="A19" s="337" t="s">
        <v>21</v>
      </c>
      <c r="B19" s="302">
        <v>0</v>
      </c>
      <c r="C19" s="302">
        <v>18763</v>
      </c>
      <c r="D19" s="303">
        <v>0</v>
      </c>
      <c r="E19" s="335">
        <v>4223</v>
      </c>
    </row>
    <row r="20" spans="1:5" s="321" customFormat="1" ht="12">
      <c r="A20" s="337" t="s">
        <v>493</v>
      </c>
      <c r="B20" s="302">
        <v>0</v>
      </c>
      <c r="C20" s="302">
        <v>8807</v>
      </c>
      <c r="D20" s="303">
        <v>0</v>
      </c>
      <c r="E20" s="335">
        <v>2393</v>
      </c>
    </row>
    <row r="21" spans="1:5" s="321" customFormat="1" ht="12">
      <c r="A21" s="337" t="s">
        <v>23</v>
      </c>
      <c r="B21" s="302">
        <v>0</v>
      </c>
      <c r="C21" s="302">
        <v>494</v>
      </c>
      <c r="D21" s="303">
        <v>0</v>
      </c>
      <c r="E21" s="335">
        <v>246</v>
      </c>
    </row>
    <row r="22" spans="1:5" s="321" customFormat="1" ht="12">
      <c r="A22" s="337" t="s">
        <v>494</v>
      </c>
      <c r="B22" s="302">
        <v>0</v>
      </c>
      <c r="C22" s="302">
        <v>144</v>
      </c>
      <c r="D22" s="303">
        <v>0</v>
      </c>
      <c r="E22" s="335">
        <v>35</v>
      </c>
    </row>
    <row r="23" spans="1:5" s="321" customFormat="1" ht="22.5">
      <c r="A23" s="337" t="s">
        <v>25</v>
      </c>
      <c r="B23" s="302">
        <v>0</v>
      </c>
      <c r="C23" s="302">
        <v>195</v>
      </c>
      <c r="D23" s="303">
        <v>0</v>
      </c>
      <c r="E23" s="335">
        <v>0</v>
      </c>
    </row>
    <row r="24" spans="1:5" s="321" customFormat="1" ht="12">
      <c r="A24" s="337" t="s">
        <v>495</v>
      </c>
      <c r="B24" s="302">
        <v>0</v>
      </c>
      <c r="C24" s="302">
        <v>4328</v>
      </c>
      <c r="D24" s="303">
        <v>0</v>
      </c>
      <c r="E24" s="335">
        <v>1344</v>
      </c>
    </row>
    <row r="25" spans="1:5" s="321" customFormat="1" ht="12">
      <c r="A25" s="337" t="s">
        <v>27</v>
      </c>
      <c r="B25" s="302">
        <v>0</v>
      </c>
      <c r="C25" s="302">
        <v>296</v>
      </c>
      <c r="D25" s="303">
        <v>0</v>
      </c>
      <c r="E25" s="335">
        <v>73</v>
      </c>
    </row>
    <row r="26" spans="1:5" s="321" customFormat="1" ht="12">
      <c r="A26" s="337" t="s">
        <v>496</v>
      </c>
      <c r="B26" s="302">
        <v>0</v>
      </c>
      <c r="C26" s="302">
        <v>935</v>
      </c>
      <c r="D26" s="303">
        <v>0</v>
      </c>
      <c r="E26" s="335">
        <v>313</v>
      </c>
    </row>
    <row r="27" spans="1:5" s="321" customFormat="1" ht="12">
      <c r="A27" s="337" t="s">
        <v>497</v>
      </c>
      <c r="B27" s="302">
        <v>0</v>
      </c>
      <c r="C27" s="302">
        <v>70</v>
      </c>
      <c r="D27" s="303">
        <v>0</v>
      </c>
      <c r="E27" s="335">
        <v>22</v>
      </c>
    </row>
    <row r="28" spans="1:5" s="321" customFormat="1" ht="12">
      <c r="A28" s="337" t="s">
        <v>498</v>
      </c>
      <c r="B28" s="302">
        <v>0</v>
      </c>
      <c r="C28" s="302">
        <v>12</v>
      </c>
      <c r="D28" s="303">
        <v>0</v>
      </c>
      <c r="E28" s="335">
        <v>3</v>
      </c>
    </row>
    <row r="29" spans="1:5" s="321" customFormat="1" ht="12">
      <c r="A29" s="337" t="s">
        <v>499</v>
      </c>
      <c r="B29" s="302">
        <v>0</v>
      </c>
      <c r="C29" s="302">
        <v>503</v>
      </c>
      <c r="D29" s="303">
        <v>0</v>
      </c>
      <c r="E29" s="335">
        <v>3</v>
      </c>
    </row>
    <row r="30" spans="1:5" s="321" customFormat="1" ht="12.75" customHeight="1">
      <c r="A30" s="336" t="s">
        <v>500</v>
      </c>
      <c r="B30" s="302">
        <v>0</v>
      </c>
      <c r="C30" s="302">
        <v>11583</v>
      </c>
      <c r="D30" s="303">
        <v>0</v>
      </c>
      <c r="E30" s="335">
        <v>2329</v>
      </c>
    </row>
    <row r="31" spans="1:5" s="321" customFormat="1" ht="12">
      <c r="A31" s="338" t="s">
        <v>466</v>
      </c>
      <c r="B31" s="302">
        <v>0</v>
      </c>
      <c r="C31" s="302">
        <v>1896</v>
      </c>
      <c r="D31" s="303">
        <v>0</v>
      </c>
      <c r="E31" s="335">
        <v>585</v>
      </c>
    </row>
    <row r="32" spans="1:5" s="321" customFormat="1" ht="22.5">
      <c r="A32" s="339" t="s">
        <v>501</v>
      </c>
      <c r="B32" s="302">
        <v>0</v>
      </c>
      <c r="C32" s="302">
        <v>1632</v>
      </c>
      <c r="D32" s="303">
        <v>0</v>
      </c>
      <c r="E32" s="335">
        <v>536</v>
      </c>
    </row>
    <row r="33" spans="1:5" s="321" customFormat="1" ht="22.5">
      <c r="A33" s="339" t="s">
        <v>502</v>
      </c>
      <c r="B33" s="302">
        <v>0</v>
      </c>
      <c r="C33" s="302">
        <v>114</v>
      </c>
      <c r="D33" s="303">
        <v>0</v>
      </c>
      <c r="E33" s="335">
        <v>25</v>
      </c>
    </row>
    <row r="34" spans="1:5" s="321" customFormat="1" ht="12">
      <c r="A34" s="339" t="s">
        <v>469</v>
      </c>
      <c r="B34" s="302">
        <v>0</v>
      </c>
      <c r="C34" s="302">
        <v>150</v>
      </c>
      <c r="D34" s="303">
        <v>0</v>
      </c>
      <c r="E34" s="335">
        <v>24</v>
      </c>
    </row>
    <row r="35" spans="1:5" s="321" customFormat="1" ht="22.5">
      <c r="A35" s="338" t="s">
        <v>503</v>
      </c>
      <c r="B35" s="302">
        <v>0</v>
      </c>
      <c r="C35" s="302">
        <v>9687</v>
      </c>
      <c r="D35" s="303">
        <v>0</v>
      </c>
      <c r="E35" s="335">
        <v>1744</v>
      </c>
    </row>
    <row r="36" spans="1:5" s="321" customFormat="1" ht="12">
      <c r="A36" s="339" t="s">
        <v>504</v>
      </c>
      <c r="B36" s="302">
        <v>0</v>
      </c>
      <c r="C36" s="302">
        <v>9687</v>
      </c>
      <c r="D36" s="303">
        <v>0</v>
      </c>
      <c r="E36" s="335">
        <v>1744</v>
      </c>
    </row>
    <row r="37" spans="1:5" s="343" customFormat="1" ht="12">
      <c r="A37" s="340" t="s">
        <v>505</v>
      </c>
      <c r="B37" s="341">
        <v>0</v>
      </c>
      <c r="C37" s="341">
        <v>0</v>
      </c>
      <c r="D37" s="341">
        <v>0</v>
      </c>
      <c r="E37" s="342">
        <v>0</v>
      </c>
    </row>
    <row r="38" spans="1:8" s="321" customFormat="1" ht="12">
      <c r="A38" s="265" t="s">
        <v>506</v>
      </c>
      <c r="C38" s="321">
        <v>0</v>
      </c>
      <c r="D38" s="321">
        <v>0</v>
      </c>
      <c r="E38" s="287"/>
      <c r="F38" s="287"/>
      <c r="G38" s="287"/>
      <c r="H38" s="287"/>
    </row>
    <row r="39" spans="1:8" s="321" customFormat="1" ht="12">
      <c r="A39" s="344"/>
      <c r="B39" s="345"/>
      <c r="C39" s="346"/>
      <c r="D39" s="346"/>
      <c r="E39" s="287"/>
      <c r="F39" s="287"/>
      <c r="G39" s="287"/>
      <c r="H39" s="287"/>
    </row>
    <row r="40" spans="1:8" s="321" customFormat="1" ht="12">
      <c r="A40" s="344"/>
      <c r="B40" s="345"/>
      <c r="C40" s="346"/>
      <c r="D40" s="346"/>
      <c r="E40" s="287"/>
      <c r="F40" s="287"/>
      <c r="G40" s="287"/>
      <c r="H40" s="287"/>
    </row>
    <row r="41" spans="1:8" s="321" customFormat="1" ht="12">
      <c r="A41" s="318"/>
      <c r="B41" s="347"/>
      <c r="E41" s="287"/>
      <c r="F41" s="287"/>
      <c r="G41" s="287"/>
      <c r="H41" s="287"/>
    </row>
    <row r="42" spans="1:8" s="321" customFormat="1" ht="12">
      <c r="A42" s="318" t="s">
        <v>480</v>
      </c>
      <c r="B42" s="318"/>
      <c r="C42" s="348"/>
      <c r="D42" s="348"/>
      <c r="E42" s="349" t="s">
        <v>481</v>
      </c>
      <c r="F42" s="287"/>
      <c r="G42" s="287"/>
      <c r="H42" s="287"/>
    </row>
    <row r="43" spans="1:8" s="321" customFormat="1" ht="12">
      <c r="A43" s="318"/>
      <c r="B43" s="318"/>
      <c r="C43" s="350"/>
      <c r="D43" s="350"/>
      <c r="E43" s="287"/>
      <c r="F43" s="287"/>
      <c r="G43" s="287"/>
      <c r="H43" s="287"/>
    </row>
    <row r="44" spans="1:8" s="321" customFormat="1" ht="12">
      <c r="A44" s="318"/>
      <c r="B44" s="347"/>
      <c r="E44" s="287"/>
      <c r="F44" s="287"/>
      <c r="G44" s="287"/>
      <c r="H44" s="287"/>
    </row>
    <row r="45" spans="1:8" s="321" customFormat="1" ht="12">
      <c r="A45" s="318"/>
      <c r="B45" s="318"/>
      <c r="C45" s="350"/>
      <c r="D45" s="350"/>
      <c r="E45" s="287"/>
      <c r="F45" s="287"/>
      <c r="G45" s="287"/>
      <c r="H45" s="287"/>
    </row>
    <row r="46" spans="1:8" s="321" customFormat="1" ht="12">
      <c r="A46" s="318"/>
      <c r="B46" s="318"/>
      <c r="C46" s="350"/>
      <c r="E46" s="287"/>
      <c r="F46" s="287"/>
      <c r="G46" s="287"/>
      <c r="H46" s="287"/>
    </row>
    <row r="47" spans="1:4" ht="12">
      <c r="A47" s="318"/>
      <c r="B47" s="293"/>
      <c r="C47" s="324"/>
      <c r="D47" s="350"/>
    </row>
    <row r="65" spans="5:8" ht="11.25">
      <c r="E65" s="287">
        <v>0</v>
      </c>
      <c r="F65" s="287">
        <v>0</v>
      </c>
      <c r="G65" s="287">
        <v>0</v>
      </c>
      <c r="H65" s="287">
        <v>0</v>
      </c>
    </row>
  </sheetData>
  <printOptions/>
  <pageMargins left="0.79" right="0.15748031496062992" top="1.03" bottom="0.25" header="0.25" footer="0.24"/>
  <pageSetup horizontalDpi="600" verticalDpi="600" orientation="portrait" paperSize="9" r:id="rId1"/>
  <headerFooter alignWithMargins="0">
    <oddFooter>&amp;L&amp;"Arial,Regular"&amp;8  Valsts kase / Pārskatu departaments
   15.06.99.
</oddFooter>
  </headerFooter>
  <rowBreaks count="1" manualBreakCount="1">
    <brk id="48" max="6553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"/>
  <dimension ref="A1:F49"/>
  <sheetViews>
    <sheetView showGridLines="0" showZeros="0" workbookViewId="0" topLeftCell="A31">
      <selection activeCell="A55" sqref="A55"/>
    </sheetView>
  </sheetViews>
  <sheetFormatPr defaultColWidth="9.140625" defaultRowHeight="12.75"/>
  <cols>
    <col min="1" max="1" width="40.57421875" style="293" customWidth="1"/>
    <col min="2" max="5" width="12.28125" style="287" customWidth="1"/>
    <col min="6" max="16384" width="8.00390625" style="287" customWidth="1"/>
  </cols>
  <sheetData>
    <row r="1" spans="1:5" s="265" customFormat="1" ht="12.75">
      <c r="A1" s="285" t="s">
        <v>507</v>
      </c>
      <c r="B1" s="286"/>
      <c r="C1" s="286"/>
      <c r="D1" s="286"/>
      <c r="E1" s="286" t="s">
        <v>508</v>
      </c>
    </row>
    <row r="2" spans="1:6" s="299" customFormat="1" ht="12.75">
      <c r="A2" s="285"/>
      <c r="B2" s="286"/>
      <c r="C2" s="286"/>
      <c r="D2" s="286"/>
      <c r="E2" s="352"/>
      <c r="F2" s="316"/>
    </row>
    <row r="3" spans="1:5" s="265" customFormat="1" ht="11.25">
      <c r="A3" s="295"/>
      <c r="D3" s="296"/>
      <c r="E3" s="296"/>
    </row>
    <row r="4" spans="1:5" s="292" customFormat="1" ht="15.75">
      <c r="A4" s="289" t="s">
        <v>509</v>
      </c>
      <c r="B4" s="291"/>
      <c r="C4" s="291"/>
      <c r="D4" s="291"/>
      <c r="E4" s="291"/>
    </row>
    <row r="5" spans="1:5" s="292" customFormat="1" ht="15.75">
      <c r="A5" s="289" t="s">
        <v>445</v>
      </c>
      <c r="B5" s="291"/>
      <c r="C5" s="291"/>
      <c r="D5" s="291"/>
      <c r="E5" s="291"/>
    </row>
    <row r="6" spans="1:4" ht="15">
      <c r="A6" s="353"/>
      <c r="B6" s="294"/>
      <c r="C6" s="294"/>
      <c r="D6" s="294"/>
    </row>
    <row r="7" spans="1:4" ht="15">
      <c r="A7" s="353"/>
      <c r="B7" s="294"/>
      <c r="C7" s="294"/>
      <c r="D7" s="294"/>
    </row>
    <row r="8" spans="1:5" s="265" customFormat="1" ht="11.25" customHeight="1">
      <c r="A8" s="295"/>
      <c r="C8" s="296" t="s">
        <v>510</v>
      </c>
      <c r="D8" s="296"/>
      <c r="E8" s="296"/>
    </row>
    <row r="9" spans="1:5" s="265" customFormat="1" ht="33.75" customHeight="1">
      <c r="A9" s="329" t="s">
        <v>7</v>
      </c>
      <c r="B9" s="330" t="s">
        <v>446</v>
      </c>
      <c r="C9" s="330" t="s">
        <v>10</v>
      </c>
      <c r="D9" s="330" t="s">
        <v>447</v>
      </c>
      <c r="E9" s="331" t="s">
        <v>129</v>
      </c>
    </row>
    <row r="10" spans="1:5" s="299" customFormat="1" ht="12.75" customHeight="1">
      <c r="A10" s="332" t="s">
        <v>448</v>
      </c>
      <c r="B10" s="300" t="s">
        <v>486</v>
      </c>
      <c r="C10" s="300" t="s">
        <v>487</v>
      </c>
      <c r="D10" s="300" t="s">
        <v>488</v>
      </c>
      <c r="E10" s="333" t="s">
        <v>489</v>
      </c>
    </row>
    <row r="11" spans="1:5" s="299" customFormat="1" ht="12.75" customHeight="1">
      <c r="A11" s="334" t="s">
        <v>211</v>
      </c>
      <c r="B11" s="300">
        <v>0</v>
      </c>
      <c r="C11" s="302">
        <v>163766</v>
      </c>
      <c r="D11" s="300">
        <v>0</v>
      </c>
      <c r="E11" s="335">
        <v>34343</v>
      </c>
    </row>
    <row r="12" spans="1:5" s="299" customFormat="1" ht="12.75">
      <c r="A12" s="334" t="s">
        <v>511</v>
      </c>
      <c r="B12" s="302">
        <v>0</v>
      </c>
      <c r="C12" s="302">
        <v>154588</v>
      </c>
      <c r="D12" s="303">
        <v>0</v>
      </c>
      <c r="E12" s="302">
        <v>33237</v>
      </c>
    </row>
    <row r="13" spans="1:5" s="314" customFormat="1" ht="11.25" customHeight="1">
      <c r="A13" s="336" t="s">
        <v>214</v>
      </c>
      <c r="B13" s="302">
        <v>0</v>
      </c>
      <c r="C13" s="302">
        <v>138578</v>
      </c>
      <c r="D13" s="303">
        <v>0</v>
      </c>
      <c r="E13" s="335">
        <v>28471</v>
      </c>
    </row>
    <row r="14" spans="1:5" s="314" customFormat="1" ht="11.25" customHeight="1">
      <c r="A14" s="354" t="s">
        <v>63</v>
      </c>
      <c r="B14" s="302">
        <v>0</v>
      </c>
      <c r="C14" s="302">
        <v>113009</v>
      </c>
      <c r="D14" s="302">
        <v>0</v>
      </c>
      <c r="E14" s="335">
        <v>23342</v>
      </c>
    </row>
    <row r="15" spans="1:5" s="314" customFormat="1" ht="11.25" customHeight="1" hidden="1">
      <c r="A15" s="339" t="s">
        <v>512</v>
      </c>
      <c r="B15" s="302">
        <v>0</v>
      </c>
      <c r="C15" s="302">
        <v>1644</v>
      </c>
      <c r="D15" s="303">
        <v>0</v>
      </c>
      <c r="E15" s="335">
        <v>-240</v>
      </c>
    </row>
    <row r="16" spans="1:5" ht="12">
      <c r="A16" s="339" t="s">
        <v>513</v>
      </c>
      <c r="B16" s="302">
        <v>0</v>
      </c>
      <c r="C16" s="302">
        <v>53746</v>
      </c>
      <c r="D16" s="303">
        <v>0</v>
      </c>
      <c r="E16" s="335">
        <v>11364</v>
      </c>
    </row>
    <row r="17" spans="1:5" ht="12">
      <c r="A17" s="339" t="s">
        <v>514</v>
      </c>
      <c r="B17" s="302">
        <v>0</v>
      </c>
      <c r="C17" s="302">
        <v>14716</v>
      </c>
      <c r="D17" s="303">
        <v>0</v>
      </c>
      <c r="E17" s="335">
        <v>3068</v>
      </c>
    </row>
    <row r="18" spans="1:5" ht="12" hidden="1">
      <c r="A18" s="339" t="s">
        <v>515</v>
      </c>
      <c r="B18" s="302">
        <v>0</v>
      </c>
      <c r="C18" s="302">
        <v>623</v>
      </c>
      <c r="D18" s="303">
        <v>0</v>
      </c>
      <c r="E18" s="335">
        <v>216</v>
      </c>
    </row>
    <row r="19" spans="1:5" ht="12" hidden="1">
      <c r="A19" s="339" t="s">
        <v>516</v>
      </c>
      <c r="B19" s="302">
        <v>0</v>
      </c>
      <c r="C19" s="302">
        <v>16496</v>
      </c>
      <c r="D19" s="303">
        <v>0</v>
      </c>
      <c r="E19" s="335">
        <v>3781</v>
      </c>
    </row>
    <row r="20" spans="1:5" ht="12" hidden="1">
      <c r="A20" s="339" t="s">
        <v>517</v>
      </c>
      <c r="B20" s="302">
        <v>0</v>
      </c>
      <c r="C20" s="302">
        <v>25236</v>
      </c>
      <c r="D20" s="303">
        <v>0</v>
      </c>
      <c r="E20" s="335">
        <v>4991</v>
      </c>
    </row>
    <row r="21" spans="1:5" ht="12" hidden="1">
      <c r="A21" s="339" t="s">
        <v>518</v>
      </c>
      <c r="B21" s="302">
        <v>0</v>
      </c>
      <c r="C21" s="302">
        <v>548</v>
      </c>
      <c r="D21" s="303">
        <v>0</v>
      </c>
      <c r="E21" s="335">
        <v>162</v>
      </c>
    </row>
    <row r="22" spans="1:5" ht="12">
      <c r="A22" s="339" t="s">
        <v>519</v>
      </c>
      <c r="B22" s="302">
        <f>SUM(B15,B18,B19,B20,B21)</f>
        <v>0</v>
      </c>
      <c r="C22" s="302">
        <f>SUM(C15,C18,C19,C20,C21)</f>
        <v>44547</v>
      </c>
      <c r="D22" s="302">
        <f>SUM(D15,D18,D19,D20,D21)</f>
        <v>0</v>
      </c>
      <c r="E22" s="335">
        <v>8910</v>
      </c>
    </row>
    <row r="23" spans="1:5" ht="12">
      <c r="A23" s="355" t="s">
        <v>520</v>
      </c>
      <c r="B23" s="302">
        <f>SUM(B19,B20)</f>
        <v>0</v>
      </c>
      <c r="C23" s="302">
        <f>SUM(C19,C20)</f>
        <v>41732</v>
      </c>
      <c r="D23" s="302">
        <f>SUM(D19,D20)</f>
        <v>0</v>
      </c>
      <c r="E23" s="335">
        <v>8772</v>
      </c>
    </row>
    <row r="24" spans="1:5" ht="12">
      <c r="A24" s="355" t="s">
        <v>521</v>
      </c>
      <c r="B24" s="302">
        <f>SUM(B15,B18,B21)</f>
        <v>0</v>
      </c>
      <c r="C24" s="302">
        <f>SUM(C15,C18,C21)</f>
        <v>2815</v>
      </c>
      <c r="D24" s="302">
        <f>SUM(D15,D18,D21)</f>
        <v>0</v>
      </c>
      <c r="E24" s="335">
        <f>SUM(E15,E18,E21)</f>
        <v>138</v>
      </c>
    </row>
    <row r="25" spans="1:5" ht="12">
      <c r="A25" s="354" t="s">
        <v>522</v>
      </c>
      <c r="B25" s="302">
        <v>0</v>
      </c>
      <c r="C25" s="302">
        <v>1057</v>
      </c>
      <c r="D25" s="303">
        <v>0</v>
      </c>
      <c r="E25" s="335">
        <v>344</v>
      </c>
    </row>
    <row r="26" spans="1:5" ht="12">
      <c r="A26" s="354" t="s">
        <v>73</v>
      </c>
      <c r="B26" s="302">
        <v>0</v>
      </c>
      <c r="C26" s="302">
        <v>24512</v>
      </c>
      <c r="D26" s="303">
        <v>0</v>
      </c>
      <c r="E26" s="335">
        <v>4785</v>
      </c>
    </row>
    <row r="27" spans="1:5" ht="12">
      <c r="A27" s="339" t="s">
        <v>523</v>
      </c>
      <c r="B27" s="302">
        <v>0</v>
      </c>
      <c r="C27" s="302">
        <v>108</v>
      </c>
      <c r="D27" s="303">
        <v>0</v>
      </c>
      <c r="E27" s="335">
        <v>-30</v>
      </c>
    </row>
    <row r="28" spans="1:5" ht="12">
      <c r="A28" s="339" t="s">
        <v>524</v>
      </c>
      <c r="B28" s="302">
        <v>0</v>
      </c>
      <c r="C28" s="302">
        <v>1853</v>
      </c>
      <c r="D28" s="303">
        <v>0</v>
      </c>
      <c r="E28" s="335">
        <v>-3291</v>
      </c>
    </row>
    <row r="29" spans="1:5" ht="12">
      <c r="A29" s="339" t="s">
        <v>525</v>
      </c>
      <c r="B29" s="302">
        <v>0</v>
      </c>
      <c r="C29" s="302">
        <v>9601</v>
      </c>
      <c r="D29" s="303">
        <v>0</v>
      </c>
      <c r="E29" s="335">
        <v>1746</v>
      </c>
    </row>
    <row r="30" spans="1:5" ht="12">
      <c r="A30" s="339" t="s">
        <v>526</v>
      </c>
      <c r="B30" s="302">
        <v>0</v>
      </c>
      <c r="C30" s="302">
        <v>6459</v>
      </c>
      <c r="D30" s="303">
        <v>0</v>
      </c>
      <c r="E30" s="335">
        <v>5326</v>
      </c>
    </row>
    <row r="31" spans="1:5" ht="12">
      <c r="A31" s="339" t="s">
        <v>527</v>
      </c>
      <c r="B31" s="302">
        <v>0</v>
      </c>
      <c r="C31" s="302">
        <v>6491</v>
      </c>
      <c r="D31" s="303">
        <v>0</v>
      </c>
      <c r="E31" s="335">
        <v>1034</v>
      </c>
    </row>
    <row r="32" spans="1:5" s="314" customFormat="1" ht="11.25" customHeight="1">
      <c r="A32" s="336" t="s">
        <v>528</v>
      </c>
      <c r="B32" s="302">
        <v>0</v>
      </c>
      <c r="C32" s="302">
        <v>16010</v>
      </c>
      <c r="D32" s="303">
        <v>0</v>
      </c>
      <c r="E32" s="335">
        <v>4766</v>
      </c>
    </row>
    <row r="33" spans="1:6" s="314" customFormat="1" ht="11.25" customHeight="1">
      <c r="A33" s="339" t="s">
        <v>80</v>
      </c>
      <c r="B33" s="302">
        <f>SUM(B34:B36)</f>
        <v>0</v>
      </c>
      <c r="C33" s="302">
        <v>5648</v>
      </c>
      <c r="D33" s="303">
        <f>SUM(D34:D36)</f>
        <v>0</v>
      </c>
      <c r="E33" s="335">
        <v>1421</v>
      </c>
      <c r="F33" s="356"/>
    </row>
    <row r="34" spans="1:5" ht="12" hidden="1">
      <c r="A34" s="339" t="s">
        <v>80</v>
      </c>
      <c r="B34" s="302">
        <v>0</v>
      </c>
      <c r="C34" s="302">
        <v>5489</v>
      </c>
      <c r="D34" s="303">
        <v>0</v>
      </c>
      <c r="E34" s="335">
        <v>1342</v>
      </c>
    </row>
    <row r="35" spans="1:5" ht="12" hidden="1">
      <c r="A35" s="339" t="s">
        <v>529</v>
      </c>
      <c r="B35" s="302">
        <v>0</v>
      </c>
      <c r="C35" s="302">
        <v>158</v>
      </c>
      <c r="D35" s="303">
        <v>0</v>
      </c>
      <c r="E35" s="335">
        <v>79</v>
      </c>
    </row>
    <row r="36" spans="1:5" ht="12">
      <c r="A36" s="339" t="s">
        <v>81</v>
      </c>
      <c r="B36" s="302">
        <v>0</v>
      </c>
      <c r="C36" s="302">
        <v>10362</v>
      </c>
      <c r="D36" s="303">
        <v>0</v>
      </c>
      <c r="E36" s="335">
        <v>3345</v>
      </c>
    </row>
    <row r="37" spans="1:5" s="314" customFormat="1" ht="11.25" customHeight="1">
      <c r="A37" s="336" t="s">
        <v>530</v>
      </c>
      <c r="B37" s="302">
        <v>0</v>
      </c>
      <c r="C37" s="302">
        <v>563</v>
      </c>
      <c r="D37" s="303">
        <v>0</v>
      </c>
      <c r="E37" s="335">
        <v>-1</v>
      </c>
    </row>
    <row r="38" spans="1:5" ht="12.75" customHeight="1">
      <c r="A38" s="339" t="s">
        <v>531</v>
      </c>
      <c r="B38" s="302">
        <v>0</v>
      </c>
      <c r="C38" s="302">
        <v>1009</v>
      </c>
      <c r="D38" s="303">
        <v>0</v>
      </c>
      <c r="E38" s="335">
        <v>313</v>
      </c>
    </row>
    <row r="39" spans="1:5" ht="12.75" customHeight="1">
      <c r="A39" s="340" t="s">
        <v>532</v>
      </c>
      <c r="B39" s="341">
        <v>0</v>
      </c>
      <c r="C39" s="341">
        <v>446</v>
      </c>
      <c r="D39" s="357">
        <v>0</v>
      </c>
      <c r="E39" s="342">
        <v>314</v>
      </c>
    </row>
    <row r="40" spans="1:5" ht="12.75" customHeight="1">
      <c r="A40" s="358" t="s">
        <v>120</v>
      </c>
      <c r="B40" s="341">
        <f>B11-B12-B37</f>
        <v>0</v>
      </c>
      <c r="C40" s="341">
        <f>C11-C12-C37</f>
        <v>8615</v>
      </c>
      <c r="D40" s="341">
        <f>D11-D12-D37</f>
        <v>0</v>
      </c>
      <c r="E40" s="342">
        <f>E11-E12-E37</f>
        <v>1107</v>
      </c>
    </row>
    <row r="41" spans="1:5" s="321" customFormat="1" ht="12">
      <c r="A41" s="359"/>
      <c r="B41" s="347"/>
      <c r="C41" s="347"/>
      <c r="D41" s="347"/>
      <c r="E41" s="347"/>
    </row>
    <row r="42" spans="1:5" s="321" customFormat="1" ht="12">
      <c r="A42" s="317"/>
      <c r="B42" s="347"/>
      <c r="C42" s="347"/>
      <c r="D42" s="347"/>
      <c r="E42" s="347"/>
    </row>
    <row r="43" spans="1:6" ht="12">
      <c r="A43" s="347"/>
      <c r="B43" s="347"/>
      <c r="C43" s="347"/>
      <c r="D43" s="347"/>
      <c r="E43" s="347"/>
      <c r="F43" s="324"/>
    </row>
    <row r="44" spans="1:5" s="321" customFormat="1" ht="12">
      <c r="A44" s="318" t="s">
        <v>480</v>
      </c>
      <c r="B44" s="318"/>
      <c r="C44" s="319"/>
      <c r="D44" s="319"/>
      <c r="E44" s="349" t="s">
        <v>481</v>
      </c>
    </row>
    <row r="45" s="321" customFormat="1" ht="12"/>
    <row r="46" spans="1:4" s="321" customFormat="1" ht="12">
      <c r="A46" s="347"/>
      <c r="B46" s="350"/>
      <c r="C46" s="350"/>
      <c r="D46" s="350"/>
    </row>
    <row r="47" spans="1:2" s="321" customFormat="1" ht="12">
      <c r="A47" s="347"/>
      <c r="B47" s="350"/>
    </row>
    <row r="48" spans="1:4" ht="12">
      <c r="A48" s="351"/>
      <c r="B48" s="324"/>
      <c r="D48" s="350"/>
    </row>
    <row r="49" spans="4:6" ht="12">
      <c r="D49" s="324"/>
      <c r="E49" s="350"/>
      <c r="F49" s="324"/>
    </row>
  </sheetData>
  <printOptions/>
  <pageMargins left="1.09" right="0.15748031496062992" top="2.19" bottom="0.984251968503937" header="0.25" footer="0"/>
  <pageSetup horizontalDpi="600" verticalDpi="600" orientation="portrait" paperSize="9" r:id="rId1"/>
  <headerFooter alignWithMargins="0">
    <oddFooter>&amp;L&amp;"Arial,Regular"&amp;8           Valsts kase / Pārskatu departaments
           15.06.99.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G36"/>
  <sheetViews>
    <sheetView showZeros="0" workbookViewId="0" topLeftCell="A14">
      <selection activeCell="A55" sqref="A55"/>
    </sheetView>
  </sheetViews>
  <sheetFormatPr defaultColWidth="9.140625" defaultRowHeight="12.75"/>
  <cols>
    <col min="1" max="1" width="42.7109375" style="287" customWidth="1"/>
    <col min="2" max="5" width="12.28125" style="287" customWidth="1"/>
    <col min="6" max="16384" width="8.00390625" style="287" customWidth="1"/>
  </cols>
  <sheetData>
    <row r="1" spans="1:5" s="265" customFormat="1" ht="12.75">
      <c r="A1" s="286" t="s">
        <v>507</v>
      </c>
      <c r="B1" s="286"/>
      <c r="C1" s="286"/>
      <c r="D1" s="286"/>
      <c r="E1" s="286" t="s">
        <v>533</v>
      </c>
    </row>
    <row r="2" spans="1:5" s="265" customFormat="1" ht="12.75">
      <c r="A2" s="286"/>
      <c r="B2" s="286"/>
      <c r="C2" s="286"/>
      <c r="D2" s="286"/>
      <c r="E2" s="286"/>
    </row>
    <row r="4" spans="1:5" s="292" customFormat="1" ht="15.75">
      <c r="A4" s="289" t="s">
        <v>534</v>
      </c>
      <c r="B4" s="291"/>
      <c r="C4" s="291"/>
      <c r="D4" s="291"/>
      <c r="E4" s="291"/>
    </row>
    <row r="5" spans="1:5" ht="15.75">
      <c r="A5" s="289" t="s">
        <v>445</v>
      </c>
      <c r="B5" s="294"/>
      <c r="C5" s="294"/>
      <c r="D5" s="294"/>
      <c r="E5" s="294"/>
    </row>
    <row r="6" spans="1:5" ht="11.25">
      <c r="A6" s="351"/>
      <c r="B6" s="294"/>
      <c r="C6" s="294"/>
      <c r="D6" s="294"/>
      <c r="E6" s="294"/>
    </row>
    <row r="7" spans="1:5" ht="11.25">
      <c r="A7" s="351"/>
      <c r="B7" s="294"/>
      <c r="C7" s="294"/>
      <c r="D7" s="294"/>
      <c r="E7" s="294"/>
    </row>
    <row r="8" spans="4:5" s="265" customFormat="1" ht="11.25">
      <c r="D8" s="296" t="s">
        <v>535</v>
      </c>
      <c r="E8" s="296"/>
    </row>
    <row r="9" spans="1:5" s="299" customFormat="1" ht="30.75" customHeight="1">
      <c r="A9" s="329" t="s">
        <v>7</v>
      </c>
      <c r="B9" s="330" t="s">
        <v>446</v>
      </c>
      <c r="C9" s="330" t="s">
        <v>10</v>
      </c>
      <c r="D9" s="330" t="s">
        <v>447</v>
      </c>
      <c r="E9" s="331" t="s">
        <v>129</v>
      </c>
    </row>
    <row r="10" spans="1:5" s="321" customFormat="1" ht="11.25" customHeight="1">
      <c r="A10" s="360">
        <v>1</v>
      </c>
      <c r="B10" s="361">
        <v>2</v>
      </c>
      <c r="C10" s="361">
        <v>3</v>
      </c>
      <c r="D10" s="362">
        <v>4</v>
      </c>
      <c r="E10" s="363" t="s">
        <v>489</v>
      </c>
    </row>
    <row r="11" spans="1:5" s="321" customFormat="1" ht="12.75">
      <c r="A11" s="364" t="s">
        <v>536</v>
      </c>
      <c r="B11" s="302">
        <v>0</v>
      </c>
      <c r="C11" s="302">
        <v>16242</v>
      </c>
      <c r="D11" s="365">
        <v>0</v>
      </c>
      <c r="E11" s="335">
        <v>4912</v>
      </c>
    </row>
    <row r="12" spans="1:5" ht="25.5">
      <c r="A12" s="364" t="s">
        <v>537</v>
      </c>
      <c r="B12" s="302">
        <v>0</v>
      </c>
      <c r="C12" s="302">
        <v>14264</v>
      </c>
      <c r="D12" s="365">
        <v>0</v>
      </c>
      <c r="E12" s="335">
        <v>3838</v>
      </c>
    </row>
    <row r="13" spans="1:5" ht="12">
      <c r="A13" s="366" t="s">
        <v>538</v>
      </c>
      <c r="B13" s="302">
        <v>0</v>
      </c>
      <c r="C13" s="302">
        <v>2059</v>
      </c>
      <c r="D13" s="365">
        <v>0</v>
      </c>
      <c r="E13" s="335">
        <v>524</v>
      </c>
    </row>
    <row r="14" spans="1:5" ht="12">
      <c r="A14" s="366" t="s">
        <v>539</v>
      </c>
      <c r="B14" s="302">
        <v>0</v>
      </c>
      <c r="C14" s="302">
        <v>985</v>
      </c>
      <c r="D14" s="365">
        <v>0</v>
      </c>
      <c r="E14" s="335">
        <v>422</v>
      </c>
    </row>
    <row r="15" spans="1:5" ht="12">
      <c r="A15" s="366" t="s">
        <v>540</v>
      </c>
      <c r="B15" s="302">
        <v>0</v>
      </c>
      <c r="C15" s="302">
        <v>5530</v>
      </c>
      <c r="D15" s="365">
        <v>0</v>
      </c>
      <c r="E15" s="335">
        <v>1569</v>
      </c>
    </row>
    <row r="16" spans="1:5" ht="12">
      <c r="A16" s="366" t="s">
        <v>541</v>
      </c>
      <c r="B16" s="302">
        <v>0</v>
      </c>
      <c r="C16" s="302">
        <v>5690</v>
      </c>
      <c r="D16" s="365">
        <v>0</v>
      </c>
      <c r="E16" s="335">
        <v>1323</v>
      </c>
    </row>
    <row r="17" spans="1:5" ht="25.5">
      <c r="A17" s="367" t="s">
        <v>542</v>
      </c>
      <c r="B17" s="302">
        <v>0</v>
      </c>
      <c r="C17" s="302">
        <v>1978</v>
      </c>
      <c r="D17" s="365">
        <v>0</v>
      </c>
      <c r="E17" s="335">
        <v>1074</v>
      </c>
    </row>
    <row r="18" spans="1:7" s="321" customFormat="1" ht="12.75">
      <c r="A18" s="364" t="s">
        <v>543</v>
      </c>
      <c r="B18" s="302">
        <v>0</v>
      </c>
      <c r="C18" s="302">
        <v>14916</v>
      </c>
      <c r="D18" s="365">
        <v>0</v>
      </c>
      <c r="E18" s="335">
        <v>4120</v>
      </c>
      <c r="F18" s="287"/>
      <c r="G18" s="287"/>
    </row>
    <row r="19" spans="1:5" ht="25.5">
      <c r="A19" s="367" t="s">
        <v>544</v>
      </c>
      <c r="B19" s="302">
        <v>0</v>
      </c>
      <c r="C19" s="302">
        <v>13913</v>
      </c>
      <c r="D19" s="365">
        <v>0</v>
      </c>
      <c r="E19" s="335">
        <v>3603</v>
      </c>
    </row>
    <row r="20" spans="1:5" ht="12">
      <c r="A20" s="366" t="s">
        <v>538</v>
      </c>
      <c r="B20" s="302">
        <v>0</v>
      </c>
      <c r="C20" s="302">
        <v>1664</v>
      </c>
      <c r="D20" s="365">
        <v>0</v>
      </c>
      <c r="E20" s="335">
        <v>545</v>
      </c>
    </row>
    <row r="21" spans="1:5" ht="12">
      <c r="A21" s="366" t="s">
        <v>539</v>
      </c>
      <c r="B21" s="302">
        <v>0</v>
      </c>
      <c r="C21" s="302">
        <v>852</v>
      </c>
      <c r="D21" s="365">
        <v>0</v>
      </c>
      <c r="E21" s="335">
        <v>277</v>
      </c>
    </row>
    <row r="22" spans="1:5" ht="12">
      <c r="A22" s="366" t="s">
        <v>540</v>
      </c>
      <c r="B22" s="302">
        <v>0</v>
      </c>
      <c r="C22" s="302">
        <v>5787</v>
      </c>
      <c r="D22" s="365">
        <v>0</v>
      </c>
      <c r="E22" s="335">
        <v>1701</v>
      </c>
    </row>
    <row r="23" spans="1:5" ht="12">
      <c r="A23" s="366" t="s">
        <v>541</v>
      </c>
      <c r="B23" s="302">
        <v>0</v>
      </c>
      <c r="C23" s="302">
        <v>5610</v>
      </c>
      <c r="D23" s="365">
        <v>0</v>
      </c>
      <c r="E23" s="335">
        <v>1080</v>
      </c>
    </row>
    <row r="24" spans="1:5" ht="25.5">
      <c r="A24" s="368" t="s">
        <v>545</v>
      </c>
      <c r="B24" s="341">
        <v>0</v>
      </c>
      <c r="C24" s="341">
        <v>1003</v>
      </c>
      <c r="D24" s="369">
        <v>0</v>
      </c>
      <c r="E24" s="342">
        <v>517</v>
      </c>
    </row>
    <row r="25" ht="11.25">
      <c r="A25" s="265" t="s">
        <v>506</v>
      </c>
    </row>
    <row r="26" spans="1:5" s="370" customFormat="1" ht="11.25">
      <c r="A26" s="351"/>
      <c r="B26" s="287"/>
      <c r="C26" s="287"/>
      <c r="D26" s="287"/>
      <c r="E26" s="287"/>
    </row>
    <row r="27" spans="1:5" s="321" customFormat="1" ht="12">
      <c r="A27" s="351"/>
      <c r="B27" s="287"/>
      <c r="C27" s="287"/>
      <c r="D27" s="287"/>
      <c r="E27" s="287"/>
    </row>
    <row r="28" spans="1:5" s="321" customFormat="1" ht="12">
      <c r="A28" s="351"/>
      <c r="B28" s="370"/>
      <c r="C28" s="350"/>
      <c r="D28" s="370"/>
      <c r="E28" s="370"/>
    </row>
    <row r="29" spans="1:5" ht="12">
      <c r="A29" s="318"/>
      <c r="E29" s="349"/>
    </row>
    <row r="30" spans="1:5" ht="12">
      <c r="A30" s="318" t="s">
        <v>480</v>
      </c>
      <c r="B30" s="318"/>
      <c r="C30" s="319"/>
      <c r="D30" s="319"/>
      <c r="E30" s="349" t="s">
        <v>481</v>
      </c>
    </row>
    <row r="31" spans="1:5" ht="12">
      <c r="A31" s="318"/>
      <c r="B31" s="318"/>
      <c r="E31" s="349"/>
    </row>
    <row r="32" ht="11.25">
      <c r="A32" s="295"/>
    </row>
    <row r="33" ht="11.25">
      <c r="A33" s="295"/>
    </row>
    <row r="34" s="299" customFormat="1" ht="12" customHeight="1">
      <c r="A34" s="316"/>
    </row>
    <row r="35" s="299" customFormat="1" ht="12" customHeight="1">
      <c r="A35" s="316"/>
    </row>
    <row r="36" ht="12.75">
      <c r="A36" s="316"/>
    </row>
  </sheetData>
  <printOptions/>
  <pageMargins left="0.98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        Valsts kase / Pārskatu departaments
         15.06.99.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/>
  <dimension ref="A1:IT59"/>
  <sheetViews>
    <sheetView showZeros="0" workbookViewId="0" topLeftCell="A11">
      <selection activeCell="A55" sqref="A55"/>
    </sheetView>
  </sheetViews>
  <sheetFormatPr defaultColWidth="9.140625" defaultRowHeight="12.75"/>
  <cols>
    <col min="1" max="1" width="39.7109375" style="287" customWidth="1"/>
    <col min="2" max="5" width="12.7109375" style="287" customWidth="1"/>
    <col min="6" max="16384" width="8.00390625" style="287" customWidth="1"/>
  </cols>
  <sheetData>
    <row r="1" spans="1:5" s="265" customFormat="1" ht="12.75">
      <c r="A1" s="286" t="s">
        <v>546</v>
      </c>
      <c r="B1" s="286"/>
      <c r="C1" s="286"/>
      <c r="D1" s="286"/>
      <c r="E1" s="286" t="s">
        <v>547</v>
      </c>
    </row>
    <row r="2" spans="1:5" s="265" customFormat="1" ht="12.75">
      <c r="A2" s="286"/>
      <c r="B2" s="286"/>
      <c r="C2" s="286"/>
      <c r="D2" s="286"/>
      <c r="E2" s="371"/>
    </row>
    <row r="3" spans="4:5" ht="11.25">
      <c r="D3" s="294"/>
      <c r="E3" s="294"/>
    </row>
    <row r="4" spans="1:5" s="292" customFormat="1" ht="15.75">
      <c r="A4" s="289" t="s">
        <v>548</v>
      </c>
      <c r="B4" s="294"/>
      <c r="C4" s="294"/>
      <c r="D4" s="294"/>
      <c r="E4" s="294"/>
    </row>
    <row r="5" spans="1:5" ht="15.75">
      <c r="A5" s="289" t="s">
        <v>445</v>
      </c>
      <c r="B5" s="294"/>
      <c r="C5" s="294"/>
      <c r="D5" s="294"/>
      <c r="E5" s="294"/>
    </row>
    <row r="6" spans="1:5" ht="11.25">
      <c r="A6" s="351"/>
      <c r="B6" s="294"/>
      <c r="C6" s="294"/>
      <c r="D6" s="294"/>
      <c r="E6" s="294"/>
    </row>
    <row r="7" spans="1:5" ht="11.25">
      <c r="A7" s="351"/>
      <c r="B7" s="294"/>
      <c r="C7" s="294"/>
      <c r="D7" s="294"/>
      <c r="E7" s="294"/>
    </row>
    <row r="8" spans="2:81" s="265" customFormat="1" ht="15">
      <c r="B8" s="296"/>
      <c r="C8" s="296"/>
      <c r="D8" s="372" t="s">
        <v>549</v>
      </c>
      <c r="E8" s="373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92"/>
      <c r="AN8" s="292"/>
      <c r="AO8" s="292"/>
      <c r="AP8" s="292"/>
      <c r="AQ8" s="292"/>
      <c r="AR8" s="292"/>
      <c r="AS8" s="292"/>
      <c r="AT8" s="292"/>
      <c r="AU8" s="292"/>
      <c r="AV8" s="292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  <c r="CB8" s="287"/>
      <c r="CC8" s="287"/>
    </row>
    <row r="9" spans="1:254" s="299" customFormat="1" ht="33.75" customHeight="1">
      <c r="A9" s="329" t="s">
        <v>7</v>
      </c>
      <c r="B9" s="330" t="s">
        <v>446</v>
      </c>
      <c r="C9" s="330" t="s">
        <v>10</v>
      </c>
      <c r="D9" s="330" t="s">
        <v>447</v>
      </c>
      <c r="E9" s="331" t="s">
        <v>129</v>
      </c>
      <c r="F9" s="287"/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330"/>
      <c r="CE9" s="331"/>
      <c r="CF9" s="329"/>
      <c r="CG9" s="330"/>
      <c r="CH9" s="330"/>
      <c r="CI9" s="330"/>
      <c r="CJ9" s="331"/>
      <c r="CK9" s="329"/>
      <c r="CL9" s="330"/>
      <c r="CM9" s="330"/>
      <c r="CN9" s="330"/>
      <c r="CO9" s="331"/>
      <c r="CP9" s="329"/>
      <c r="CQ9" s="330"/>
      <c r="CR9" s="330"/>
      <c r="CS9" s="330"/>
      <c r="CT9" s="331"/>
      <c r="CU9" s="329"/>
      <c r="CV9" s="330"/>
      <c r="CW9" s="330"/>
      <c r="CX9" s="330"/>
      <c r="CY9" s="331"/>
      <c r="CZ9" s="329"/>
      <c r="DA9" s="330"/>
      <c r="DB9" s="330"/>
      <c r="DC9" s="330"/>
      <c r="DD9" s="331"/>
      <c r="DE9" s="329"/>
      <c r="DF9" s="330"/>
      <c r="DG9" s="330"/>
      <c r="DH9" s="330"/>
      <c r="DI9" s="331"/>
      <c r="DJ9" s="329"/>
      <c r="DK9" s="330"/>
      <c r="DL9" s="330"/>
      <c r="DM9" s="330"/>
      <c r="DN9" s="331"/>
      <c r="DO9" s="329"/>
      <c r="DP9" s="330"/>
      <c r="DQ9" s="330"/>
      <c r="DR9" s="330"/>
      <c r="DS9" s="331"/>
      <c r="DT9" s="329"/>
      <c r="DU9" s="330"/>
      <c r="DV9" s="330"/>
      <c r="DW9" s="330"/>
      <c r="DX9" s="331"/>
      <c r="DY9" s="329"/>
      <c r="DZ9" s="330"/>
      <c r="EA9" s="330"/>
      <c r="EB9" s="330"/>
      <c r="EC9" s="331"/>
      <c r="ED9" s="329"/>
      <c r="EE9" s="330"/>
      <c r="EF9" s="330"/>
      <c r="EG9" s="330"/>
      <c r="EH9" s="331"/>
      <c r="EI9" s="329"/>
      <c r="EJ9" s="330"/>
      <c r="EK9" s="330"/>
      <c r="EL9" s="330"/>
      <c r="EM9" s="331"/>
      <c r="EN9" s="329"/>
      <c r="EO9" s="330"/>
      <c r="EP9" s="330"/>
      <c r="EQ9" s="330"/>
      <c r="ER9" s="331"/>
      <c r="ES9" s="329"/>
      <c r="ET9" s="330"/>
      <c r="EU9" s="330"/>
      <c r="EV9" s="330"/>
      <c r="EW9" s="331"/>
      <c r="EX9" s="329"/>
      <c r="EY9" s="330"/>
      <c r="EZ9" s="330"/>
      <c r="FA9" s="330"/>
      <c r="FB9" s="331"/>
      <c r="FC9" s="329"/>
      <c r="FD9" s="330"/>
      <c r="FE9" s="330"/>
      <c r="FF9" s="330"/>
      <c r="FG9" s="331"/>
      <c r="FH9" s="329"/>
      <c r="FI9" s="330"/>
      <c r="FJ9" s="330"/>
      <c r="FK9" s="330"/>
      <c r="FL9" s="331"/>
      <c r="FM9" s="329"/>
      <c r="FN9" s="330"/>
      <c r="FO9" s="330"/>
      <c r="FP9" s="330"/>
      <c r="FQ9" s="331"/>
      <c r="FR9" s="329"/>
      <c r="FS9" s="330"/>
      <c r="FT9" s="330"/>
      <c r="FU9" s="330"/>
      <c r="FV9" s="331"/>
      <c r="FW9" s="329"/>
      <c r="FX9" s="330"/>
      <c r="FY9" s="330"/>
      <c r="FZ9" s="330"/>
      <c r="GA9" s="331"/>
      <c r="GB9" s="329"/>
      <c r="GC9" s="330"/>
      <c r="GD9" s="330"/>
      <c r="GE9" s="330"/>
      <c r="GF9" s="331"/>
      <c r="GG9" s="329"/>
      <c r="GH9" s="330"/>
      <c r="GI9" s="330"/>
      <c r="GJ9" s="330"/>
      <c r="GK9" s="331"/>
      <c r="GL9" s="329"/>
      <c r="GM9" s="330"/>
      <c r="GN9" s="330"/>
      <c r="GO9" s="330"/>
      <c r="GP9" s="331"/>
      <c r="GQ9" s="329"/>
      <c r="GR9" s="330"/>
      <c r="GS9" s="330"/>
      <c r="GT9" s="330"/>
      <c r="GU9" s="331"/>
      <c r="GV9" s="329"/>
      <c r="GW9" s="330"/>
      <c r="GX9" s="330"/>
      <c r="GY9" s="330"/>
      <c r="GZ9" s="331"/>
      <c r="HA9" s="329"/>
      <c r="HB9" s="330"/>
      <c r="HC9" s="330"/>
      <c r="HD9" s="330"/>
      <c r="HE9" s="331"/>
      <c r="HF9" s="329"/>
      <c r="HG9" s="330"/>
      <c r="HH9" s="330"/>
      <c r="HI9" s="330"/>
      <c r="HJ9" s="331"/>
      <c r="HK9" s="329"/>
      <c r="HL9" s="330"/>
      <c r="HM9" s="330"/>
      <c r="HN9" s="330"/>
      <c r="HO9" s="331"/>
      <c r="HP9" s="329"/>
      <c r="HQ9" s="330"/>
      <c r="HR9" s="330"/>
      <c r="HS9" s="330"/>
      <c r="HT9" s="331"/>
      <c r="HU9" s="329"/>
      <c r="HV9" s="330"/>
      <c r="HW9" s="330"/>
      <c r="HX9" s="330"/>
      <c r="HY9" s="331"/>
      <c r="HZ9" s="329"/>
      <c r="IA9" s="330"/>
      <c r="IB9" s="330"/>
      <c r="IC9" s="330"/>
      <c r="ID9" s="331"/>
      <c r="IE9" s="329"/>
      <c r="IF9" s="330"/>
      <c r="IG9" s="330"/>
      <c r="IH9" s="330"/>
      <c r="II9" s="331"/>
      <c r="IJ9" s="329"/>
      <c r="IK9" s="330"/>
      <c r="IL9" s="330"/>
      <c r="IM9" s="330"/>
      <c r="IN9" s="331"/>
      <c r="IO9" s="329"/>
      <c r="IP9" s="330"/>
      <c r="IQ9" s="330"/>
      <c r="IR9" s="330"/>
      <c r="IS9" s="331"/>
      <c r="IT9" s="329"/>
    </row>
    <row r="10" spans="1:5" ht="11.25">
      <c r="A10" s="360">
        <v>1</v>
      </c>
      <c r="B10" s="361">
        <v>2</v>
      </c>
      <c r="C10" s="361">
        <v>3</v>
      </c>
      <c r="D10" s="362">
        <v>4</v>
      </c>
      <c r="E10" s="363">
        <v>5</v>
      </c>
    </row>
    <row r="11" spans="1:5" s="299" customFormat="1" ht="12.75" customHeight="1">
      <c r="A11" s="334" t="s">
        <v>211</v>
      </c>
      <c r="B11" s="300">
        <v>0</v>
      </c>
      <c r="C11" s="302">
        <v>16242</v>
      </c>
      <c r="D11" s="300">
        <v>0</v>
      </c>
      <c r="E11" s="335">
        <v>4912</v>
      </c>
    </row>
    <row r="12" spans="1:5" s="299" customFormat="1" ht="12.75">
      <c r="A12" s="334" t="s">
        <v>511</v>
      </c>
      <c r="B12" s="302">
        <v>0</v>
      </c>
      <c r="C12" s="302">
        <f>SUM(C13+C32)</f>
        <v>15903</v>
      </c>
      <c r="D12" s="303">
        <v>0</v>
      </c>
      <c r="E12" s="302">
        <f>SUM(E13+E32)</f>
        <v>3891</v>
      </c>
    </row>
    <row r="13" spans="1:5" s="314" customFormat="1" ht="11.25" customHeight="1">
      <c r="A13" s="336" t="s">
        <v>214</v>
      </c>
      <c r="B13" s="302">
        <v>0</v>
      </c>
      <c r="C13" s="302">
        <v>12266</v>
      </c>
      <c r="D13" s="303">
        <v>0</v>
      </c>
      <c r="E13" s="335">
        <v>2965</v>
      </c>
    </row>
    <row r="14" spans="1:5" s="314" customFormat="1" ht="11.25" customHeight="1">
      <c r="A14" s="354" t="s">
        <v>63</v>
      </c>
      <c r="B14" s="302">
        <v>0</v>
      </c>
      <c r="C14" s="302">
        <v>9331</v>
      </c>
      <c r="D14" s="302">
        <v>0</v>
      </c>
      <c r="E14" s="335">
        <v>2271</v>
      </c>
    </row>
    <row r="15" spans="1:5" s="314" customFormat="1" ht="11.25" customHeight="1" hidden="1">
      <c r="A15" s="339" t="s">
        <v>512</v>
      </c>
      <c r="B15" s="302">
        <v>0</v>
      </c>
      <c r="C15" s="302">
        <v>19</v>
      </c>
      <c r="D15" s="303">
        <v>0</v>
      </c>
      <c r="E15" s="335">
        <v>0</v>
      </c>
    </row>
    <row r="16" spans="1:5" ht="12">
      <c r="A16" s="339" t="s">
        <v>513</v>
      </c>
      <c r="B16" s="302">
        <v>0</v>
      </c>
      <c r="C16" s="302">
        <v>900</v>
      </c>
      <c r="D16" s="303">
        <v>0</v>
      </c>
      <c r="E16" s="335">
        <v>235</v>
      </c>
    </row>
    <row r="17" spans="1:5" ht="12">
      <c r="A17" s="339" t="s">
        <v>514</v>
      </c>
      <c r="B17" s="302">
        <v>0</v>
      </c>
      <c r="C17" s="302">
        <v>223</v>
      </c>
      <c r="D17" s="303">
        <v>0</v>
      </c>
      <c r="E17" s="335">
        <v>23</v>
      </c>
    </row>
    <row r="18" spans="1:5" ht="12" hidden="1">
      <c r="A18" s="339" t="s">
        <v>515</v>
      </c>
      <c r="B18" s="302">
        <v>0</v>
      </c>
      <c r="C18" s="302">
        <v>92</v>
      </c>
      <c r="D18" s="303">
        <v>0</v>
      </c>
      <c r="E18" s="335">
        <v>20</v>
      </c>
    </row>
    <row r="19" spans="1:5" ht="12" hidden="1">
      <c r="A19" s="339" t="s">
        <v>516</v>
      </c>
      <c r="B19" s="302">
        <v>0</v>
      </c>
      <c r="C19" s="302">
        <v>6946</v>
      </c>
      <c r="D19" s="303">
        <v>0</v>
      </c>
      <c r="E19" s="335">
        <v>1756</v>
      </c>
    </row>
    <row r="20" spans="1:5" ht="12" hidden="1">
      <c r="A20" s="339" t="s">
        <v>517</v>
      </c>
      <c r="B20" s="302">
        <v>0</v>
      </c>
      <c r="C20" s="302">
        <v>1132</v>
      </c>
      <c r="D20" s="303">
        <v>0</v>
      </c>
      <c r="E20" s="335">
        <v>232</v>
      </c>
    </row>
    <row r="21" spans="1:5" ht="12" hidden="1">
      <c r="A21" s="339" t="s">
        <v>518</v>
      </c>
      <c r="B21" s="302">
        <v>0</v>
      </c>
      <c r="C21" s="302">
        <v>19</v>
      </c>
      <c r="D21" s="303">
        <v>0</v>
      </c>
      <c r="E21" s="335">
        <v>5</v>
      </c>
    </row>
    <row r="22" spans="1:5" ht="12">
      <c r="A22" s="339" t="s">
        <v>519</v>
      </c>
      <c r="B22" s="302">
        <f>SUM(B15,B18,B19,B20,B21)</f>
        <v>0</v>
      </c>
      <c r="C22" s="302">
        <f>SUM(C15,C18,C19,C20,C21)</f>
        <v>8208</v>
      </c>
      <c r="D22" s="302">
        <f>SUM(D15,D18,D19,D20,D21)</f>
        <v>0</v>
      </c>
      <c r="E22" s="335">
        <f>SUM(E15,E18,E19,E20,E21)</f>
        <v>2013</v>
      </c>
    </row>
    <row r="23" spans="1:5" ht="12">
      <c r="A23" s="355" t="s">
        <v>520</v>
      </c>
      <c r="B23" s="302">
        <f>SUM(B19,B20)</f>
        <v>0</v>
      </c>
      <c r="C23" s="302">
        <f>SUM(C19,C20)</f>
        <v>8078</v>
      </c>
      <c r="D23" s="302">
        <f>SUM(D19,D20)</f>
        <v>0</v>
      </c>
      <c r="E23" s="335">
        <f>SUM(E19,E20)</f>
        <v>1988</v>
      </c>
    </row>
    <row r="24" spans="1:5" ht="12">
      <c r="A24" s="355" t="s">
        <v>550</v>
      </c>
      <c r="B24" s="302">
        <f>SUM(B15,B18,B21)</f>
        <v>0</v>
      </c>
      <c r="C24" s="302">
        <f>SUM(C15,C18,C21)</f>
        <v>130</v>
      </c>
      <c r="D24" s="302">
        <f>SUM(D15,D18,D21)</f>
        <v>0</v>
      </c>
      <c r="E24" s="335">
        <f>SUM(E15,E18,E21)</f>
        <v>25</v>
      </c>
    </row>
    <row r="25" spans="1:5" ht="12">
      <c r="A25" s="354" t="s">
        <v>522</v>
      </c>
      <c r="B25" s="302">
        <v>0</v>
      </c>
      <c r="C25" s="302">
        <v>16</v>
      </c>
      <c r="D25" s="303">
        <v>0</v>
      </c>
      <c r="E25" s="335">
        <v>3</v>
      </c>
    </row>
    <row r="26" spans="1:5" ht="12">
      <c r="A26" s="354" t="s">
        <v>73</v>
      </c>
      <c r="B26" s="302">
        <v>0</v>
      </c>
      <c r="C26" s="302">
        <v>2919</v>
      </c>
      <c r="D26" s="303">
        <v>0</v>
      </c>
      <c r="E26" s="335">
        <v>691</v>
      </c>
    </row>
    <row r="27" spans="1:5" ht="12">
      <c r="A27" s="339" t="s">
        <v>523</v>
      </c>
      <c r="B27" s="302">
        <v>0</v>
      </c>
      <c r="C27" s="302">
        <v>2</v>
      </c>
      <c r="D27" s="303">
        <v>0</v>
      </c>
      <c r="E27" s="335">
        <v>0</v>
      </c>
    </row>
    <row r="28" spans="1:5" ht="12">
      <c r="A28" s="339" t="s">
        <v>524</v>
      </c>
      <c r="B28" s="302">
        <v>0</v>
      </c>
      <c r="C28" s="302">
        <v>19</v>
      </c>
      <c r="D28" s="303">
        <v>0</v>
      </c>
      <c r="E28" s="335">
        <v>1</v>
      </c>
    </row>
    <row r="29" spans="1:5" ht="12">
      <c r="A29" s="339" t="s">
        <v>525</v>
      </c>
      <c r="B29" s="302">
        <v>0</v>
      </c>
      <c r="C29" s="302">
        <v>161</v>
      </c>
      <c r="D29" s="303">
        <v>0</v>
      </c>
      <c r="E29" s="335">
        <v>146</v>
      </c>
    </row>
    <row r="30" spans="1:5" ht="12">
      <c r="A30" s="339" t="s">
        <v>526</v>
      </c>
      <c r="B30" s="302">
        <v>0</v>
      </c>
      <c r="C30" s="302">
        <v>1900</v>
      </c>
      <c r="D30" s="303">
        <v>0</v>
      </c>
      <c r="E30" s="335">
        <v>530</v>
      </c>
    </row>
    <row r="31" spans="1:5" ht="12">
      <c r="A31" s="339" t="s">
        <v>527</v>
      </c>
      <c r="B31" s="302">
        <v>0</v>
      </c>
      <c r="C31" s="302">
        <v>837</v>
      </c>
      <c r="D31" s="303">
        <v>0</v>
      </c>
      <c r="E31" s="335">
        <v>14</v>
      </c>
    </row>
    <row r="32" spans="1:7" s="314" customFormat="1" ht="11.25" customHeight="1">
      <c r="A32" s="336" t="s">
        <v>528</v>
      </c>
      <c r="B32" s="302">
        <v>0</v>
      </c>
      <c r="C32" s="302">
        <v>3637</v>
      </c>
      <c r="D32" s="303">
        <v>0</v>
      </c>
      <c r="E32" s="335">
        <v>926</v>
      </c>
      <c r="G32" s="287"/>
    </row>
    <row r="33" spans="1:7" s="314" customFormat="1" ht="11.25" customHeight="1">
      <c r="A33" s="339" t="s">
        <v>80</v>
      </c>
      <c r="B33" s="302">
        <f>SUM(B34:B36)</f>
        <v>0</v>
      </c>
      <c r="C33" s="302">
        <v>3519</v>
      </c>
      <c r="D33" s="303">
        <f>SUM(D34:D36)</f>
        <v>0</v>
      </c>
      <c r="E33" s="335">
        <v>834</v>
      </c>
      <c r="F33" s="287"/>
      <c r="G33" s="287"/>
    </row>
    <row r="34" spans="1:5" ht="12" hidden="1">
      <c r="A34" s="339" t="s">
        <v>80</v>
      </c>
      <c r="B34" s="302">
        <v>0</v>
      </c>
      <c r="C34" s="302">
        <v>155151</v>
      </c>
      <c r="D34" s="303">
        <v>0</v>
      </c>
      <c r="E34" s="335">
        <v>33236</v>
      </c>
    </row>
    <row r="35" spans="1:5" ht="12" hidden="1">
      <c r="A35" s="339" t="s">
        <v>529</v>
      </c>
      <c r="B35" s="302">
        <v>0</v>
      </c>
      <c r="C35" s="302">
        <v>143568</v>
      </c>
      <c r="D35" s="303">
        <v>0</v>
      </c>
      <c r="E35" s="335">
        <v>30907</v>
      </c>
    </row>
    <row r="36" spans="1:5" ht="12">
      <c r="A36" s="339" t="s">
        <v>81</v>
      </c>
      <c r="B36" s="302">
        <v>0</v>
      </c>
      <c r="C36" s="302">
        <v>118</v>
      </c>
      <c r="D36" s="303">
        <v>0</v>
      </c>
      <c r="E36" s="335">
        <v>92</v>
      </c>
    </row>
    <row r="37" spans="1:7" s="314" customFormat="1" ht="11.25" customHeight="1">
      <c r="A37" s="336" t="s">
        <v>530</v>
      </c>
      <c r="B37" s="302">
        <v>0</v>
      </c>
      <c r="C37" s="302">
        <v>-987</v>
      </c>
      <c r="D37" s="303">
        <v>0</v>
      </c>
      <c r="E37" s="335">
        <v>229</v>
      </c>
      <c r="G37" s="287"/>
    </row>
    <row r="38" spans="1:5" ht="12.75" customHeight="1">
      <c r="A38" s="339" t="s">
        <v>531</v>
      </c>
      <c r="B38" s="302">
        <v>0</v>
      </c>
      <c r="C38" s="302">
        <v>1651</v>
      </c>
      <c r="D38" s="303">
        <v>0</v>
      </c>
      <c r="E38" s="335">
        <v>243</v>
      </c>
    </row>
    <row r="39" spans="1:5" ht="12.75" customHeight="1">
      <c r="A39" s="340" t="s">
        <v>532</v>
      </c>
      <c r="B39" s="341">
        <v>0</v>
      </c>
      <c r="C39" s="341">
        <v>2638</v>
      </c>
      <c r="D39" s="357">
        <v>0</v>
      </c>
      <c r="E39" s="342">
        <v>14</v>
      </c>
    </row>
    <row r="40" spans="1:5" ht="12.75" customHeight="1">
      <c r="A40" s="358" t="s">
        <v>120</v>
      </c>
      <c r="B40" s="341">
        <f>B11-B12-B37</f>
        <v>0</v>
      </c>
      <c r="C40" s="341">
        <f>C11-C12-C37</f>
        <v>1326</v>
      </c>
      <c r="D40" s="341">
        <f>D11-D12-D37</f>
        <v>0</v>
      </c>
      <c r="E40" s="342">
        <f>E11-E12-E37</f>
        <v>792</v>
      </c>
    </row>
    <row r="41" spans="1:4" ht="12">
      <c r="A41" s="322"/>
      <c r="B41" s="346"/>
      <c r="C41" s="346"/>
      <c r="D41" s="374"/>
    </row>
    <row r="42" ht="11.25">
      <c r="A42" s="351"/>
    </row>
    <row r="43" spans="1:7" s="321" customFormat="1" ht="12">
      <c r="A43" s="351"/>
      <c r="B43" s="287"/>
      <c r="C43" s="287"/>
      <c r="D43" s="287"/>
      <c r="E43" s="287"/>
      <c r="F43" s="287"/>
      <c r="G43" s="287"/>
    </row>
    <row r="44" spans="1:7" s="321" customFormat="1" ht="12">
      <c r="A44" s="322"/>
      <c r="B44" s="287"/>
      <c r="C44" s="287"/>
      <c r="D44" s="287"/>
      <c r="E44" s="287"/>
      <c r="F44" s="287"/>
      <c r="G44" s="287"/>
    </row>
    <row r="45" spans="1:254" s="299" customFormat="1" ht="12.75">
      <c r="A45" s="318" t="s">
        <v>480</v>
      </c>
      <c r="B45" s="318"/>
      <c r="C45" s="319"/>
      <c r="D45" s="375"/>
      <c r="E45" s="349" t="s">
        <v>481</v>
      </c>
      <c r="F45" s="287"/>
      <c r="G45" s="287"/>
      <c r="H45" s="350"/>
      <c r="I45" s="376"/>
      <c r="J45" s="376"/>
      <c r="K45" s="377"/>
      <c r="L45" s="287"/>
      <c r="M45" s="318"/>
      <c r="N45" s="318"/>
      <c r="O45" s="321"/>
      <c r="P45" s="321"/>
      <c r="Q45" s="321"/>
      <c r="R45" s="321"/>
      <c r="S45" s="287"/>
      <c r="T45" s="318"/>
      <c r="U45" s="318"/>
      <c r="V45" s="350"/>
      <c r="W45" s="348"/>
      <c r="X45" s="348"/>
      <c r="Y45" s="377"/>
      <c r="Z45" s="287"/>
      <c r="AA45" s="318"/>
      <c r="AB45" s="318"/>
      <c r="AC45" s="350"/>
      <c r="AD45" s="348"/>
      <c r="AE45" s="348"/>
      <c r="AF45" s="377"/>
      <c r="AG45" s="287"/>
      <c r="AH45" s="318"/>
      <c r="AI45" s="318"/>
      <c r="AJ45" s="350"/>
      <c r="AK45" s="348"/>
      <c r="AL45" s="348"/>
      <c r="AM45" s="377"/>
      <c r="AN45" s="287"/>
      <c r="AO45" s="318"/>
      <c r="AP45" s="318"/>
      <c r="AQ45" s="350"/>
      <c r="AR45" s="348"/>
      <c r="AS45" s="348"/>
      <c r="AT45" s="377"/>
      <c r="AU45" s="287"/>
      <c r="AV45" s="318"/>
      <c r="AW45" s="318"/>
      <c r="AX45" s="350"/>
      <c r="AY45" s="348"/>
      <c r="AZ45" s="348"/>
      <c r="BA45" s="377"/>
      <c r="BB45" s="287"/>
      <c r="BC45" s="318"/>
      <c r="BD45" s="318"/>
      <c r="BE45" s="350"/>
      <c r="BF45" s="348"/>
      <c r="BG45" s="348"/>
      <c r="BH45" s="377"/>
      <c r="BI45" s="287"/>
      <c r="BJ45" s="318"/>
      <c r="BK45" s="318"/>
      <c r="BL45" s="350"/>
      <c r="BM45" s="348"/>
      <c r="BN45" s="348"/>
      <c r="BO45" s="377"/>
      <c r="BP45" s="287"/>
      <c r="BQ45" s="318"/>
      <c r="BR45" s="318"/>
      <c r="BS45" s="350"/>
      <c r="BT45" s="348"/>
      <c r="BU45" s="348"/>
      <c r="BV45" s="377"/>
      <c r="BW45" s="287"/>
      <c r="BX45" s="318"/>
      <c r="BY45" s="318"/>
      <c r="BZ45" s="350"/>
      <c r="CA45" s="348"/>
      <c r="CB45" s="348"/>
      <c r="CC45" s="377"/>
      <c r="CD45" s="287"/>
      <c r="CE45" s="318"/>
      <c r="CF45" s="318"/>
      <c r="CG45" s="350"/>
      <c r="CH45" s="348"/>
      <c r="CI45" s="348"/>
      <c r="CJ45" s="377"/>
      <c r="CK45" s="287"/>
      <c r="CL45" s="318"/>
      <c r="CM45" s="318"/>
      <c r="CN45" s="350"/>
      <c r="CO45" s="348"/>
      <c r="CP45" s="348"/>
      <c r="CQ45" s="377"/>
      <c r="CR45" s="287"/>
      <c r="CS45" s="318"/>
      <c r="CT45" s="318"/>
      <c r="CU45" s="350"/>
      <c r="CV45" s="348"/>
      <c r="CW45" s="348"/>
      <c r="CX45" s="377"/>
      <c r="CY45" s="287"/>
      <c r="CZ45" s="318"/>
      <c r="DA45" s="318"/>
      <c r="DB45" s="350"/>
      <c r="DC45" s="348"/>
      <c r="DD45" s="348"/>
      <c r="DE45" s="377"/>
      <c r="DF45" s="287"/>
      <c r="DG45" s="318"/>
      <c r="DH45" s="318"/>
      <c r="DI45" s="350"/>
      <c r="DJ45" s="348"/>
      <c r="DK45" s="348"/>
      <c r="DL45" s="377"/>
      <c r="DM45" s="287"/>
      <c r="DN45" s="318"/>
      <c r="DO45" s="318"/>
      <c r="DP45" s="350"/>
      <c r="DQ45" s="348"/>
      <c r="DR45" s="348"/>
      <c r="DS45" s="377"/>
      <c r="DT45" s="287"/>
      <c r="DU45" s="318"/>
      <c r="DV45" s="318"/>
      <c r="DW45" s="350"/>
      <c r="DX45" s="348"/>
      <c r="DY45" s="348"/>
      <c r="DZ45" s="377"/>
      <c r="EA45" s="287"/>
      <c r="EB45" s="318"/>
      <c r="EC45" s="318"/>
      <c r="ED45" s="350"/>
      <c r="EE45" s="348"/>
      <c r="EF45" s="348"/>
      <c r="EG45" s="377"/>
      <c r="EH45" s="287"/>
      <c r="EI45" s="318"/>
      <c r="EJ45" s="318"/>
      <c r="EK45" s="350"/>
      <c r="EL45" s="348"/>
      <c r="EM45" s="348"/>
      <c r="EN45" s="377"/>
      <c r="EO45" s="287"/>
      <c r="EP45" s="318"/>
      <c r="EQ45" s="318"/>
      <c r="ER45" s="350"/>
      <c r="ES45" s="348"/>
      <c r="ET45" s="348"/>
      <c r="EU45" s="377"/>
      <c r="EV45" s="287"/>
      <c r="EW45" s="318"/>
      <c r="EX45" s="318"/>
      <c r="EY45" s="350"/>
      <c r="EZ45" s="348"/>
      <c r="FA45" s="348"/>
      <c r="FB45" s="377"/>
      <c r="FC45" s="287"/>
      <c r="FD45" s="318"/>
      <c r="FE45" s="318"/>
      <c r="FF45" s="350"/>
      <c r="FG45" s="348"/>
      <c r="FH45" s="348"/>
      <c r="FI45" s="377"/>
      <c r="FJ45" s="287"/>
      <c r="FK45" s="318"/>
      <c r="FL45" s="318"/>
      <c r="FM45" s="350"/>
      <c r="FN45" s="348"/>
      <c r="FO45" s="348"/>
      <c r="FP45" s="377"/>
      <c r="FQ45" s="287"/>
      <c r="FR45" s="318"/>
      <c r="FS45" s="318"/>
      <c r="FT45" s="350"/>
      <c r="FU45" s="348"/>
      <c r="FV45" s="348"/>
      <c r="FW45" s="377"/>
      <c r="FX45" s="287"/>
      <c r="FY45" s="318"/>
      <c r="FZ45" s="318"/>
      <c r="GA45" s="350"/>
      <c r="GB45" s="348"/>
      <c r="GC45" s="348"/>
      <c r="GD45" s="377"/>
      <c r="GE45" s="287"/>
      <c r="GF45" s="318"/>
      <c r="GG45" s="318"/>
      <c r="GH45" s="350"/>
      <c r="GI45" s="348"/>
      <c r="GJ45" s="348"/>
      <c r="GK45" s="377"/>
      <c r="GL45" s="287"/>
      <c r="GM45" s="318"/>
      <c r="GN45" s="318"/>
      <c r="GO45" s="350"/>
      <c r="GP45" s="348"/>
      <c r="GQ45" s="348"/>
      <c r="GR45" s="377"/>
      <c r="GS45" s="287"/>
      <c r="GT45" s="318"/>
      <c r="GU45" s="318"/>
      <c r="GV45" s="350"/>
      <c r="GW45" s="348"/>
      <c r="GX45" s="348"/>
      <c r="GY45" s="377"/>
      <c r="GZ45" s="287"/>
      <c r="HA45" s="318"/>
      <c r="HB45" s="318"/>
      <c r="HC45" s="350"/>
      <c r="HD45" s="348"/>
      <c r="HE45" s="348"/>
      <c r="HF45" s="377"/>
      <c r="HG45" s="287"/>
      <c r="HH45" s="318"/>
      <c r="HI45" s="318"/>
      <c r="HJ45" s="350"/>
      <c r="HK45" s="348"/>
      <c r="HL45" s="348"/>
      <c r="HM45" s="377"/>
      <c r="HN45" s="287"/>
      <c r="HO45" s="318"/>
      <c r="HP45" s="318"/>
      <c r="HQ45" s="350"/>
      <c r="HR45" s="348"/>
      <c r="HS45" s="348"/>
      <c r="HT45" s="377"/>
      <c r="HU45" s="287"/>
      <c r="HV45" s="318"/>
      <c r="HW45" s="318"/>
      <c r="HX45" s="350"/>
      <c r="HY45" s="348"/>
      <c r="HZ45" s="348"/>
      <c r="IA45" s="377"/>
      <c r="IB45" s="287"/>
      <c r="IC45" s="318"/>
      <c r="ID45" s="318"/>
      <c r="IE45" s="350"/>
      <c r="IF45" s="348"/>
      <c r="IG45" s="348"/>
      <c r="IH45" s="377"/>
      <c r="II45" s="287"/>
      <c r="IJ45" s="318"/>
      <c r="IK45" s="318"/>
      <c r="IL45" s="350"/>
      <c r="IM45" s="348"/>
      <c r="IN45" s="348"/>
      <c r="IO45" s="377"/>
      <c r="IP45" s="287"/>
      <c r="IQ45" s="318"/>
      <c r="IR45" s="318"/>
      <c r="IS45" s="350"/>
      <c r="IT45" s="348"/>
    </row>
    <row r="46" spans="2:253" s="318" customFormat="1" ht="16.5" customHeight="1">
      <c r="B46" s="313"/>
      <c r="C46" s="313"/>
      <c r="D46" s="287"/>
      <c r="E46" s="287"/>
      <c r="F46" s="287"/>
      <c r="G46" s="287"/>
      <c r="H46" s="350"/>
      <c r="I46" s="321"/>
      <c r="J46" s="350"/>
      <c r="K46" s="350"/>
      <c r="M46" s="321"/>
      <c r="O46" s="350"/>
      <c r="P46" s="321"/>
      <c r="Q46" s="350"/>
      <c r="R46" s="350"/>
      <c r="T46" s="321"/>
      <c r="V46" s="350"/>
      <c r="W46" s="321"/>
      <c r="X46" s="350"/>
      <c r="Y46" s="350"/>
      <c r="AA46" s="321"/>
      <c r="AC46" s="350"/>
      <c r="AD46" s="321"/>
      <c r="AE46" s="350"/>
      <c r="AF46" s="350"/>
      <c r="AH46" s="321"/>
      <c r="AJ46" s="350"/>
      <c r="AK46" s="321"/>
      <c r="AL46" s="350"/>
      <c r="AM46" s="350"/>
      <c r="AO46" s="321"/>
      <c r="AQ46" s="350"/>
      <c r="AR46" s="321"/>
      <c r="AS46" s="350"/>
      <c r="AT46" s="350"/>
      <c r="AV46" s="321"/>
      <c r="AX46" s="350"/>
      <c r="AY46" s="321"/>
      <c r="AZ46" s="350"/>
      <c r="BA46" s="350"/>
      <c r="BC46" s="321"/>
      <c r="BE46" s="350"/>
      <c r="BF46" s="321"/>
      <c r="BG46" s="350"/>
      <c r="BH46" s="350"/>
      <c r="BJ46" s="321"/>
      <c r="BL46" s="350"/>
      <c r="BM46" s="321"/>
      <c r="BN46" s="350"/>
      <c r="BO46" s="350"/>
      <c r="BQ46" s="321"/>
      <c r="BS46" s="350"/>
      <c r="BT46" s="321"/>
      <c r="BU46" s="350"/>
      <c r="BV46" s="350"/>
      <c r="BX46" s="321"/>
      <c r="BZ46" s="350"/>
      <c r="CA46" s="321"/>
      <c r="CB46" s="350"/>
      <c r="CC46" s="350"/>
      <c r="CE46" s="321"/>
      <c r="CG46" s="350"/>
      <c r="CH46" s="321"/>
      <c r="CI46" s="350"/>
      <c r="CJ46" s="350"/>
      <c r="CL46" s="321"/>
      <c r="CN46" s="350"/>
      <c r="CO46" s="321"/>
      <c r="CP46" s="350"/>
      <c r="CQ46" s="350"/>
      <c r="CS46" s="321"/>
      <c r="CU46" s="350"/>
      <c r="CV46" s="321"/>
      <c r="CW46" s="350"/>
      <c r="CX46" s="350"/>
      <c r="CZ46" s="321"/>
      <c r="DB46" s="350"/>
      <c r="DC46" s="321"/>
      <c r="DD46" s="350"/>
      <c r="DE46" s="350"/>
      <c r="DG46" s="321"/>
      <c r="DI46" s="350"/>
      <c r="DJ46" s="321"/>
      <c r="DK46" s="350"/>
      <c r="DL46" s="350"/>
      <c r="DN46" s="321"/>
      <c r="DP46" s="350"/>
      <c r="DQ46" s="321"/>
      <c r="DR46" s="350"/>
      <c r="DS46" s="350"/>
      <c r="DU46" s="321"/>
      <c r="DW46" s="350"/>
      <c r="DX46" s="321"/>
      <c r="DY46" s="350"/>
      <c r="DZ46" s="350"/>
      <c r="EB46" s="321"/>
      <c r="ED46" s="350"/>
      <c r="EE46" s="321"/>
      <c r="EF46" s="350"/>
      <c r="EG46" s="350"/>
      <c r="EI46" s="321"/>
      <c r="EK46" s="350"/>
      <c r="EL46" s="321"/>
      <c r="EM46" s="350"/>
      <c r="EN46" s="350"/>
      <c r="EP46" s="321"/>
      <c r="ER46" s="350"/>
      <c r="ES46" s="321"/>
      <c r="ET46" s="350"/>
      <c r="EU46" s="350"/>
      <c r="EW46" s="321"/>
      <c r="EY46" s="350"/>
      <c r="EZ46" s="321"/>
      <c r="FA46" s="350"/>
      <c r="FB46" s="350"/>
      <c r="FD46" s="321"/>
      <c r="FF46" s="350"/>
      <c r="FG46" s="321"/>
      <c r="FH46" s="350"/>
      <c r="FI46" s="350"/>
      <c r="FK46" s="321"/>
      <c r="FM46" s="350"/>
      <c r="FN46" s="321"/>
      <c r="FO46" s="350"/>
      <c r="FP46" s="350"/>
      <c r="FR46" s="321"/>
      <c r="FT46" s="350"/>
      <c r="FU46" s="321"/>
      <c r="FV46" s="350"/>
      <c r="FW46" s="350"/>
      <c r="FY46" s="321"/>
      <c r="GA46" s="350"/>
      <c r="GB46" s="321"/>
      <c r="GC46" s="350"/>
      <c r="GD46" s="350"/>
      <c r="GF46" s="321"/>
      <c r="GH46" s="350"/>
      <c r="GI46" s="321"/>
      <c r="GJ46" s="350"/>
      <c r="GK46" s="350"/>
      <c r="GM46" s="321"/>
      <c r="GO46" s="350"/>
      <c r="GP46" s="321"/>
      <c r="GQ46" s="350"/>
      <c r="GR46" s="350"/>
      <c r="GT46" s="321"/>
      <c r="GV46" s="350"/>
      <c r="GW46" s="321"/>
      <c r="GX46" s="350"/>
      <c r="GY46" s="350"/>
      <c r="HA46" s="321"/>
      <c r="HC46" s="350"/>
      <c r="HD46" s="321"/>
      <c r="HE46" s="350"/>
      <c r="HF46" s="350"/>
      <c r="HH46" s="321"/>
      <c r="HJ46" s="350"/>
      <c r="HK46" s="321"/>
      <c r="HL46" s="350"/>
      <c r="HM46" s="350"/>
      <c r="HO46" s="321"/>
      <c r="HQ46" s="350"/>
      <c r="HR46" s="321"/>
      <c r="HS46" s="350"/>
      <c r="HT46" s="350"/>
      <c r="HV46" s="321"/>
      <c r="HX46" s="350"/>
      <c r="HY46" s="321"/>
      <c r="HZ46" s="350"/>
      <c r="IA46" s="350"/>
      <c r="IC46" s="321"/>
      <c r="IE46" s="350"/>
      <c r="IF46" s="321"/>
      <c r="IG46" s="350"/>
      <c r="IH46" s="350"/>
      <c r="IJ46" s="321"/>
      <c r="IL46" s="350"/>
      <c r="IM46" s="321"/>
      <c r="IN46" s="350"/>
      <c r="IO46" s="350"/>
      <c r="IQ46" s="321"/>
      <c r="IS46" s="350"/>
    </row>
    <row r="47" spans="1:7" s="321" customFormat="1" ht="12.75">
      <c r="A47" s="351"/>
      <c r="B47" s="378"/>
      <c r="C47" s="378"/>
      <c r="D47" s="287"/>
      <c r="E47" s="287"/>
      <c r="F47" s="287"/>
      <c r="G47" s="287"/>
    </row>
    <row r="48" spans="1:7" s="299" customFormat="1" ht="12.75">
      <c r="A48" s="379"/>
      <c r="D48" s="287"/>
      <c r="E48" s="287"/>
      <c r="F48" s="287"/>
      <c r="G48" s="287"/>
    </row>
    <row r="49" spans="1:7" s="299" customFormat="1" ht="12.75">
      <c r="A49" s="316"/>
      <c r="B49" s="316"/>
      <c r="C49" s="316"/>
      <c r="D49" s="287"/>
      <c r="E49" s="287"/>
      <c r="F49" s="287"/>
      <c r="G49" s="287"/>
    </row>
    <row r="57" spans="4:7" ht="11.25">
      <c r="D57" s="287">
        <v>0</v>
      </c>
      <c r="E57" s="287">
        <v>0</v>
      </c>
      <c r="F57" s="287">
        <v>0</v>
      </c>
      <c r="G57" s="287">
        <v>0</v>
      </c>
    </row>
    <row r="58" spans="4:7" ht="11.25">
      <c r="D58" s="287">
        <v>0</v>
      </c>
      <c r="E58" s="287">
        <v>0</v>
      </c>
      <c r="F58" s="287">
        <v>0</v>
      </c>
      <c r="G58" s="287">
        <v>0</v>
      </c>
    </row>
    <row r="59" spans="4:7" ht="11.25">
      <c r="D59" s="287">
        <v>0</v>
      </c>
      <c r="E59" s="287">
        <v>0</v>
      </c>
      <c r="F59" s="287">
        <v>0</v>
      </c>
      <c r="G59" s="287">
        <v>0</v>
      </c>
    </row>
  </sheetData>
  <printOptions/>
  <pageMargins left="0.7480314960629921" right="0.15748031496062992" top="1.46" bottom="0.984251968503937" header="0" footer="0"/>
  <pageSetup horizontalDpi="600" verticalDpi="600" orientation="portrait" paperSize="9" r:id="rId1"/>
  <headerFooter alignWithMargins="0">
    <oddFooter>&amp;L&amp;"Arial,Regular"&amp;8 Valsts kase / Pārskatu departaments
 15.06.99.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/>
  <dimension ref="A1:P68"/>
  <sheetViews>
    <sheetView showGridLines="0" showZeros="0" workbookViewId="0" topLeftCell="A32">
      <selection activeCell="A55" sqref="A55"/>
    </sheetView>
  </sheetViews>
  <sheetFormatPr defaultColWidth="9.140625" defaultRowHeight="12.75"/>
  <cols>
    <col min="1" max="1" width="17.7109375" style="381" customWidth="1"/>
    <col min="2" max="2" width="8.8515625" style="287" customWidth="1"/>
    <col min="3" max="3" width="8.421875" style="287" customWidth="1"/>
    <col min="4" max="4" width="8.8515625" style="287" customWidth="1"/>
    <col min="5" max="5" width="8.57421875" style="287" customWidth="1"/>
    <col min="6" max="6" width="6.8515625" style="287" customWidth="1"/>
    <col min="7" max="7" width="8.421875" style="287" customWidth="1"/>
    <col min="8" max="8" width="11.28125" style="287" customWidth="1"/>
    <col min="9" max="9" width="10.140625" style="287" customWidth="1"/>
    <col min="10" max="10" width="8.57421875" style="287" customWidth="1"/>
    <col min="11" max="11" width="8.00390625" style="287" customWidth="1"/>
    <col min="12" max="13" width="7.57421875" style="287" customWidth="1"/>
    <col min="14" max="14" width="7.140625" style="287" customWidth="1"/>
    <col min="15" max="16" width="9.28125" style="287" customWidth="1"/>
    <col min="17" max="16384" width="8.00390625" style="287" customWidth="1"/>
  </cols>
  <sheetData>
    <row r="1" spans="1:16" ht="12.75">
      <c r="A1" s="380"/>
      <c r="B1" s="299"/>
      <c r="C1" s="299"/>
      <c r="D1" s="299"/>
      <c r="E1" s="299"/>
      <c r="F1" s="299" t="s">
        <v>551</v>
      </c>
      <c r="G1" s="299"/>
      <c r="H1" s="299"/>
      <c r="I1" s="299"/>
      <c r="J1" s="299"/>
      <c r="K1" s="299"/>
      <c r="L1" s="299"/>
      <c r="M1" s="299"/>
      <c r="N1" s="286"/>
      <c r="O1" s="286"/>
      <c r="P1" s="286" t="s">
        <v>552</v>
      </c>
    </row>
    <row r="2" spans="14:15" ht="12">
      <c r="N2" s="382"/>
      <c r="O2" s="294"/>
    </row>
    <row r="3" spans="1:16" s="299" customFormat="1" ht="12.75">
      <c r="A3" s="380"/>
      <c r="N3" s="286"/>
      <c r="O3" s="286"/>
      <c r="P3" s="286"/>
    </row>
    <row r="4" spans="1:16" s="292" customFormat="1" ht="15.75">
      <c r="A4" s="383" t="s">
        <v>553</v>
      </c>
      <c r="B4" s="383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</row>
    <row r="5" spans="1:16" s="386" customFormat="1" ht="15.75">
      <c r="A5" s="384" t="s">
        <v>445</v>
      </c>
      <c r="B5" s="384"/>
      <c r="C5" s="384"/>
      <c r="D5" s="384"/>
      <c r="E5" s="385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</row>
    <row r="6" spans="1:16" s="386" customFormat="1" ht="15.75">
      <c r="A6" s="384"/>
      <c r="B6" s="384"/>
      <c r="C6" s="384"/>
      <c r="D6" s="384"/>
      <c r="E6" s="385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</row>
    <row r="7" spans="1:16" s="265" customFormat="1" ht="11.25">
      <c r="A7" s="387"/>
      <c r="B7" s="296"/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 t="s">
        <v>554</v>
      </c>
      <c r="N7" s="296"/>
      <c r="O7" s="373"/>
      <c r="P7" s="296"/>
    </row>
    <row r="8" spans="1:16" s="299" customFormat="1" ht="12.75">
      <c r="A8" s="388"/>
      <c r="B8" s="389" t="s">
        <v>139</v>
      </c>
      <c r="C8" s="389"/>
      <c r="D8" s="389"/>
      <c r="E8" s="390" t="s">
        <v>555</v>
      </c>
      <c r="F8" s="389"/>
      <c r="G8" s="389"/>
      <c r="H8" s="391"/>
      <c r="I8" s="391"/>
      <c r="J8" s="392" t="s">
        <v>556</v>
      </c>
      <c r="K8" s="389"/>
      <c r="L8" s="389"/>
      <c r="M8" s="393"/>
      <c r="N8" s="389"/>
      <c r="O8" s="394"/>
      <c r="P8" s="395"/>
    </row>
    <row r="9" spans="1:16" ht="11.25">
      <c r="A9" s="396"/>
      <c r="B9" s="328"/>
      <c r="C9" s="397"/>
      <c r="D9" s="397"/>
      <c r="E9" s="397"/>
      <c r="F9" s="397"/>
      <c r="G9" s="397"/>
      <c r="H9" s="397"/>
      <c r="I9" s="397"/>
      <c r="J9" s="397"/>
      <c r="K9" s="397"/>
      <c r="L9" s="398" t="s">
        <v>557</v>
      </c>
      <c r="M9" s="398"/>
      <c r="N9" s="328"/>
      <c r="O9" s="397"/>
      <c r="P9" s="399"/>
    </row>
    <row r="10" spans="1:16" s="406" customFormat="1" ht="45">
      <c r="A10" s="400" t="s">
        <v>558</v>
      </c>
      <c r="B10" s="401" t="s">
        <v>559</v>
      </c>
      <c r="C10" s="402" t="s">
        <v>560</v>
      </c>
      <c r="D10" s="403" t="s">
        <v>561</v>
      </c>
      <c r="E10" s="403" t="s">
        <v>562</v>
      </c>
      <c r="F10" s="403" t="s">
        <v>563</v>
      </c>
      <c r="G10" s="403" t="s">
        <v>564</v>
      </c>
      <c r="H10" s="403" t="s">
        <v>565</v>
      </c>
      <c r="I10" s="403" t="s">
        <v>566</v>
      </c>
      <c r="J10" s="403" t="s">
        <v>422</v>
      </c>
      <c r="K10" s="403" t="s">
        <v>567</v>
      </c>
      <c r="L10" s="403" t="s">
        <v>568</v>
      </c>
      <c r="M10" s="403" t="s">
        <v>569</v>
      </c>
      <c r="N10" s="403" t="s">
        <v>570</v>
      </c>
      <c r="O10" s="404" t="s">
        <v>434</v>
      </c>
      <c r="P10" s="405" t="s">
        <v>571</v>
      </c>
    </row>
    <row r="11" spans="1:16" s="265" customFormat="1" ht="11.25">
      <c r="A11" s="407">
        <v>1</v>
      </c>
      <c r="B11" s="408">
        <v>2</v>
      </c>
      <c r="C11" s="408">
        <v>3</v>
      </c>
      <c r="D11" s="408">
        <v>4</v>
      </c>
      <c r="E11" s="408">
        <v>5</v>
      </c>
      <c r="F11" s="408">
        <v>6</v>
      </c>
      <c r="G11" s="408">
        <v>7</v>
      </c>
      <c r="H11" s="408">
        <v>8</v>
      </c>
      <c r="I11" s="408">
        <v>9</v>
      </c>
      <c r="J11" s="408">
        <v>10</v>
      </c>
      <c r="K11" s="408">
        <v>11</v>
      </c>
      <c r="L11" s="408">
        <v>12</v>
      </c>
      <c r="M11" s="408">
        <v>13</v>
      </c>
      <c r="N11" s="408">
        <v>14</v>
      </c>
      <c r="O11" s="408">
        <v>15</v>
      </c>
      <c r="P11" s="409">
        <v>16</v>
      </c>
    </row>
    <row r="12" spans="1:16" ht="12.75">
      <c r="A12" s="410" t="s">
        <v>572</v>
      </c>
      <c r="B12" s="411"/>
      <c r="C12" s="411"/>
      <c r="D12" s="411"/>
      <c r="E12" s="411"/>
      <c r="F12" s="411"/>
      <c r="G12" s="411"/>
      <c r="H12" s="411"/>
      <c r="I12" s="411"/>
      <c r="J12" s="411">
        <v>0</v>
      </c>
      <c r="K12" s="411"/>
      <c r="L12" s="411"/>
      <c r="M12" s="411"/>
      <c r="N12" s="411"/>
      <c r="O12" s="411"/>
      <c r="P12" s="412">
        <v>0</v>
      </c>
    </row>
    <row r="13" spans="1:16" ht="12">
      <c r="A13" s="413" t="s">
        <v>573</v>
      </c>
      <c r="B13" s="414">
        <v>48195717</v>
      </c>
      <c r="C13" s="414">
        <v>8890386</v>
      </c>
      <c r="D13" s="414">
        <v>57086103</v>
      </c>
      <c r="E13" s="414">
        <v>48646485</v>
      </c>
      <c r="F13" s="414">
        <v>7187874</v>
      </c>
      <c r="G13" s="414">
        <v>55834359</v>
      </c>
      <c r="H13" s="414">
        <v>1251744</v>
      </c>
      <c r="I13" s="414">
        <v>-1251744</v>
      </c>
      <c r="J13" s="414">
        <v>-2000000</v>
      </c>
      <c r="K13" s="414">
        <v>187357</v>
      </c>
      <c r="L13" s="414">
        <v>7153838</v>
      </c>
      <c r="M13" s="414">
        <v>6966481</v>
      </c>
      <c r="N13" s="414">
        <v>0</v>
      </c>
      <c r="O13" s="414">
        <v>0</v>
      </c>
      <c r="P13" s="415">
        <v>560899</v>
      </c>
    </row>
    <row r="14" spans="1:16" ht="12">
      <c r="A14" s="416" t="s">
        <v>574</v>
      </c>
      <c r="B14" s="414">
        <v>4190265</v>
      </c>
      <c r="C14" s="414">
        <v>1493271</v>
      </c>
      <c r="D14" s="414">
        <v>5683536</v>
      </c>
      <c r="E14" s="414">
        <v>5954730</v>
      </c>
      <c r="F14" s="414">
        <v>5028</v>
      </c>
      <c r="G14" s="414">
        <v>5959758</v>
      </c>
      <c r="H14" s="414">
        <v>-276222</v>
      </c>
      <c r="I14" s="414">
        <v>276222</v>
      </c>
      <c r="J14" s="414">
        <v>34000</v>
      </c>
      <c r="K14" s="414">
        <v>242222</v>
      </c>
      <c r="L14" s="414">
        <v>461910</v>
      </c>
      <c r="M14" s="414">
        <v>219688</v>
      </c>
      <c r="N14" s="414">
        <v>0</v>
      </c>
      <c r="O14" s="414">
        <v>0</v>
      </c>
      <c r="P14" s="415">
        <v>0</v>
      </c>
    </row>
    <row r="15" spans="1:16" ht="12">
      <c r="A15" s="416" t="s">
        <v>575</v>
      </c>
      <c r="B15" s="414">
        <v>2675400</v>
      </c>
      <c r="C15" s="414">
        <v>1165628</v>
      </c>
      <c r="D15" s="414">
        <v>3841028</v>
      </c>
      <c r="E15" s="414">
        <v>3365736</v>
      </c>
      <c r="F15" s="414">
        <v>45058</v>
      </c>
      <c r="G15" s="414">
        <v>3410794</v>
      </c>
      <c r="H15" s="414">
        <v>430234</v>
      </c>
      <c r="I15" s="414">
        <v>-430234</v>
      </c>
      <c r="J15" s="414">
        <v>-504500</v>
      </c>
      <c r="K15" s="414">
        <v>-103432</v>
      </c>
      <c r="L15" s="414">
        <v>64369</v>
      </c>
      <c r="M15" s="414">
        <v>167801</v>
      </c>
      <c r="N15" s="414">
        <v>0</v>
      </c>
      <c r="O15" s="414">
        <v>142100</v>
      </c>
      <c r="P15" s="415">
        <v>35598</v>
      </c>
    </row>
    <row r="16" spans="1:16" ht="12">
      <c r="A16" s="416" t="s">
        <v>576</v>
      </c>
      <c r="B16" s="414">
        <v>2554888</v>
      </c>
      <c r="C16" s="414">
        <v>645746</v>
      </c>
      <c r="D16" s="414">
        <v>3200634</v>
      </c>
      <c r="E16" s="414">
        <v>3150340</v>
      </c>
      <c r="F16" s="414">
        <v>31353</v>
      </c>
      <c r="G16" s="414">
        <v>3181693</v>
      </c>
      <c r="H16" s="414">
        <v>18941</v>
      </c>
      <c r="I16" s="414">
        <v>-18941</v>
      </c>
      <c r="J16" s="414">
        <v>270000</v>
      </c>
      <c r="K16" s="414">
        <v>-288941</v>
      </c>
      <c r="L16" s="414">
        <v>205452</v>
      </c>
      <c r="M16" s="414">
        <v>494393</v>
      </c>
      <c r="N16" s="414">
        <v>0</v>
      </c>
      <c r="O16" s="414">
        <v>0</v>
      </c>
      <c r="P16" s="415">
        <v>0</v>
      </c>
    </row>
    <row r="17" spans="1:16" ht="12">
      <c r="A17" s="416" t="s">
        <v>577</v>
      </c>
      <c r="B17" s="414">
        <v>3861212</v>
      </c>
      <c r="C17" s="414">
        <v>1282566</v>
      </c>
      <c r="D17" s="414">
        <v>5143778</v>
      </c>
      <c r="E17" s="414">
        <v>4903528</v>
      </c>
      <c r="F17" s="414">
        <v>112688</v>
      </c>
      <c r="G17" s="414">
        <v>5016216</v>
      </c>
      <c r="H17" s="414">
        <v>127562</v>
      </c>
      <c r="I17" s="414">
        <v>-127562</v>
      </c>
      <c r="J17" s="414">
        <v>-26891</v>
      </c>
      <c r="K17" s="414">
        <v>-100671</v>
      </c>
      <c r="L17" s="414">
        <v>408121</v>
      </c>
      <c r="M17" s="414">
        <v>508792</v>
      </c>
      <c r="N17" s="414">
        <v>0</v>
      </c>
      <c r="O17" s="414">
        <v>0</v>
      </c>
      <c r="P17" s="415">
        <v>0</v>
      </c>
    </row>
    <row r="18" spans="1:16" ht="12">
      <c r="A18" s="416" t="s">
        <v>578</v>
      </c>
      <c r="B18" s="414">
        <v>1508954</v>
      </c>
      <c r="C18" s="414">
        <v>641806</v>
      </c>
      <c r="D18" s="414">
        <v>2150760</v>
      </c>
      <c r="E18" s="414">
        <v>1880423</v>
      </c>
      <c r="F18" s="414">
        <v>3875</v>
      </c>
      <c r="G18" s="414">
        <v>1884298</v>
      </c>
      <c r="H18" s="414">
        <v>266462</v>
      </c>
      <c r="I18" s="414">
        <v>-266462</v>
      </c>
      <c r="J18" s="414">
        <v>-142000</v>
      </c>
      <c r="K18" s="414">
        <v>-124462</v>
      </c>
      <c r="L18" s="414">
        <v>78705</v>
      </c>
      <c r="M18" s="414">
        <v>203167</v>
      </c>
      <c r="N18" s="414">
        <v>0</v>
      </c>
      <c r="O18" s="414">
        <v>0</v>
      </c>
      <c r="P18" s="415">
        <v>0</v>
      </c>
    </row>
    <row r="19" spans="1:16" ht="12">
      <c r="A19" s="416" t="s">
        <v>579</v>
      </c>
      <c r="B19" s="414">
        <v>5065550</v>
      </c>
      <c r="C19" s="414">
        <v>493919</v>
      </c>
      <c r="D19" s="414">
        <v>5559469</v>
      </c>
      <c r="E19" s="414">
        <v>3178628</v>
      </c>
      <c r="F19" s="414">
        <v>1110450</v>
      </c>
      <c r="G19" s="414">
        <v>4289078</v>
      </c>
      <c r="H19" s="414">
        <v>1270391</v>
      </c>
      <c r="I19" s="414">
        <v>-1270391</v>
      </c>
      <c r="J19" s="414">
        <v>0</v>
      </c>
      <c r="K19" s="414">
        <v>-1270391</v>
      </c>
      <c r="L19" s="414">
        <v>630911</v>
      </c>
      <c r="M19" s="414">
        <v>1901302</v>
      </c>
      <c r="N19" s="414">
        <v>0</v>
      </c>
      <c r="O19" s="414">
        <v>0</v>
      </c>
      <c r="P19" s="415">
        <v>0</v>
      </c>
    </row>
    <row r="20" spans="1:16" ht="12.75">
      <c r="A20" s="410" t="s">
        <v>580</v>
      </c>
      <c r="B20" s="414">
        <f aca="true" t="shared" si="0" ref="B20:P20">SUM(B13:B19)</f>
        <v>68052000</v>
      </c>
      <c r="C20" s="414">
        <f t="shared" si="0"/>
        <v>14613000</v>
      </c>
      <c r="D20" s="414">
        <f t="shared" si="0"/>
        <v>82665000</v>
      </c>
      <c r="E20" s="414">
        <f t="shared" si="0"/>
        <v>71080000</v>
      </c>
      <c r="F20" s="414">
        <f t="shared" si="0"/>
        <v>8496000</v>
      </c>
      <c r="G20" s="414">
        <f t="shared" si="0"/>
        <v>79576000</v>
      </c>
      <c r="H20" s="414">
        <f t="shared" si="0"/>
        <v>3089000</v>
      </c>
      <c r="I20" s="414">
        <f t="shared" si="0"/>
        <v>-3089000</v>
      </c>
      <c r="J20" s="414">
        <f t="shared" si="0"/>
        <v>-2369000</v>
      </c>
      <c r="K20" s="414">
        <f t="shared" si="0"/>
        <v>-1458000</v>
      </c>
      <c r="L20" s="414">
        <f t="shared" si="0"/>
        <v>9003000</v>
      </c>
      <c r="M20" s="414">
        <f t="shared" si="0"/>
        <v>10462000</v>
      </c>
      <c r="N20" s="414">
        <f t="shared" si="0"/>
        <v>0</v>
      </c>
      <c r="O20" s="414">
        <f t="shared" si="0"/>
        <v>142000</v>
      </c>
      <c r="P20" s="415">
        <f t="shared" si="0"/>
        <v>596000</v>
      </c>
    </row>
    <row r="21" spans="1:16" s="417" customFormat="1" ht="12.75">
      <c r="A21" s="410" t="s">
        <v>581</v>
      </c>
      <c r="B21" s="414"/>
      <c r="C21" s="414"/>
      <c r="D21" s="414"/>
      <c r="E21" s="414"/>
      <c r="F21" s="414"/>
      <c r="G21" s="414"/>
      <c r="H21" s="414"/>
      <c r="I21" s="414"/>
      <c r="J21" s="414"/>
      <c r="K21" s="414"/>
      <c r="L21" s="414"/>
      <c r="M21" s="414"/>
      <c r="N21" s="414"/>
      <c r="O21" s="414"/>
      <c r="P21" s="415"/>
    </row>
    <row r="22" spans="1:16" ht="12">
      <c r="A22" s="416" t="s">
        <v>582</v>
      </c>
      <c r="B22" s="414">
        <v>1497617</v>
      </c>
      <c r="C22" s="414">
        <v>1344662</v>
      </c>
      <c r="D22" s="414">
        <v>2842279</v>
      </c>
      <c r="E22" s="414">
        <v>2471911</v>
      </c>
      <c r="F22" s="414">
        <v>156236</v>
      </c>
      <c r="G22" s="414">
        <v>2628147</v>
      </c>
      <c r="H22" s="414">
        <v>214132</v>
      </c>
      <c r="I22" s="414">
        <v>-214132</v>
      </c>
      <c r="J22" s="414">
        <v>-17105</v>
      </c>
      <c r="K22" s="414">
        <v>-164803</v>
      </c>
      <c r="L22" s="414">
        <v>255676</v>
      </c>
      <c r="M22" s="414">
        <v>420479</v>
      </c>
      <c r="N22" s="414">
        <v>-4783</v>
      </c>
      <c r="O22" s="414">
        <v>0</v>
      </c>
      <c r="P22" s="415">
        <v>-27441</v>
      </c>
    </row>
    <row r="23" spans="1:16" ht="12">
      <c r="A23" s="416" t="s">
        <v>583</v>
      </c>
      <c r="B23" s="414">
        <v>751163</v>
      </c>
      <c r="C23" s="414">
        <v>969681</v>
      </c>
      <c r="D23" s="414">
        <v>1720844</v>
      </c>
      <c r="E23" s="414">
        <v>1643239</v>
      </c>
      <c r="F23" s="414">
        <v>16403</v>
      </c>
      <c r="G23" s="414">
        <v>1659642</v>
      </c>
      <c r="H23" s="414">
        <v>61202</v>
      </c>
      <c r="I23" s="414">
        <v>-61202</v>
      </c>
      <c r="J23" s="414">
        <v>11559</v>
      </c>
      <c r="K23" s="414">
        <v>-70791</v>
      </c>
      <c r="L23" s="414">
        <v>80897</v>
      </c>
      <c r="M23" s="414">
        <v>151688</v>
      </c>
      <c r="N23" s="414">
        <v>0</v>
      </c>
      <c r="O23" s="414">
        <v>-1048</v>
      </c>
      <c r="P23" s="415">
        <v>-922</v>
      </c>
    </row>
    <row r="24" spans="1:16" ht="12">
      <c r="A24" s="416" t="s">
        <v>584</v>
      </c>
      <c r="B24" s="414">
        <v>740071</v>
      </c>
      <c r="C24" s="414">
        <v>1226452</v>
      </c>
      <c r="D24" s="414">
        <v>1966523</v>
      </c>
      <c r="E24" s="414">
        <v>1893845</v>
      </c>
      <c r="F24" s="414">
        <v>36380</v>
      </c>
      <c r="G24" s="414">
        <v>1930225</v>
      </c>
      <c r="H24" s="414">
        <v>36298</v>
      </c>
      <c r="I24" s="414">
        <v>-36298</v>
      </c>
      <c r="J24" s="414">
        <v>0</v>
      </c>
      <c r="K24" s="414">
        <v>-42503</v>
      </c>
      <c r="L24" s="414">
        <v>116960</v>
      </c>
      <c r="M24" s="414">
        <v>159463</v>
      </c>
      <c r="N24" s="414">
        <v>0</v>
      </c>
      <c r="O24" s="414">
        <v>6205</v>
      </c>
      <c r="P24" s="415">
        <v>0</v>
      </c>
    </row>
    <row r="25" spans="1:16" ht="12">
      <c r="A25" s="416" t="s">
        <v>585</v>
      </c>
      <c r="B25" s="414">
        <v>1604732</v>
      </c>
      <c r="C25" s="414">
        <v>1556364</v>
      </c>
      <c r="D25" s="414">
        <v>3161096</v>
      </c>
      <c r="E25" s="414">
        <v>2927066</v>
      </c>
      <c r="F25" s="414">
        <v>101763</v>
      </c>
      <c r="G25" s="414">
        <v>3028829</v>
      </c>
      <c r="H25" s="414">
        <v>132267</v>
      </c>
      <c r="I25" s="414">
        <v>-132267</v>
      </c>
      <c r="J25" s="414">
        <v>-16638</v>
      </c>
      <c r="K25" s="414">
        <v>-113017</v>
      </c>
      <c r="L25" s="414">
        <v>168381</v>
      </c>
      <c r="M25" s="414">
        <v>281398</v>
      </c>
      <c r="N25" s="414">
        <v>0</v>
      </c>
      <c r="O25" s="414">
        <v>0</v>
      </c>
      <c r="P25" s="415">
        <v>-2612</v>
      </c>
    </row>
    <row r="26" spans="1:16" ht="12">
      <c r="A26" s="416" t="s">
        <v>586</v>
      </c>
      <c r="B26" s="414">
        <v>2272657</v>
      </c>
      <c r="C26" s="414">
        <v>2037831</v>
      </c>
      <c r="D26" s="414">
        <v>4310488</v>
      </c>
      <c r="E26" s="414">
        <v>4186987</v>
      </c>
      <c r="F26" s="414">
        <v>77696</v>
      </c>
      <c r="G26" s="414">
        <v>4264683</v>
      </c>
      <c r="H26" s="414">
        <v>45805</v>
      </c>
      <c r="I26" s="414">
        <v>-45805</v>
      </c>
      <c r="J26" s="414">
        <v>13650</v>
      </c>
      <c r="K26" s="414">
        <v>-53163</v>
      </c>
      <c r="L26" s="414">
        <v>278037</v>
      </c>
      <c r="M26" s="414">
        <v>331200</v>
      </c>
      <c r="N26" s="414">
        <v>-3559</v>
      </c>
      <c r="O26" s="414">
        <v>0</v>
      </c>
      <c r="P26" s="415">
        <v>-2733</v>
      </c>
    </row>
    <row r="27" spans="1:16" ht="12">
      <c r="A27" s="416" t="s">
        <v>587</v>
      </c>
      <c r="B27" s="414">
        <v>1347207</v>
      </c>
      <c r="C27" s="414">
        <v>1449015</v>
      </c>
      <c r="D27" s="414">
        <v>2796222</v>
      </c>
      <c r="E27" s="414">
        <v>2470138</v>
      </c>
      <c r="F27" s="414">
        <v>114848</v>
      </c>
      <c r="G27" s="414">
        <v>2584986</v>
      </c>
      <c r="H27" s="414">
        <v>211236</v>
      </c>
      <c r="I27" s="414">
        <v>-211236</v>
      </c>
      <c r="J27" s="414">
        <v>-65319</v>
      </c>
      <c r="K27" s="414">
        <v>-139448</v>
      </c>
      <c r="L27" s="414">
        <v>182974</v>
      </c>
      <c r="M27" s="414">
        <v>322422</v>
      </c>
      <c r="N27" s="414">
        <v>0</v>
      </c>
      <c r="O27" s="414">
        <v>0</v>
      </c>
      <c r="P27" s="415">
        <v>-6469</v>
      </c>
    </row>
    <row r="28" spans="1:16" ht="12">
      <c r="A28" s="416" t="s">
        <v>588</v>
      </c>
      <c r="B28" s="414">
        <v>1319662</v>
      </c>
      <c r="C28" s="414">
        <v>1122102</v>
      </c>
      <c r="D28" s="414">
        <v>2441764</v>
      </c>
      <c r="E28" s="414">
        <v>2296983</v>
      </c>
      <c r="F28" s="414">
        <v>75982</v>
      </c>
      <c r="G28" s="414">
        <v>2372965</v>
      </c>
      <c r="H28" s="414">
        <v>68799</v>
      </c>
      <c r="I28" s="414">
        <v>-68799</v>
      </c>
      <c r="J28" s="414">
        <v>-52652</v>
      </c>
      <c r="K28" s="414">
        <v>-16147</v>
      </c>
      <c r="L28" s="414">
        <v>190834</v>
      </c>
      <c r="M28" s="414">
        <v>206981</v>
      </c>
      <c r="N28" s="414">
        <v>0</v>
      </c>
      <c r="O28" s="414">
        <v>0</v>
      </c>
      <c r="P28" s="415">
        <v>0</v>
      </c>
    </row>
    <row r="29" spans="1:16" ht="12">
      <c r="A29" s="416" t="s">
        <v>589</v>
      </c>
      <c r="B29" s="414">
        <v>925633</v>
      </c>
      <c r="C29" s="414">
        <v>790337</v>
      </c>
      <c r="D29" s="414">
        <v>1715970</v>
      </c>
      <c r="E29" s="414">
        <v>1567309</v>
      </c>
      <c r="F29" s="414">
        <v>41171</v>
      </c>
      <c r="G29" s="414">
        <v>1608480</v>
      </c>
      <c r="H29" s="414">
        <v>107490</v>
      </c>
      <c r="I29" s="414">
        <v>-107490</v>
      </c>
      <c r="J29" s="414">
        <v>-10486</v>
      </c>
      <c r="K29" s="414">
        <v>-92899</v>
      </c>
      <c r="L29" s="414">
        <v>46901</v>
      </c>
      <c r="M29" s="414">
        <v>139800</v>
      </c>
      <c r="N29" s="414">
        <v>0</v>
      </c>
      <c r="O29" s="414">
        <v>0</v>
      </c>
      <c r="P29" s="415">
        <v>-4105</v>
      </c>
    </row>
    <row r="30" spans="1:16" ht="12">
      <c r="A30" s="416" t="s">
        <v>590</v>
      </c>
      <c r="B30" s="414">
        <v>1161487</v>
      </c>
      <c r="C30" s="414">
        <v>1126914</v>
      </c>
      <c r="D30" s="414">
        <v>2288401</v>
      </c>
      <c r="E30" s="414">
        <v>2128307</v>
      </c>
      <c r="F30" s="414">
        <v>95519</v>
      </c>
      <c r="G30" s="414">
        <v>2223826</v>
      </c>
      <c r="H30" s="414">
        <v>64575</v>
      </c>
      <c r="I30" s="414">
        <v>-64575</v>
      </c>
      <c r="J30" s="414">
        <v>-19853</v>
      </c>
      <c r="K30" s="414">
        <v>-44722</v>
      </c>
      <c r="L30" s="414">
        <v>83636</v>
      </c>
      <c r="M30" s="414">
        <v>128358</v>
      </c>
      <c r="N30" s="414">
        <v>0</v>
      </c>
      <c r="O30" s="414">
        <v>0</v>
      </c>
      <c r="P30" s="415">
        <v>0</v>
      </c>
    </row>
    <row r="31" spans="1:16" ht="12">
      <c r="A31" s="416" t="s">
        <v>591</v>
      </c>
      <c r="B31" s="414">
        <v>1377767</v>
      </c>
      <c r="C31" s="414">
        <v>1729924</v>
      </c>
      <c r="D31" s="414">
        <v>3107691</v>
      </c>
      <c r="E31" s="414">
        <v>2994548</v>
      </c>
      <c r="F31" s="414">
        <v>57974</v>
      </c>
      <c r="G31" s="414">
        <v>3052522</v>
      </c>
      <c r="H31" s="414">
        <v>55169</v>
      </c>
      <c r="I31" s="414">
        <v>-55169</v>
      </c>
      <c r="J31" s="414">
        <v>-5641</v>
      </c>
      <c r="K31" s="414">
        <v>-46721</v>
      </c>
      <c r="L31" s="414">
        <v>207287</v>
      </c>
      <c r="M31" s="414">
        <v>254008</v>
      </c>
      <c r="N31" s="414">
        <v>0</v>
      </c>
      <c r="O31" s="414">
        <v>-2807</v>
      </c>
      <c r="P31" s="415">
        <v>0</v>
      </c>
    </row>
    <row r="32" spans="1:16" ht="12">
      <c r="A32" s="416" t="s">
        <v>592</v>
      </c>
      <c r="B32" s="414">
        <v>799144</v>
      </c>
      <c r="C32" s="414">
        <v>1152631</v>
      </c>
      <c r="D32" s="414">
        <v>1951775</v>
      </c>
      <c r="E32" s="414">
        <v>2019019</v>
      </c>
      <c r="F32" s="414">
        <v>3397</v>
      </c>
      <c r="G32" s="414">
        <v>2022416</v>
      </c>
      <c r="H32" s="414">
        <v>-70641</v>
      </c>
      <c r="I32" s="414">
        <v>70641</v>
      </c>
      <c r="J32" s="414">
        <v>106978</v>
      </c>
      <c r="K32" s="414">
        <v>-36337</v>
      </c>
      <c r="L32" s="414">
        <v>134900</v>
      </c>
      <c r="M32" s="414">
        <v>171237</v>
      </c>
      <c r="N32" s="414">
        <v>0</v>
      </c>
      <c r="O32" s="414">
        <v>0</v>
      </c>
      <c r="P32" s="415">
        <v>0</v>
      </c>
    </row>
    <row r="33" spans="1:16" ht="12">
      <c r="A33" s="416" t="s">
        <v>593</v>
      </c>
      <c r="B33" s="414">
        <v>1434969</v>
      </c>
      <c r="C33" s="414">
        <v>1468393</v>
      </c>
      <c r="D33" s="414">
        <v>2903362</v>
      </c>
      <c r="E33" s="414">
        <v>2580894</v>
      </c>
      <c r="F33" s="414">
        <v>67514</v>
      </c>
      <c r="G33" s="414">
        <v>2648408</v>
      </c>
      <c r="H33" s="414">
        <v>254954</v>
      </c>
      <c r="I33" s="414">
        <v>-254954</v>
      </c>
      <c r="J33" s="414">
        <v>21200</v>
      </c>
      <c r="K33" s="414">
        <v>-253253</v>
      </c>
      <c r="L33" s="414">
        <v>126121</v>
      </c>
      <c r="M33" s="414">
        <v>379374</v>
      </c>
      <c r="N33" s="414">
        <v>0</v>
      </c>
      <c r="O33" s="414">
        <v>0</v>
      </c>
      <c r="P33" s="415">
        <v>-22901</v>
      </c>
    </row>
    <row r="34" spans="1:16" ht="12">
      <c r="A34" s="416" t="s">
        <v>594</v>
      </c>
      <c r="B34" s="414">
        <v>1388717</v>
      </c>
      <c r="C34" s="414">
        <v>1532065</v>
      </c>
      <c r="D34" s="414">
        <v>2920782</v>
      </c>
      <c r="E34" s="414">
        <v>2740038</v>
      </c>
      <c r="F34" s="414">
        <v>47519</v>
      </c>
      <c r="G34" s="414">
        <v>2787557</v>
      </c>
      <c r="H34" s="414">
        <v>133225</v>
      </c>
      <c r="I34" s="414">
        <v>-133225</v>
      </c>
      <c r="J34" s="414">
        <v>-22254</v>
      </c>
      <c r="K34" s="414">
        <v>-151124</v>
      </c>
      <c r="L34" s="414">
        <v>86262</v>
      </c>
      <c r="M34" s="414">
        <v>237386</v>
      </c>
      <c r="N34" s="414">
        <v>0</v>
      </c>
      <c r="O34" s="414">
        <v>10327</v>
      </c>
      <c r="P34" s="415">
        <v>29826</v>
      </c>
    </row>
    <row r="35" spans="1:16" ht="12">
      <c r="A35" s="416" t="s">
        <v>595</v>
      </c>
      <c r="B35" s="414">
        <v>1443183</v>
      </c>
      <c r="C35" s="414">
        <v>1297210</v>
      </c>
      <c r="D35" s="414">
        <v>2740393</v>
      </c>
      <c r="E35" s="414">
        <v>2482117</v>
      </c>
      <c r="F35" s="414">
        <v>172997</v>
      </c>
      <c r="G35" s="414">
        <v>2655114</v>
      </c>
      <c r="H35" s="414">
        <v>85279</v>
      </c>
      <c r="I35" s="414">
        <v>-85279</v>
      </c>
      <c r="J35" s="414">
        <v>62131</v>
      </c>
      <c r="K35" s="414">
        <v>-147410</v>
      </c>
      <c r="L35" s="414">
        <v>266029</v>
      </c>
      <c r="M35" s="414">
        <v>413439</v>
      </c>
      <c r="N35" s="414">
        <v>0</v>
      </c>
      <c r="O35" s="414">
        <v>0</v>
      </c>
      <c r="P35" s="415">
        <v>0</v>
      </c>
    </row>
    <row r="36" spans="1:16" ht="12">
      <c r="A36" s="416" t="s">
        <v>596</v>
      </c>
      <c r="B36" s="414">
        <v>798014</v>
      </c>
      <c r="C36" s="414">
        <v>1198071</v>
      </c>
      <c r="D36" s="414">
        <v>1996085</v>
      </c>
      <c r="E36" s="414">
        <v>1883186</v>
      </c>
      <c r="F36" s="414">
        <v>76366</v>
      </c>
      <c r="G36" s="414">
        <v>1959552</v>
      </c>
      <c r="H36" s="414">
        <v>36533</v>
      </c>
      <c r="I36" s="414">
        <v>-36533</v>
      </c>
      <c r="J36" s="414">
        <v>9865</v>
      </c>
      <c r="K36" s="414">
        <v>-46398</v>
      </c>
      <c r="L36" s="414">
        <v>233433</v>
      </c>
      <c r="M36" s="414">
        <v>279831</v>
      </c>
      <c r="N36" s="414">
        <v>0</v>
      </c>
      <c r="O36" s="414">
        <v>0</v>
      </c>
      <c r="P36" s="415">
        <v>0</v>
      </c>
    </row>
    <row r="37" spans="1:16" ht="12">
      <c r="A37" s="416" t="s">
        <v>597</v>
      </c>
      <c r="B37" s="414">
        <v>1450411</v>
      </c>
      <c r="C37" s="414">
        <v>1540254</v>
      </c>
      <c r="D37" s="414">
        <v>2990665</v>
      </c>
      <c r="E37" s="414">
        <v>2780314</v>
      </c>
      <c r="F37" s="414">
        <v>112016</v>
      </c>
      <c r="G37" s="414">
        <v>2892330</v>
      </c>
      <c r="H37" s="414">
        <v>98335</v>
      </c>
      <c r="I37" s="414">
        <v>-98335</v>
      </c>
      <c r="J37" s="414">
        <v>-14045</v>
      </c>
      <c r="K37" s="414">
        <v>-88701</v>
      </c>
      <c r="L37" s="414">
        <v>213643</v>
      </c>
      <c r="M37" s="414">
        <v>302344</v>
      </c>
      <c r="N37" s="414">
        <v>-689</v>
      </c>
      <c r="O37" s="414">
        <v>5100</v>
      </c>
      <c r="P37" s="415">
        <v>0</v>
      </c>
    </row>
    <row r="38" spans="1:16" ht="12">
      <c r="A38" s="416" t="s">
        <v>598</v>
      </c>
      <c r="B38" s="414">
        <v>2173520</v>
      </c>
      <c r="C38" s="414">
        <v>1443930</v>
      </c>
      <c r="D38" s="414">
        <v>3617450</v>
      </c>
      <c r="E38" s="414">
        <v>3448249</v>
      </c>
      <c r="F38" s="414">
        <v>102362</v>
      </c>
      <c r="G38" s="414">
        <v>3550611</v>
      </c>
      <c r="H38" s="414">
        <v>66839</v>
      </c>
      <c r="I38" s="414">
        <v>-66839</v>
      </c>
      <c r="J38" s="414">
        <v>-59986</v>
      </c>
      <c r="K38" s="414">
        <v>-8003</v>
      </c>
      <c r="L38" s="414">
        <v>373292</v>
      </c>
      <c r="M38" s="414">
        <v>381295</v>
      </c>
      <c r="N38" s="414">
        <v>-3286</v>
      </c>
      <c r="O38" s="414">
        <v>550</v>
      </c>
      <c r="P38" s="415">
        <v>3886</v>
      </c>
    </row>
    <row r="39" spans="1:16" ht="12">
      <c r="A39" s="416" t="s">
        <v>599</v>
      </c>
      <c r="B39" s="414">
        <v>718387</v>
      </c>
      <c r="C39" s="414">
        <v>1670477</v>
      </c>
      <c r="D39" s="414">
        <v>2388864</v>
      </c>
      <c r="E39" s="414">
        <v>2140934</v>
      </c>
      <c r="F39" s="414">
        <v>19086</v>
      </c>
      <c r="G39" s="414">
        <v>2160020</v>
      </c>
      <c r="H39" s="414">
        <v>228844</v>
      </c>
      <c r="I39" s="414">
        <v>-228844</v>
      </c>
      <c r="J39" s="414">
        <v>-160023</v>
      </c>
      <c r="K39" s="414">
        <v>-175868</v>
      </c>
      <c r="L39" s="414">
        <v>170581</v>
      </c>
      <c r="M39" s="414">
        <v>346449</v>
      </c>
      <c r="N39" s="414">
        <v>-922</v>
      </c>
      <c r="O39" s="414">
        <v>76514</v>
      </c>
      <c r="P39" s="415">
        <v>31455</v>
      </c>
    </row>
    <row r="40" spans="1:16" ht="12">
      <c r="A40" s="416" t="s">
        <v>600</v>
      </c>
      <c r="B40" s="414">
        <v>791971</v>
      </c>
      <c r="C40" s="414">
        <v>1634319</v>
      </c>
      <c r="D40" s="414">
        <v>2426290</v>
      </c>
      <c r="E40" s="414">
        <v>2210165</v>
      </c>
      <c r="F40" s="414">
        <v>87043</v>
      </c>
      <c r="G40" s="414">
        <v>2297208</v>
      </c>
      <c r="H40" s="414">
        <v>129082</v>
      </c>
      <c r="I40" s="414">
        <v>-129082</v>
      </c>
      <c r="J40" s="414">
        <v>-14274</v>
      </c>
      <c r="K40" s="414">
        <v>-113032</v>
      </c>
      <c r="L40" s="414">
        <v>130735</v>
      </c>
      <c r="M40" s="414">
        <v>243767</v>
      </c>
      <c r="N40" s="414">
        <v>-1776</v>
      </c>
      <c r="O40" s="414">
        <v>0</v>
      </c>
      <c r="P40" s="415">
        <v>0</v>
      </c>
    </row>
    <row r="41" spans="1:16" ht="12">
      <c r="A41" s="416" t="s">
        <v>601</v>
      </c>
      <c r="B41" s="414">
        <v>7672783</v>
      </c>
      <c r="C41" s="414">
        <v>2856963</v>
      </c>
      <c r="D41" s="414">
        <v>10529746</v>
      </c>
      <c r="E41" s="414">
        <v>8655371</v>
      </c>
      <c r="F41" s="414">
        <v>1137022</v>
      </c>
      <c r="G41" s="414">
        <v>9792393</v>
      </c>
      <c r="H41" s="414">
        <v>737353</v>
      </c>
      <c r="I41" s="414">
        <v>-737353</v>
      </c>
      <c r="J41" s="414">
        <v>-164574</v>
      </c>
      <c r="K41" s="414">
        <v>-552271</v>
      </c>
      <c r="L41" s="414">
        <v>1178478</v>
      </c>
      <c r="M41" s="414">
        <v>1730749</v>
      </c>
      <c r="N41" s="414">
        <v>-4583</v>
      </c>
      <c r="O41" s="414">
        <v>-13496</v>
      </c>
      <c r="P41" s="415">
        <v>-2429</v>
      </c>
    </row>
    <row r="42" spans="1:16" ht="12">
      <c r="A42" s="416" t="s">
        <v>602</v>
      </c>
      <c r="B42" s="414">
        <v>1380292</v>
      </c>
      <c r="C42" s="414">
        <v>1335374</v>
      </c>
      <c r="D42" s="414">
        <v>2715666</v>
      </c>
      <c r="E42" s="414">
        <v>2542349</v>
      </c>
      <c r="F42" s="414">
        <v>53813</v>
      </c>
      <c r="G42" s="414">
        <v>2596162</v>
      </c>
      <c r="H42" s="414">
        <v>119504</v>
      </c>
      <c r="I42" s="414">
        <v>-119504</v>
      </c>
      <c r="J42" s="414">
        <v>74192</v>
      </c>
      <c r="K42" s="414">
        <v>-141227</v>
      </c>
      <c r="L42" s="414">
        <v>184591</v>
      </c>
      <c r="M42" s="414">
        <v>325818</v>
      </c>
      <c r="N42" s="414">
        <v>0</v>
      </c>
      <c r="O42" s="414">
        <v>0</v>
      </c>
      <c r="P42" s="415">
        <v>-52469</v>
      </c>
    </row>
    <row r="43" spans="1:16" ht="12">
      <c r="A43" s="416" t="s">
        <v>603</v>
      </c>
      <c r="B43" s="414">
        <v>1715003</v>
      </c>
      <c r="C43" s="414">
        <v>1370035</v>
      </c>
      <c r="D43" s="414">
        <v>3085038</v>
      </c>
      <c r="E43" s="414">
        <v>3032902</v>
      </c>
      <c r="F43" s="414">
        <v>79254</v>
      </c>
      <c r="G43" s="414">
        <v>3112156</v>
      </c>
      <c r="H43" s="414">
        <v>-27118</v>
      </c>
      <c r="I43" s="414">
        <v>27118</v>
      </c>
      <c r="J43" s="414">
        <v>-36065</v>
      </c>
      <c r="K43" s="414">
        <v>76817</v>
      </c>
      <c r="L43" s="414">
        <v>373141</v>
      </c>
      <c r="M43" s="414">
        <v>296324</v>
      </c>
      <c r="N43" s="414">
        <v>-1250</v>
      </c>
      <c r="O43" s="414">
        <v>0</v>
      </c>
      <c r="P43" s="415">
        <v>-12384</v>
      </c>
    </row>
    <row r="44" spans="1:16" ht="12">
      <c r="A44" s="416" t="s">
        <v>604</v>
      </c>
      <c r="B44" s="414">
        <v>2047479</v>
      </c>
      <c r="C44" s="414">
        <v>1778572</v>
      </c>
      <c r="D44" s="414">
        <v>3826051</v>
      </c>
      <c r="E44" s="414">
        <v>4048869</v>
      </c>
      <c r="F44" s="414">
        <v>69254</v>
      </c>
      <c r="G44" s="414">
        <v>4118123</v>
      </c>
      <c r="H44" s="414">
        <v>-292072</v>
      </c>
      <c r="I44" s="414">
        <v>292072</v>
      </c>
      <c r="J44" s="414">
        <v>148069</v>
      </c>
      <c r="K44" s="414">
        <v>41523</v>
      </c>
      <c r="L44" s="414">
        <v>444384</v>
      </c>
      <c r="M44" s="414">
        <v>402861</v>
      </c>
      <c r="N44" s="414">
        <v>-2362</v>
      </c>
      <c r="O44" s="414">
        <v>-2500</v>
      </c>
      <c r="P44" s="415">
        <v>107342</v>
      </c>
    </row>
    <row r="45" spans="1:16" ht="12">
      <c r="A45" s="416" t="s">
        <v>605</v>
      </c>
      <c r="B45" s="414">
        <v>1229545</v>
      </c>
      <c r="C45" s="414">
        <v>1082566</v>
      </c>
      <c r="D45" s="414">
        <v>2312111</v>
      </c>
      <c r="E45" s="414">
        <v>1947901</v>
      </c>
      <c r="F45" s="414">
        <v>78642</v>
      </c>
      <c r="G45" s="414">
        <v>2026543</v>
      </c>
      <c r="H45" s="414">
        <v>285568</v>
      </c>
      <c r="I45" s="414">
        <v>-285568</v>
      </c>
      <c r="J45" s="414">
        <v>-24390</v>
      </c>
      <c r="K45" s="414">
        <v>-233253</v>
      </c>
      <c r="L45" s="414">
        <v>139839</v>
      </c>
      <c r="M45" s="414">
        <v>373092</v>
      </c>
      <c r="N45" s="414">
        <v>0</v>
      </c>
      <c r="O45" s="414">
        <v>0</v>
      </c>
      <c r="P45" s="415">
        <v>-27925</v>
      </c>
    </row>
    <row r="46" spans="1:16" ht="12">
      <c r="A46" s="416" t="s">
        <v>606</v>
      </c>
      <c r="B46" s="414">
        <v>3531988</v>
      </c>
      <c r="C46" s="414">
        <v>1834792</v>
      </c>
      <c r="D46" s="414">
        <v>5366780</v>
      </c>
      <c r="E46" s="414">
        <v>4462344</v>
      </c>
      <c r="F46" s="414">
        <v>153651</v>
      </c>
      <c r="G46" s="414">
        <v>4615995</v>
      </c>
      <c r="H46" s="414">
        <v>750785</v>
      </c>
      <c r="I46" s="414">
        <v>-750785</v>
      </c>
      <c r="J46" s="414">
        <v>-609000</v>
      </c>
      <c r="K46" s="414">
        <v>-97572</v>
      </c>
      <c r="L46" s="414">
        <v>276000</v>
      </c>
      <c r="M46" s="414">
        <v>372970</v>
      </c>
      <c r="N46" s="414">
        <v>-2920</v>
      </c>
      <c r="O46" s="414">
        <v>10826</v>
      </c>
      <c r="P46" s="415">
        <v>-52119</v>
      </c>
    </row>
    <row r="47" spans="1:16" ht="12">
      <c r="A47" s="416" t="s">
        <v>607</v>
      </c>
      <c r="B47" s="414">
        <v>624937</v>
      </c>
      <c r="C47" s="414">
        <v>380745</v>
      </c>
      <c r="D47" s="414">
        <v>1005682</v>
      </c>
      <c r="E47" s="414">
        <v>932814</v>
      </c>
      <c r="F47" s="414">
        <v>53183</v>
      </c>
      <c r="G47" s="414">
        <v>985997</v>
      </c>
      <c r="H47" s="414">
        <v>19685</v>
      </c>
      <c r="I47" s="414">
        <v>-19685</v>
      </c>
      <c r="J47" s="414">
        <v>6000</v>
      </c>
      <c r="K47" s="414">
        <v>-25685</v>
      </c>
      <c r="L47" s="414">
        <v>84789</v>
      </c>
      <c r="M47" s="414">
        <v>110474</v>
      </c>
      <c r="N47" s="414">
        <v>0</v>
      </c>
      <c r="O47" s="414">
        <v>0</v>
      </c>
      <c r="P47" s="415">
        <v>0</v>
      </c>
    </row>
    <row r="48" spans="1:16" ht="12.75">
      <c r="A48" s="410" t="s">
        <v>608</v>
      </c>
      <c r="B48" s="414">
        <f aca="true" t="shared" si="1" ref="B48:P48">SUM(B22:B47)</f>
        <v>42198000</v>
      </c>
      <c r="C48" s="414">
        <f t="shared" si="1"/>
        <v>36930000</v>
      </c>
      <c r="D48" s="414">
        <f t="shared" si="1"/>
        <v>79128000</v>
      </c>
      <c r="E48" s="414">
        <f t="shared" si="1"/>
        <v>72488000</v>
      </c>
      <c r="F48" s="414">
        <f t="shared" si="1"/>
        <v>3087000</v>
      </c>
      <c r="G48" s="414">
        <f t="shared" si="1"/>
        <v>75575000</v>
      </c>
      <c r="H48" s="414">
        <f t="shared" si="1"/>
        <v>3553000</v>
      </c>
      <c r="I48" s="414">
        <f t="shared" si="1"/>
        <v>-3553000</v>
      </c>
      <c r="J48" s="414">
        <f t="shared" si="1"/>
        <v>-839000</v>
      </c>
      <c r="K48" s="414">
        <f t="shared" si="1"/>
        <v>-2736000</v>
      </c>
      <c r="L48" s="414">
        <f t="shared" si="1"/>
        <v>6028000</v>
      </c>
      <c r="M48" s="414">
        <f t="shared" si="1"/>
        <v>8763000</v>
      </c>
      <c r="N48" s="414">
        <f t="shared" si="1"/>
        <v>-26000</v>
      </c>
      <c r="O48" s="414">
        <f t="shared" si="1"/>
        <v>90000</v>
      </c>
      <c r="P48" s="415">
        <f t="shared" si="1"/>
        <v>-42000</v>
      </c>
    </row>
    <row r="49" spans="1:16" ht="12.75">
      <c r="A49" s="418" t="s">
        <v>609</v>
      </c>
      <c r="B49" s="419">
        <f aca="true" t="shared" si="2" ref="B49:P49">B48+B20</f>
        <v>110250000</v>
      </c>
      <c r="C49" s="419">
        <f t="shared" si="2"/>
        <v>51543000</v>
      </c>
      <c r="D49" s="419">
        <f t="shared" si="2"/>
        <v>161793000</v>
      </c>
      <c r="E49" s="419">
        <f t="shared" si="2"/>
        <v>143568000</v>
      </c>
      <c r="F49" s="419">
        <f t="shared" si="2"/>
        <v>11583000</v>
      </c>
      <c r="G49" s="419">
        <f t="shared" si="2"/>
        <v>155151000</v>
      </c>
      <c r="H49" s="419">
        <f t="shared" si="2"/>
        <v>6642000</v>
      </c>
      <c r="I49" s="419">
        <f t="shared" si="2"/>
        <v>-6642000</v>
      </c>
      <c r="J49" s="419">
        <f t="shared" si="2"/>
        <v>-3208000</v>
      </c>
      <c r="K49" s="419">
        <f t="shared" si="2"/>
        <v>-4194000</v>
      </c>
      <c r="L49" s="419">
        <f t="shared" si="2"/>
        <v>15031000</v>
      </c>
      <c r="M49" s="419">
        <f t="shared" si="2"/>
        <v>19225000</v>
      </c>
      <c r="N49" s="419">
        <f t="shared" si="2"/>
        <v>-26000</v>
      </c>
      <c r="O49" s="419">
        <f t="shared" si="2"/>
        <v>232000</v>
      </c>
      <c r="P49" s="420">
        <f t="shared" si="2"/>
        <v>554000</v>
      </c>
    </row>
    <row r="50" spans="1:7" s="422" customFormat="1" ht="12">
      <c r="A50" s="421" t="s">
        <v>610</v>
      </c>
      <c r="G50" s="422" t="s">
        <v>16</v>
      </c>
    </row>
    <row r="51" s="422" customFormat="1" ht="12">
      <c r="A51" s="421" t="s">
        <v>611</v>
      </c>
    </row>
    <row r="52" spans="1:11" s="422" customFormat="1" ht="12">
      <c r="A52" s="423"/>
      <c r="B52" s="349"/>
      <c r="C52" s="349"/>
      <c r="D52" s="349"/>
      <c r="E52" s="349"/>
      <c r="F52" s="349"/>
      <c r="G52" s="349"/>
      <c r="H52" s="349"/>
      <c r="I52" s="349"/>
      <c r="J52" s="349"/>
      <c r="K52" s="349"/>
    </row>
    <row r="53" s="422" customFormat="1" ht="12">
      <c r="A53" s="376"/>
    </row>
    <row r="54" spans="1:12" s="422" customFormat="1" ht="12">
      <c r="A54" s="424"/>
      <c r="B54" s="424"/>
      <c r="C54" s="321"/>
      <c r="D54" s="321"/>
      <c r="E54" s="321"/>
      <c r="F54" s="321"/>
      <c r="H54" s="425"/>
      <c r="I54" s="425"/>
      <c r="J54" s="425"/>
      <c r="K54" s="425"/>
      <c r="L54" s="425"/>
    </row>
    <row r="55" s="427" customFormat="1" ht="11.25">
      <c r="A55" s="426"/>
    </row>
    <row r="58" spans="1:11" s="321" customFormat="1" ht="11.25" customHeight="1">
      <c r="A58" s="428" t="s">
        <v>612</v>
      </c>
      <c r="H58" s="321" t="s">
        <v>613</v>
      </c>
      <c r="K58" s="321" t="s">
        <v>481</v>
      </c>
    </row>
    <row r="59" ht="11.25">
      <c r="A59" s="324"/>
    </row>
    <row r="67" s="265" customFormat="1" ht="11.25">
      <c r="A67" s="328" t="s">
        <v>614</v>
      </c>
    </row>
    <row r="68" ht="11.25">
      <c r="A68" s="429" t="s">
        <v>615</v>
      </c>
    </row>
  </sheetData>
  <printOptions/>
  <pageMargins left="0.25" right="0.25" top="0.6" bottom="0.86" header="0.22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/>
  <dimension ref="A1:P68"/>
  <sheetViews>
    <sheetView showGridLines="0" showZeros="0" workbookViewId="0" topLeftCell="A1">
      <selection activeCell="A55" sqref="A55"/>
    </sheetView>
  </sheetViews>
  <sheetFormatPr defaultColWidth="9.140625" defaultRowHeight="12.75"/>
  <cols>
    <col min="1" max="1" width="20.421875" style="381" customWidth="1"/>
    <col min="2" max="2" width="9.7109375" style="287" customWidth="1"/>
    <col min="3" max="3" width="9.57421875" style="287" customWidth="1"/>
    <col min="4" max="4" width="14.8515625" style="287" customWidth="1"/>
    <col min="5" max="9" width="10.57421875" style="287" customWidth="1"/>
    <col min="10" max="10" width="11.8515625" style="287" customWidth="1"/>
    <col min="11" max="12" width="11.00390625" style="287" customWidth="1"/>
    <col min="13" max="16" width="7.140625" style="287" customWidth="1"/>
    <col min="17" max="16384" width="8.00390625" style="287" customWidth="1"/>
  </cols>
  <sheetData>
    <row r="1" spans="1:12" s="265" customFormat="1" ht="12.75">
      <c r="A1" s="286" t="s">
        <v>616</v>
      </c>
      <c r="B1" s="286"/>
      <c r="C1" s="286"/>
      <c r="D1" s="286"/>
      <c r="E1" s="286"/>
      <c r="F1" s="286"/>
      <c r="G1" s="286"/>
      <c r="H1" s="286"/>
      <c r="I1" s="286"/>
      <c r="J1" s="286"/>
      <c r="K1" s="296"/>
      <c r="L1" s="378" t="s">
        <v>617</v>
      </c>
    </row>
    <row r="2" spans="1:12" s="265" customFormat="1" ht="12.75">
      <c r="A2" s="286"/>
      <c r="B2" s="286"/>
      <c r="C2" s="286"/>
      <c r="D2" s="286"/>
      <c r="E2" s="286"/>
      <c r="F2" s="286"/>
      <c r="G2" s="286"/>
      <c r="H2" s="286"/>
      <c r="I2" s="286"/>
      <c r="J2" s="286"/>
      <c r="K2" s="296"/>
      <c r="L2" s="378"/>
    </row>
    <row r="3" spans="1:12" s="299" customFormat="1" ht="12.7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378"/>
    </row>
    <row r="4" spans="1:16" s="386" customFormat="1" ht="15.75">
      <c r="A4" s="384" t="s">
        <v>618</v>
      </c>
      <c r="B4" s="384"/>
      <c r="C4" s="384"/>
      <c r="D4" s="291"/>
      <c r="E4" s="384"/>
      <c r="F4" s="384"/>
      <c r="G4" s="384"/>
      <c r="H4" s="384"/>
      <c r="I4" s="384"/>
      <c r="J4" s="384"/>
      <c r="K4" s="384"/>
      <c r="L4" s="384"/>
      <c r="M4" s="430"/>
      <c r="N4" s="430"/>
      <c r="O4" s="430"/>
      <c r="P4" s="430"/>
    </row>
    <row r="5" spans="1:16" s="386" customFormat="1" ht="15.75">
      <c r="A5" s="384" t="s">
        <v>445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430"/>
      <c r="N5" s="430"/>
      <c r="O5" s="430"/>
      <c r="P5" s="430"/>
    </row>
    <row r="6" spans="1:16" ht="12.75">
      <c r="A6" s="431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</row>
    <row r="7" spans="1:16" s="265" customFormat="1" ht="11.25">
      <c r="A7" s="387"/>
      <c r="B7" s="296"/>
      <c r="C7" s="296"/>
      <c r="D7" s="296"/>
      <c r="E7" s="296"/>
      <c r="F7" s="296"/>
      <c r="G7" s="296"/>
      <c r="H7" s="296"/>
      <c r="I7" s="296"/>
      <c r="J7" s="296"/>
      <c r="K7" s="296" t="s">
        <v>619</v>
      </c>
      <c r="L7" s="296"/>
      <c r="N7" s="296"/>
      <c r="O7" s="296"/>
      <c r="P7" s="296"/>
    </row>
    <row r="8" spans="1:16" s="299" customFormat="1" ht="12.75">
      <c r="A8" s="432"/>
      <c r="B8" s="433"/>
      <c r="C8" s="433"/>
      <c r="D8" s="434"/>
      <c r="E8" s="434"/>
      <c r="F8" s="435" t="s">
        <v>620</v>
      </c>
      <c r="G8" s="394"/>
      <c r="H8" s="394"/>
      <c r="I8" s="436"/>
      <c r="J8" s="394"/>
      <c r="K8" s="394"/>
      <c r="L8" s="437"/>
      <c r="N8" s="286"/>
      <c r="O8" s="286"/>
      <c r="P8" s="286"/>
    </row>
    <row r="9" spans="1:12" s="324" customFormat="1" ht="11.25">
      <c r="A9" s="438"/>
      <c r="B9" s="439"/>
      <c r="C9" s="439"/>
      <c r="D9" s="397"/>
      <c r="E9" s="397"/>
      <c r="F9" s="397"/>
      <c r="G9" s="397"/>
      <c r="H9" s="440" t="s">
        <v>557</v>
      </c>
      <c r="I9" s="441"/>
      <c r="J9" s="397"/>
      <c r="K9" s="397"/>
      <c r="L9" s="442"/>
    </row>
    <row r="10" spans="1:16" ht="45">
      <c r="A10" s="438" t="s">
        <v>621</v>
      </c>
      <c r="B10" s="443" t="s">
        <v>622</v>
      </c>
      <c r="C10" s="443" t="s">
        <v>623</v>
      </c>
      <c r="D10" s="443" t="s">
        <v>624</v>
      </c>
      <c r="E10" s="443" t="s">
        <v>625</v>
      </c>
      <c r="F10" s="443" t="s">
        <v>422</v>
      </c>
      <c r="G10" s="443" t="s">
        <v>626</v>
      </c>
      <c r="H10" s="443" t="s">
        <v>568</v>
      </c>
      <c r="I10" s="443" t="s">
        <v>569</v>
      </c>
      <c r="J10" s="443" t="s">
        <v>432</v>
      </c>
      <c r="K10" s="443" t="s">
        <v>434</v>
      </c>
      <c r="L10" s="444" t="s">
        <v>627</v>
      </c>
      <c r="M10" s="350"/>
      <c r="N10" s="294"/>
      <c r="O10" s="294"/>
      <c r="P10" s="294"/>
    </row>
    <row r="11" spans="1:16" s="265" customFormat="1" ht="11.25">
      <c r="A11" s="445">
        <v>1</v>
      </c>
      <c r="B11" s="446">
        <v>2</v>
      </c>
      <c r="C11" s="446">
        <v>3</v>
      </c>
      <c r="D11" s="446">
        <v>4</v>
      </c>
      <c r="E11" s="446">
        <v>5</v>
      </c>
      <c r="F11" s="446">
        <v>6</v>
      </c>
      <c r="G11" s="446">
        <v>7</v>
      </c>
      <c r="H11" s="446">
        <v>8</v>
      </c>
      <c r="I11" s="446">
        <v>9</v>
      </c>
      <c r="J11" s="446">
        <v>10</v>
      </c>
      <c r="K11" s="446">
        <v>11</v>
      </c>
      <c r="L11" s="447">
        <v>12</v>
      </c>
      <c r="M11" s="328"/>
      <c r="N11" s="296"/>
      <c r="O11" s="296"/>
      <c r="P11" s="296"/>
    </row>
    <row r="12" spans="1:13" ht="12">
      <c r="A12" s="448" t="s">
        <v>573</v>
      </c>
      <c r="B12" s="414">
        <v>3659230</v>
      </c>
      <c r="C12" s="414">
        <v>2892400</v>
      </c>
      <c r="D12" s="414">
        <v>766830</v>
      </c>
      <c r="E12" s="414">
        <v>-766830</v>
      </c>
      <c r="F12" s="414">
        <v>0</v>
      </c>
      <c r="G12" s="414">
        <v>-766830</v>
      </c>
      <c r="H12" s="414">
        <v>3600041</v>
      </c>
      <c r="I12" s="414">
        <v>4366871</v>
      </c>
      <c r="J12" s="414">
        <v>0</v>
      </c>
      <c r="K12" s="414">
        <v>0</v>
      </c>
      <c r="L12" s="415">
        <v>0</v>
      </c>
      <c r="M12" s="449"/>
    </row>
    <row r="13" spans="1:13" ht="12">
      <c r="A13" s="448" t="s">
        <v>574</v>
      </c>
      <c r="B13" s="414">
        <v>518560</v>
      </c>
      <c r="C13" s="414">
        <v>462634</v>
      </c>
      <c r="D13" s="414">
        <v>55926</v>
      </c>
      <c r="E13" s="414">
        <v>-55926</v>
      </c>
      <c r="F13" s="414">
        <v>0</v>
      </c>
      <c r="G13" s="414">
        <v>-55926</v>
      </c>
      <c r="H13" s="414">
        <v>36619</v>
      </c>
      <c r="I13" s="414">
        <v>92545</v>
      </c>
      <c r="J13" s="414">
        <v>0</v>
      </c>
      <c r="K13" s="414">
        <v>0</v>
      </c>
      <c r="L13" s="415">
        <v>0</v>
      </c>
      <c r="M13" s="449"/>
    </row>
    <row r="14" spans="1:13" ht="12">
      <c r="A14" s="448" t="s">
        <v>575</v>
      </c>
      <c r="B14" s="414">
        <v>411211</v>
      </c>
      <c r="C14" s="414">
        <v>494018</v>
      </c>
      <c r="D14" s="414">
        <v>-82807</v>
      </c>
      <c r="E14" s="414">
        <v>82807</v>
      </c>
      <c r="F14" s="414">
        <v>0</v>
      </c>
      <c r="G14" s="414">
        <v>82807</v>
      </c>
      <c r="H14" s="414">
        <v>263775</v>
      </c>
      <c r="I14" s="414">
        <v>180968</v>
      </c>
      <c r="J14" s="414">
        <v>0</v>
      </c>
      <c r="K14" s="414">
        <v>0</v>
      </c>
      <c r="L14" s="415">
        <v>0</v>
      </c>
      <c r="M14" s="449">
        <v>0</v>
      </c>
    </row>
    <row r="15" spans="1:13" ht="12">
      <c r="A15" s="448" t="s">
        <v>576</v>
      </c>
      <c r="B15" s="414">
        <v>1030399</v>
      </c>
      <c r="C15" s="414">
        <v>799433</v>
      </c>
      <c r="D15" s="414">
        <v>230966</v>
      </c>
      <c r="E15" s="414">
        <v>-230966</v>
      </c>
      <c r="F15" s="414">
        <v>0</v>
      </c>
      <c r="G15" s="414">
        <v>-230966</v>
      </c>
      <c r="H15" s="414">
        <v>344938</v>
      </c>
      <c r="I15" s="414">
        <v>575904</v>
      </c>
      <c r="J15" s="414">
        <v>0</v>
      </c>
      <c r="K15" s="414">
        <v>0</v>
      </c>
      <c r="L15" s="415">
        <v>0</v>
      </c>
      <c r="M15" s="449">
        <v>0</v>
      </c>
    </row>
    <row r="16" spans="1:13" ht="12">
      <c r="A16" s="448" t="s">
        <v>577</v>
      </c>
      <c r="B16" s="414">
        <v>388945</v>
      </c>
      <c r="C16" s="414">
        <v>367180</v>
      </c>
      <c r="D16" s="414">
        <v>21765</v>
      </c>
      <c r="E16" s="414">
        <v>-21765</v>
      </c>
      <c r="F16" s="414">
        <v>0</v>
      </c>
      <c r="G16" s="414">
        <v>-21765</v>
      </c>
      <c r="H16" s="414">
        <v>150617</v>
      </c>
      <c r="I16" s="414">
        <v>172382</v>
      </c>
      <c r="J16" s="414">
        <v>0</v>
      </c>
      <c r="K16" s="414">
        <v>0</v>
      </c>
      <c r="L16" s="415">
        <v>0</v>
      </c>
      <c r="M16" s="449">
        <v>0</v>
      </c>
    </row>
    <row r="17" spans="1:13" ht="12">
      <c r="A17" s="448" t="s">
        <v>578</v>
      </c>
      <c r="B17" s="414">
        <v>163594</v>
      </c>
      <c r="C17" s="414">
        <v>109385</v>
      </c>
      <c r="D17" s="414">
        <v>54209</v>
      </c>
      <c r="E17" s="414">
        <v>-54209</v>
      </c>
      <c r="F17" s="414">
        <v>0</v>
      </c>
      <c r="G17" s="414">
        <v>-54209</v>
      </c>
      <c r="H17" s="414">
        <v>38765</v>
      </c>
      <c r="I17" s="414">
        <v>92974</v>
      </c>
      <c r="J17" s="414">
        <v>0</v>
      </c>
      <c r="K17" s="414">
        <v>0</v>
      </c>
      <c r="L17" s="415">
        <v>0</v>
      </c>
      <c r="M17" s="449">
        <v>0</v>
      </c>
    </row>
    <row r="18" spans="1:13" ht="12">
      <c r="A18" s="448" t="s">
        <v>579</v>
      </c>
      <c r="B18" s="414">
        <v>1956069</v>
      </c>
      <c r="C18" s="414">
        <v>883224</v>
      </c>
      <c r="D18" s="414">
        <v>1072845</v>
      </c>
      <c r="E18" s="414">
        <v>-1072845</v>
      </c>
      <c r="F18" s="414">
        <v>0</v>
      </c>
      <c r="G18" s="414">
        <v>-1072845</v>
      </c>
      <c r="H18" s="414">
        <v>2268757</v>
      </c>
      <c r="I18" s="414">
        <v>3341602</v>
      </c>
      <c r="J18" s="414">
        <v>0</v>
      </c>
      <c r="K18" s="414">
        <v>0</v>
      </c>
      <c r="L18" s="415">
        <v>0</v>
      </c>
      <c r="M18" s="427">
        <v>0</v>
      </c>
    </row>
    <row r="19" spans="1:16" s="452" customFormat="1" ht="12.75">
      <c r="A19" s="450" t="s">
        <v>580</v>
      </c>
      <c r="B19" s="414">
        <f aca="true" t="shared" si="0" ref="B19:L19">SUM(B12:B18)</f>
        <v>8128000</v>
      </c>
      <c r="C19" s="414">
        <f t="shared" si="0"/>
        <v>6008000</v>
      </c>
      <c r="D19" s="414">
        <f t="shared" si="0"/>
        <v>2120000</v>
      </c>
      <c r="E19" s="414">
        <f t="shared" si="0"/>
        <v>-2120000</v>
      </c>
      <c r="F19" s="414">
        <f t="shared" si="0"/>
        <v>0</v>
      </c>
      <c r="G19" s="414">
        <f t="shared" si="0"/>
        <v>-2120000</v>
      </c>
      <c r="H19" s="414">
        <f t="shared" si="0"/>
        <v>6704000</v>
      </c>
      <c r="I19" s="414">
        <f t="shared" si="0"/>
        <v>8823000</v>
      </c>
      <c r="J19" s="414">
        <f t="shared" si="0"/>
        <v>0</v>
      </c>
      <c r="K19" s="414">
        <f t="shared" si="0"/>
        <v>0</v>
      </c>
      <c r="L19" s="415">
        <f t="shared" si="0"/>
        <v>0</v>
      </c>
      <c r="M19" s="451">
        <v>0</v>
      </c>
      <c r="N19" s="451"/>
      <c r="O19" s="451"/>
      <c r="P19" s="451"/>
    </row>
    <row r="20" spans="1:13" ht="12">
      <c r="A20" s="448" t="s">
        <v>582</v>
      </c>
      <c r="B20" s="414">
        <v>176942</v>
      </c>
      <c r="C20" s="414">
        <v>194046</v>
      </c>
      <c r="D20" s="414">
        <v>-17104</v>
      </c>
      <c r="E20" s="414">
        <v>17104</v>
      </c>
      <c r="F20" s="414">
        <v>0</v>
      </c>
      <c r="G20" s="414">
        <v>17104</v>
      </c>
      <c r="H20" s="414">
        <v>177557</v>
      </c>
      <c r="I20" s="414">
        <v>160453</v>
      </c>
      <c r="J20" s="414">
        <v>0</v>
      </c>
      <c r="K20" s="414">
        <v>0</v>
      </c>
      <c r="L20" s="415">
        <v>0</v>
      </c>
      <c r="M20" s="449">
        <v>0</v>
      </c>
    </row>
    <row r="21" spans="1:13" ht="12">
      <c r="A21" s="448" t="s">
        <v>583</v>
      </c>
      <c r="B21" s="414">
        <v>166211</v>
      </c>
      <c r="C21" s="414">
        <v>208391</v>
      </c>
      <c r="D21" s="414">
        <v>-42180</v>
      </c>
      <c r="E21" s="414">
        <v>42180</v>
      </c>
      <c r="F21" s="414">
        <v>0</v>
      </c>
      <c r="G21" s="414">
        <v>42180</v>
      </c>
      <c r="H21" s="414">
        <v>207851</v>
      </c>
      <c r="I21" s="414">
        <v>165671</v>
      </c>
      <c r="J21" s="414">
        <v>0</v>
      </c>
      <c r="K21" s="414">
        <v>0</v>
      </c>
      <c r="L21" s="415">
        <v>0</v>
      </c>
      <c r="M21" s="449"/>
    </row>
    <row r="22" spans="1:13" ht="12">
      <c r="A22" s="448" t="s">
        <v>584</v>
      </c>
      <c r="B22" s="414">
        <v>238787</v>
      </c>
      <c r="C22" s="414">
        <v>270945</v>
      </c>
      <c r="D22" s="414">
        <v>-32158</v>
      </c>
      <c r="E22" s="414">
        <v>32158</v>
      </c>
      <c r="F22" s="414">
        <v>0</v>
      </c>
      <c r="G22" s="414">
        <v>32158</v>
      </c>
      <c r="H22" s="414">
        <v>207209</v>
      </c>
      <c r="I22" s="414">
        <v>175051</v>
      </c>
      <c r="J22" s="414">
        <v>0</v>
      </c>
      <c r="K22" s="414">
        <v>0</v>
      </c>
      <c r="L22" s="415">
        <v>0</v>
      </c>
      <c r="M22" s="449"/>
    </row>
    <row r="23" spans="1:13" ht="12">
      <c r="A23" s="448" t="s">
        <v>585</v>
      </c>
      <c r="B23" s="414">
        <v>237538</v>
      </c>
      <c r="C23" s="414">
        <v>263965</v>
      </c>
      <c r="D23" s="414">
        <v>-26427</v>
      </c>
      <c r="E23" s="414">
        <v>26427</v>
      </c>
      <c r="F23" s="414">
        <v>0</v>
      </c>
      <c r="G23" s="414">
        <v>26427</v>
      </c>
      <c r="H23" s="414">
        <v>214081</v>
      </c>
      <c r="I23" s="414">
        <v>187654</v>
      </c>
      <c r="J23" s="414">
        <v>0</v>
      </c>
      <c r="K23" s="414">
        <v>0</v>
      </c>
      <c r="L23" s="415">
        <v>0</v>
      </c>
      <c r="M23" s="449"/>
    </row>
    <row r="24" spans="1:13" ht="12">
      <c r="A24" s="448" t="s">
        <v>586</v>
      </c>
      <c r="B24" s="414">
        <v>350108</v>
      </c>
      <c r="C24" s="414">
        <v>449334</v>
      </c>
      <c r="D24" s="414">
        <v>-99226</v>
      </c>
      <c r="E24" s="414">
        <v>99226</v>
      </c>
      <c r="F24" s="414">
        <v>-550</v>
      </c>
      <c r="G24" s="414">
        <v>99776</v>
      </c>
      <c r="H24" s="414">
        <v>300636</v>
      </c>
      <c r="I24" s="414">
        <v>200860</v>
      </c>
      <c r="J24" s="414">
        <v>0</v>
      </c>
      <c r="K24" s="414">
        <v>0</v>
      </c>
      <c r="L24" s="415">
        <v>0</v>
      </c>
      <c r="M24" s="449"/>
    </row>
    <row r="25" spans="1:13" ht="12">
      <c r="A25" s="448" t="s">
        <v>587</v>
      </c>
      <c r="B25" s="414">
        <v>296221</v>
      </c>
      <c r="C25" s="414">
        <v>357925</v>
      </c>
      <c r="D25" s="414">
        <v>-61704</v>
      </c>
      <c r="E25" s="414">
        <v>61704</v>
      </c>
      <c r="F25" s="414">
        <v>0</v>
      </c>
      <c r="G25" s="414">
        <v>61704</v>
      </c>
      <c r="H25" s="414">
        <v>173160</v>
      </c>
      <c r="I25" s="414">
        <v>111456</v>
      </c>
      <c r="J25" s="414">
        <v>0</v>
      </c>
      <c r="K25" s="414">
        <v>0</v>
      </c>
      <c r="L25" s="415">
        <v>0</v>
      </c>
      <c r="M25" s="449"/>
    </row>
    <row r="26" spans="1:13" ht="12">
      <c r="A26" s="448" t="s">
        <v>588</v>
      </c>
      <c r="B26" s="414">
        <v>222295</v>
      </c>
      <c r="C26" s="414">
        <v>222200</v>
      </c>
      <c r="D26" s="414"/>
      <c r="E26" s="414">
        <v>-95</v>
      </c>
      <c r="F26" s="414">
        <v>0</v>
      </c>
      <c r="G26" s="414">
        <v>-95</v>
      </c>
      <c r="H26" s="414">
        <v>250003</v>
      </c>
      <c r="I26" s="414">
        <v>250098</v>
      </c>
      <c r="J26" s="414">
        <v>0</v>
      </c>
      <c r="K26" s="414">
        <v>0</v>
      </c>
      <c r="L26" s="415">
        <v>0</v>
      </c>
      <c r="M26" s="449"/>
    </row>
    <row r="27" spans="1:13" ht="12">
      <c r="A27" s="448" t="s">
        <v>589</v>
      </c>
      <c r="B27" s="414">
        <v>179955</v>
      </c>
      <c r="C27" s="414">
        <v>175182</v>
      </c>
      <c r="D27" s="414">
        <v>4773</v>
      </c>
      <c r="E27" s="414">
        <v>-4773</v>
      </c>
      <c r="F27" s="414">
        <v>847</v>
      </c>
      <c r="G27" s="414">
        <v>-5620</v>
      </c>
      <c r="H27" s="414">
        <v>115567</v>
      </c>
      <c r="I27" s="414">
        <v>121187</v>
      </c>
      <c r="J27" s="414">
        <v>0</v>
      </c>
      <c r="K27" s="414">
        <v>0</v>
      </c>
      <c r="L27" s="415">
        <v>0</v>
      </c>
      <c r="M27" s="449"/>
    </row>
    <row r="28" spans="1:13" ht="12">
      <c r="A28" s="448" t="s">
        <v>590</v>
      </c>
      <c r="B28" s="414">
        <v>298277</v>
      </c>
      <c r="C28" s="414">
        <v>215222</v>
      </c>
      <c r="D28" s="414">
        <v>83055</v>
      </c>
      <c r="E28" s="414">
        <v>-83055</v>
      </c>
      <c r="F28" s="414">
        <v>0</v>
      </c>
      <c r="G28" s="414">
        <v>-83055</v>
      </c>
      <c r="H28" s="414">
        <v>199657</v>
      </c>
      <c r="I28" s="414">
        <v>282712</v>
      </c>
      <c r="J28" s="414">
        <v>0</v>
      </c>
      <c r="K28" s="414">
        <v>0</v>
      </c>
      <c r="L28" s="415">
        <v>0</v>
      </c>
      <c r="M28" s="449"/>
    </row>
    <row r="29" spans="1:13" ht="12">
      <c r="A29" s="448" t="s">
        <v>591</v>
      </c>
      <c r="B29" s="414">
        <v>320133</v>
      </c>
      <c r="C29" s="414">
        <v>343687</v>
      </c>
      <c r="D29" s="414">
        <v>-23554</v>
      </c>
      <c r="E29" s="414">
        <v>23554</v>
      </c>
      <c r="F29" s="414">
        <v>0</v>
      </c>
      <c r="G29" s="414">
        <v>23554</v>
      </c>
      <c r="H29" s="414">
        <v>170686</v>
      </c>
      <c r="I29" s="414">
        <v>147132</v>
      </c>
      <c r="J29" s="414">
        <v>0</v>
      </c>
      <c r="K29" s="414">
        <v>0</v>
      </c>
      <c r="L29" s="415">
        <v>0</v>
      </c>
      <c r="M29" s="449"/>
    </row>
    <row r="30" spans="1:13" ht="12">
      <c r="A30" s="448" t="s">
        <v>592</v>
      </c>
      <c r="B30" s="414">
        <v>309326</v>
      </c>
      <c r="C30" s="414">
        <v>387054</v>
      </c>
      <c r="D30" s="414">
        <v>-77728</v>
      </c>
      <c r="E30" s="414">
        <v>77728</v>
      </c>
      <c r="F30" s="414">
        <v>0</v>
      </c>
      <c r="G30" s="414">
        <v>77728</v>
      </c>
      <c r="H30" s="414">
        <v>256279</v>
      </c>
      <c r="I30" s="414">
        <v>178551</v>
      </c>
      <c r="J30" s="414">
        <v>0</v>
      </c>
      <c r="K30" s="414">
        <v>0</v>
      </c>
      <c r="L30" s="415">
        <v>0</v>
      </c>
      <c r="M30" s="449"/>
    </row>
    <row r="31" spans="1:13" ht="12">
      <c r="A31" s="448" t="s">
        <v>593</v>
      </c>
      <c r="B31" s="414">
        <v>334518</v>
      </c>
      <c r="C31" s="414">
        <v>319502</v>
      </c>
      <c r="D31" s="414">
        <v>15016</v>
      </c>
      <c r="E31" s="414">
        <v>-15016</v>
      </c>
      <c r="F31" s="414">
        <v>-18700</v>
      </c>
      <c r="G31" s="414">
        <v>3684</v>
      </c>
      <c r="H31" s="414">
        <v>272963</v>
      </c>
      <c r="I31" s="414">
        <v>269279</v>
      </c>
      <c r="J31" s="414">
        <v>0</v>
      </c>
      <c r="K31" s="414">
        <v>0</v>
      </c>
      <c r="L31" s="415">
        <v>0</v>
      </c>
      <c r="M31" s="449"/>
    </row>
    <row r="32" spans="1:13" ht="12">
      <c r="A32" s="448" t="s">
        <v>594</v>
      </c>
      <c r="B32" s="414">
        <v>414749</v>
      </c>
      <c r="C32" s="414">
        <v>472149</v>
      </c>
      <c r="D32" s="414">
        <v>-57400</v>
      </c>
      <c r="E32" s="414">
        <v>57400</v>
      </c>
      <c r="F32" s="414">
        <v>0</v>
      </c>
      <c r="G32" s="414">
        <v>56929</v>
      </c>
      <c r="H32" s="414">
        <v>229569</v>
      </c>
      <c r="I32" s="414">
        <v>172640</v>
      </c>
      <c r="J32" s="414">
        <v>0</v>
      </c>
      <c r="K32" s="414"/>
      <c r="L32" s="415">
        <v>0</v>
      </c>
      <c r="M32" s="449"/>
    </row>
    <row r="33" spans="1:13" ht="12">
      <c r="A33" s="448" t="s">
        <v>595</v>
      </c>
      <c r="B33" s="414">
        <v>374000</v>
      </c>
      <c r="C33" s="414">
        <v>385028</v>
      </c>
      <c r="D33" s="414">
        <v>-11028</v>
      </c>
      <c r="E33" s="414">
        <v>11028</v>
      </c>
      <c r="F33" s="414">
        <v>0</v>
      </c>
      <c r="G33" s="414">
        <v>11028</v>
      </c>
      <c r="H33" s="414">
        <v>310507</v>
      </c>
      <c r="I33" s="414">
        <v>299479</v>
      </c>
      <c r="J33" s="414">
        <v>0</v>
      </c>
      <c r="K33" s="414">
        <v>0</v>
      </c>
      <c r="L33" s="415">
        <v>0</v>
      </c>
      <c r="M33" s="449"/>
    </row>
    <row r="34" spans="1:13" ht="12">
      <c r="A34" s="448" t="s">
        <v>596</v>
      </c>
      <c r="B34" s="414">
        <v>220584</v>
      </c>
      <c r="C34" s="414">
        <v>331049</v>
      </c>
      <c r="D34" s="414">
        <v>-110465</v>
      </c>
      <c r="E34" s="414">
        <v>110465</v>
      </c>
      <c r="F34" s="414">
        <v>28571</v>
      </c>
      <c r="G34" s="414">
        <v>81894</v>
      </c>
      <c r="H34" s="414">
        <v>308338</v>
      </c>
      <c r="I34" s="414">
        <v>226444</v>
      </c>
      <c r="J34" s="414">
        <v>0</v>
      </c>
      <c r="K34" s="414">
        <v>0</v>
      </c>
      <c r="L34" s="415">
        <v>0</v>
      </c>
      <c r="M34" s="449"/>
    </row>
    <row r="35" spans="1:13" ht="12">
      <c r="A35" s="448" t="s">
        <v>597</v>
      </c>
      <c r="B35" s="414">
        <v>250904</v>
      </c>
      <c r="C35" s="414">
        <v>297518</v>
      </c>
      <c r="D35" s="414">
        <v>-46614</v>
      </c>
      <c r="E35" s="414">
        <v>46614</v>
      </c>
      <c r="F35" s="414">
        <v>-3250</v>
      </c>
      <c r="G35" s="414">
        <v>49864</v>
      </c>
      <c r="H35" s="414">
        <v>251097</v>
      </c>
      <c r="I35" s="414">
        <v>201233</v>
      </c>
      <c r="J35" s="414">
        <v>0</v>
      </c>
      <c r="K35" s="414">
        <v>0</v>
      </c>
      <c r="L35" s="415">
        <v>0</v>
      </c>
      <c r="M35" s="449"/>
    </row>
    <row r="36" spans="1:13" ht="12">
      <c r="A36" s="448" t="s">
        <v>598</v>
      </c>
      <c r="B36" s="414">
        <v>376086</v>
      </c>
      <c r="C36" s="414">
        <v>394758</v>
      </c>
      <c r="D36" s="414">
        <v>-18672</v>
      </c>
      <c r="E36" s="414">
        <v>18672</v>
      </c>
      <c r="F36" s="414">
        <v>0</v>
      </c>
      <c r="G36" s="414">
        <v>19572</v>
      </c>
      <c r="H36" s="414">
        <v>325801</v>
      </c>
      <c r="I36" s="414">
        <v>306229</v>
      </c>
      <c r="J36" s="414">
        <v>0</v>
      </c>
      <c r="K36" s="414">
        <v>-900</v>
      </c>
      <c r="L36" s="415">
        <v>0</v>
      </c>
      <c r="M36" s="449"/>
    </row>
    <row r="37" spans="1:13" ht="12">
      <c r="A37" s="448" t="s">
        <v>599</v>
      </c>
      <c r="B37" s="414">
        <v>364328</v>
      </c>
      <c r="C37" s="414">
        <v>462347</v>
      </c>
      <c r="D37" s="414">
        <v>-98019</v>
      </c>
      <c r="E37" s="414">
        <v>98019</v>
      </c>
      <c r="F37" s="414">
        <v>0</v>
      </c>
      <c r="G37" s="414">
        <v>98019</v>
      </c>
      <c r="H37" s="414">
        <v>167543</v>
      </c>
      <c r="I37" s="414">
        <v>69524</v>
      </c>
      <c r="J37" s="414">
        <v>0</v>
      </c>
      <c r="K37" s="414">
        <v>0</v>
      </c>
      <c r="L37" s="415">
        <v>0</v>
      </c>
      <c r="M37" s="449"/>
    </row>
    <row r="38" spans="1:13" ht="12">
      <c r="A38" s="448" t="s">
        <v>600</v>
      </c>
      <c r="B38" s="414">
        <v>161236</v>
      </c>
      <c r="C38" s="414">
        <v>182939</v>
      </c>
      <c r="D38" s="414">
        <v>-21703</v>
      </c>
      <c r="E38" s="414">
        <v>21703</v>
      </c>
      <c r="F38" s="414">
        <v>0</v>
      </c>
      <c r="G38" s="414">
        <v>21703</v>
      </c>
      <c r="H38" s="414">
        <v>194456</v>
      </c>
      <c r="I38" s="414">
        <v>172753</v>
      </c>
      <c r="J38" s="414">
        <v>0</v>
      </c>
      <c r="K38" s="414">
        <v>0</v>
      </c>
      <c r="L38" s="415">
        <v>0</v>
      </c>
      <c r="M38" s="449"/>
    </row>
    <row r="39" spans="1:13" ht="12">
      <c r="A39" s="448" t="s">
        <v>601</v>
      </c>
      <c r="B39" s="414">
        <v>1165320</v>
      </c>
      <c r="C39" s="414">
        <v>1185563</v>
      </c>
      <c r="D39" s="414">
        <v>-20243</v>
      </c>
      <c r="E39" s="414">
        <v>20243</v>
      </c>
      <c r="F39" s="414">
        <v>0</v>
      </c>
      <c r="G39" s="414">
        <v>20243</v>
      </c>
      <c r="H39" s="414">
        <v>588844</v>
      </c>
      <c r="I39" s="414">
        <v>568601</v>
      </c>
      <c r="J39" s="414">
        <v>0</v>
      </c>
      <c r="K39" s="414">
        <v>0</v>
      </c>
      <c r="L39" s="415">
        <v>0</v>
      </c>
      <c r="M39" s="449"/>
    </row>
    <row r="40" spans="1:13" ht="12">
      <c r="A40" s="448" t="s">
        <v>602</v>
      </c>
      <c r="B40" s="414">
        <v>228822</v>
      </c>
      <c r="C40" s="414">
        <v>255616</v>
      </c>
      <c r="D40" s="414">
        <v>-26794</v>
      </c>
      <c r="E40" s="414">
        <v>26794</v>
      </c>
      <c r="F40" s="414">
        <v>0</v>
      </c>
      <c r="G40" s="414">
        <v>26794</v>
      </c>
      <c r="H40" s="414">
        <v>293897</v>
      </c>
      <c r="I40" s="414">
        <v>268000</v>
      </c>
      <c r="J40" s="414">
        <v>0</v>
      </c>
      <c r="K40" s="414">
        <v>0</v>
      </c>
      <c r="L40" s="415">
        <v>0</v>
      </c>
      <c r="M40" s="449"/>
    </row>
    <row r="41" spans="1:13" ht="12">
      <c r="A41" s="448" t="s">
        <v>603</v>
      </c>
      <c r="B41" s="414">
        <v>412609</v>
      </c>
      <c r="C41" s="414">
        <v>363401</v>
      </c>
      <c r="D41" s="414">
        <v>49000</v>
      </c>
      <c r="E41" s="414">
        <v>-49000</v>
      </c>
      <c r="F41" s="414">
        <v>0</v>
      </c>
      <c r="G41" s="414">
        <v>-49208</v>
      </c>
      <c r="H41" s="414">
        <v>267925</v>
      </c>
      <c r="I41" s="414">
        <v>317133</v>
      </c>
      <c r="J41" s="414">
        <v>0</v>
      </c>
      <c r="K41" s="414">
        <v>0</v>
      </c>
      <c r="L41" s="415">
        <v>0</v>
      </c>
      <c r="M41" s="449"/>
    </row>
    <row r="42" spans="1:13" ht="12">
      <c r="A42" s="448" t="s">
        <v>604</v>
      </c>
      <c r="B42" s="414">
        <v>340123</v>
      </c>
      <c r="C42" s="414">
        <v>439475</v>
      </c>
      <c r="D42" s="414">
        <v>-99352</v>
      </c>
      <c r="E42" s="414">
        <v>99352</v>
      </c>
      <c r="F42" s="414">
        <v>34800</v>
      </c>
      <c r="G42" s="414">
        <v>64552</v>
      </c>
      <c r="H42" s="414">
        <v>205056</v>
      </c>
      <c r="I42" s="414">
        <v>140504</v>
      </c>
      <c r="J42" s="414">
        <v>0</v>
      </c>
      <c r="K42" s="414">
        <v>0</v>
      </c>
      <c r="L42" s="415">
        <v>0</v>
      </c>
      <c r="M42" s="449"/>
    </row>
    <row r="43" spans="1:13" ht="12">
      <c r="A43" s="448" t="s">
        <v>605</v>
      </c>
      <c r="B43" s="414">
        <v>176003</v>
      </c>
      <c r="C43" s="414">
        <v>193968</v>
      </c>
      <c r="D43" s="414">
        <v>-17965</v>
      </c>
      <c r="E43" s="414">
        <v>17965</v>
      </c>
      <c r="F43" s="414">
        <v>0</v>
      </c>
      <c r="G43" s="414">
        <v>17965</v>
      </c>
      <c r="H43" s="414">
        <v>143314</v>
      </c>
      <c r="I43" s="414">
        <v>125349</v>
      </c>
      <c r="J43" s="414">
        <v>0</v>
      </c>
      <c r="K43" s="414">
        <v>0</v>
      </c>
      <c r="L43" s="415">
        <v>0</v>
      </c>
      <c r="M43" s="449"/>
    </row>
    <row r="44" spans="1:13" ht="12">
      <c r="A44" s="448" t="s">
        <v>606</v>
      </c>
      <c r="B44" s="414">
        <v>278996</v>
      </c>
      <c r="C44" s="414">
        <v>279606</v>
      </c>
      <c r="D44" s="414">
        <v>-610</v>
      </c>
      <c r="E44" s="414">
        <v>610</v>
      </c>
      <c r="F44" s="414">
        <v>0</v>
      </c>
      <c r="G44" s="414"/>
      <c r="H44" s="414">
        <v>288716</v>
      </c>
      <c r="I44" s="414">
        <v>288688</v>
      </c>
      <c r="J44" s="414">
        <v>0</v>
      </c>
      <c r="K44" s="414">
        <v>582</v>
      </c>
      <c r="L44" s="415">
        <v>0</v>
      </c>
      <c r="M44" s="449"/>
    </row>
    <row r="45" spans="1:13" ht="12">
      <c r="A45" s="448" t="s">
        <v>607</v>
      </c>
      <c r="B45" s="414">
        <v>220091</v>
      </c>
      <c r="C45" s="414">
        <v>256738</v>
      </c>
      <c r="D45" s="414">
        <v>-36647</v>
      </c>
      <c r="E45" s="414">
        <v>36647</v>
      </c>
      <c r="F45" s="414">
        <v>0</v>
      </c>
      <c r="G45" s="414">
        <v>36647</v>
      </c>
      <c r="H45" s="414">
        <v>320307</v>
      </c>
      <c r="I45" s="414">
        <v>283660</v>
      </c>
      <c r="J45" s="414">
        <v>0</v>
      </c>
      <c r="K45" s="414">
        <v>0</v>
      </c>
      <c r="L45" s="415">
        <v>0</v>
      </c>
      <c r="M45" s="449"/>
    </row>
    <row r="46" spans="1:12" ht="12.75">
      <c r="A46" s="450" t="s">
        <v>608</v>
      </c>
      <c r="B46" s="414">
        <f aca="true" t="shared" si="1" ref="B46:L46">SUM(B20:B45)</f>
        <v>8114000</v>
      </c>
      <c r="C46" s="414">
        <f t="shared" si="1"/>
        <v>8908000</v>
      </c>
      <c r="D46" s="414">
        <f t="shared" si="1"/>
        <v>-794000</v>
      </c>
      <c r="E46" s="414">
        <f t="shared" si="1"/>
        <v>794000</v>
      </c>
      <c r="F46" s="414">
        <f t="shared" si="1"/>
        <v>42000</v>
      </c>
      <c r="G46" s="414">
        <f t="shared" si="1"/>
        <v>752000</v>
      </c>
      <c r="H46" s="414">
        <f t="shared" si="1"/>
        <v>6441000</v>
      </c>
      <c r="I46" s="414">
        <f t="shared" si="1"/>
        <v>5690000</v>
      </c>
      <c r="J46" s="414">
        <f t="shared" si="1"/>
        <v>0</v>
      </c>
      <c r="K46" s="414">
        <f t="shared" si="1"/>
        <v>0</v>
      </c>
      <c r="L46" s="415">
        <f t="shared" si="1"/>
        <v>0</v>
      </c>
    </row>
    <row r="47" spans="1:12" ht="12.75">
      <c r="A47" s="453" t="s">
        <v>609</v>
      </c>
      <c r="B47" s="419">
        <f aca="true" t="shared" si="2" ref="B47:L47">SUM(B46,B19)</f>
        <v>16242000</v>
      </c>
      <c r="C47" s="419">
        <f t="shared" si="2"/>
        <v>14916000</v>
      </c>
      <c r="D47" s="419">
        <f t="shared" si="2"/>
        <v>1326000</v>
      </c>
      <c r="E47" s="419">
        <f t="shared" si="2"/>
        <v>-1326000</v>
      </c>
      <c r="F47" s="419">
        <f t="shared" si="2"/>
        <v>42000</v>
      </c>
      <c r="G47" s="419">
        <f t="shared" si="2"/>
        <v>-1368000</v>
      </c>
      <c r="H47" s="419">
        <f t="shared" si="2"/>
        <v>13145000</v>
      </c>
      <c r="I47" s="419">
        <f t="shared" si="2"/>
        <v>14513000</v>
      </c>
      <c r="J47" s="419">
        <f t="shared" si="2"/>
        <v>0</v>
      </c>
      <c r="K47" s="419">
        <f t="shared" si="2"/>
        <v>0</v>
      </c>
      <c r="L47" s="420">
        <f t="shared" si="2"/>
        <v>0</v>
      </c>
    </row>
    <row r="48" s="422" customFormat="1" ht="12">
      <c r="A48" s="421" t="s">
        <v>628</v>
      </c>
    </row>
    <row r="53" spans="1:11" s="321" customFormat="1" ht="11.25" customHeight="1">
      <c r="A53" s="428" t="s">
        <v>480</v>
      </c>
      <c r="H53" s="321" t="s">
        <v>613</v>
      </c>
      <c r="K53" s="321" t="s">
        <v>481</v>
      </c>
    </row>
    <row r="54" spans="1:16" s="422" customFormat="1" ht="12">
      <c r="A54" s="454"/>
      <c r="B54" s="346"/>
      <c r="C54" s="321"/>
      <c r="D54" s="346"/>
      <c r="E54" s="346"/>
      <c r="F54" s="346"/>
      <c r="G54" s="321"/>
      <c r="H54" s="425"/>
      <c r="I54" s="346"/>
      <c r="J54" s="346"/>
      <c r="K54" s="346"/>
      <c r="L54" s="346"/>
      <c r="M54" s="346"/>
      <c r="N54" s="346"/>
      <c r="O54" s="346"/>
      <c r="P54" s="346"/>
    </row>
    <row r="55" spans="1:8" s="458" customFormat="1" ht="11.25">
      <c r="A55" s="455"/>
      <c r="B55" s="456"/>
      <c r="C55" s="287"/>
      <c r="D55" s="457"/>
      <c r="E55" s="287"/>
      <c r="F55" s="457"/>
      <c r="G55" s="457"/>
      <c r="H55" s="287"/>
    </row>
    <row r="56" spans="1:9" s="427" customFormat="1" ht="12.75">
      <c r="A56" s="376"/>
      <c r="B56" s="459"/>
      <c r="C56" s="287"/>
      <c r="D56" s="460"/>
      <c r="E56" s="460"/>
      <c r="G56" s="461"/>
      <c r="I56" s="422"/>
    </row>
    <row r="57" spans="1:16" s="422" customFormat="1" ht="12">
      <c r="A57" s="454"/>
      <c r="B57" s="346"/>
      <c r="C57" s="321"/>
      <c r="D57" s="346"/>
      <c r="E57" s="346"/>
      <c r="F57" s="346"/>
      <c r="G57" s="321"/>
      <c r="H57" s="425"/>
      <c r="I57" s="346"/>
      <c r="J57" s="346"/>
      <c r="K57" s="346"/>
      <c r="L57" s="346"/>
      <c r="M57" s="346"/>
      <c r="N57" s="346"/>
      <c r="O57" s="346"/>
      <c r="P57" s="346"/>
    </row>
    <row r="58" s="427" customFormat="1" ht="11.25">
      <c r="A58" s="426"/>
    </row>
    <row r="59" spans="1:6" s="427" customFormat="1" ht="11.25">
      <c r="A59" s="426"/>
      <c r="B59" s="287"/>
      <c r="C59" s="287"/>
      <c r="D59" s="287"/>
      <c r="E59" s="287"/>
      <c r="F59" s="287"/>
    </row>
    <row r="67" s="328" customFormat="1" ht="11.25">
      <c r="A67" s="328" t="s">
        <v>87</v>
      </c>
    </row>
    <row r="68" ht="11.25">
      <c r="A68" s="429" t="s">
        <v>615</v>
      </c>
    </row>
  </sheetData>
  <printOptions/>
  <pageMargins left="0.7" right="0.2362204724409449" top="0.78" bottom="0.75" header="0.18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3"/>
  <dimension ref="A1:DW62"/>
  <sheetViews>
    <sheetView workbookViewId="0" topLeftCell="A1">
      <selection activeCell="A55" sqref="A55"/>
    </sheetView>
  </sheetViews>
  <sheetFormatPr defaultColWidth="9.140625" defaultRowHeight="12.75"/>
  <cols>
    <col min="1" max="1" width="64.8515625" style="287" customWidth="1"/>
    <col min="2" max="2" width="19.140625" style="287" customWidth="1"/>
    <col min="3" max="16384" width="8.00390625" style="287" customWidth="1"/>
  </cols>
  <sheetData>
    <row r="1" spans="1:4" s="265" customFormat="1" ht="12.75">
      <c r="A1" s="299" t="s">
        <v>629</v>
      </c>
      <c r="B1" s="299" t="s">
        <v>630</v>
      </c>
      <c r="D1" s="458"/>
    </row>
    <row r="2" spans="1:2" s="265" customFormat="1" ht="12.75">
      <c r="A2" s="299"/>
      <c r="B2" s="299"/>
    </row>
    <row r="3" s="321" customFormat="1" ht="12"/>
    <row r="4" s="321" customFormat="1" ht="15.75">
      <c r="A4" s="386" t="s">
        <v>631</v>
      </c>
    </row>
    <row r="5" s="321" customFormat="1" ht="15.75">
      <c r="A5" s="462" t="s">
        <v>632</v>
      </c>
    </row>
    <row r="6" spans="1:2" s="321" customFormat="1" ht="12">
      <c r="A6" s="458"/>
      <c r="B6" s="458"/>
    </row>
    <row r="7" spans="1:2" s="321" customFormat="1" ht="12">
      <c r="A7" s="463"/>
      <c r="B7" s="464" t="s">
        <v>633</v>
      </c>
    </row>
    <row r="8" spans="1:2" s="321" customFormat="1" ht="12.75">
      <c r="A8" s="465" t="s">
        <v>7</v>
      </c>
      <c r="B8" s="466" t="s">
        <v>634</v>
      </c>
    </row>
    <row r="9" spans="1:127" s="469" customFormat="1" ht="12.75">
      <c r="A9" s="467">
        <v>1</v>
      </c>
      <c r="B9" s="468">
        <v>2</v>
      </c>
      <c r="C9" s="321"/>
      <c r="D9" s="321"/>
      <c r="E9" s="321"/>
      <c r="F9" s="321"/>
      <c r="G9" s="321"/>
      <c r="H9" s="321"/>
      <c r="I9" s="321"/>
      <c r="J9" s="321"/>
      <c r="K9" s="321"/>
      <c r="L9" s="321"/>
      <c r="M9" s="321"/>
      <c r="N9" s="321"/>
      <c r="O9" s="321"/>
      <c r="P9" s="321"/>
      <c r="Q9" s="321"/>
      <c r="R9" s="321"/>
      <c r="S9" s="321"/>
      <c r="T9" s="321"/>
      <c r="U9" s="321"/>
      <c r="V9" s="321"/>
      <c r="W9" s="321"/>
      <c r="X9" s="321"/>
      <c r="Y9" s="321"/>
      <c r="Z9" s="321"/>
      <c r="AA9" s="321"/>
      <c r="AB9" s="321"/>
      <c r="AC9" s="321"/>
      <c r="AD9" s="321"/>
      <c r="AE9" s="321"/>
      <c r="AF9" s="321"/>
      <c r="AG9" s="321"/>
      <c r="AH9" s="321"/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  <c r="DT9" s="321"/>
      <c r="DU9" s="321"/>
      <c r="DV9" s="321"/>
      <c r="DW9" s="321"/>
    </row>
    <row r="10" spans="1:127" s="469" customFormat="1" ht="23.25" customHeight="1">
      <c r="A10" s="470" t="s">
        <v>635</v>
      </c>
      <c r="B10" s="471">
        <f>SUM(B11:B16)</f>
        <v>12629715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  <c r="S10" s="321"/>
      <c r="T10" s="321"/>
      <c r="U10" s="321"/>
      <c r="V10" s="321"/>
      <c r="W10" s="321"/>
      <c r="X10" s="321"/>
      <c r="Y10" s="321"/>
      <c r="Z10" s="321"/>
      <c r="AA10" s="321"/>
      <c r="AB10" s="321"/>
      <c r="AC10" s="321"/>
      <c r="AD10" s="321"/>
      <c r="AE10" s="321"/>
      <c r="AF10" s="321"/>
      <c r="AG10" s="321"/>
      <c r="AH10" s="321"/>
      <c r="AI10" s="321"/>
      <c r="AJ10" s="321"/>
      <c r="AK10" s="321"/>
      <c r="AL10" s="321"/>
      <c r="AM10" s="321"/>
      <c r="AN10" s="321"/>
      <c r="AO10" s="321"/>
      <c r="AP10" s="321"/>
      <c r="AQ10" s="321"/>
      <c r="AR10" s="321"/>
      <c r="AS10" s="321"/>
      <c r="AT10" s="321"/>
      <c r="AU10" s="321"/>
      <c r="AV10" s="321"/>
      <c r="AW10" s="321"/>
      <c r="AX10" s="321"/>
      <c r="AY10" s="321"/>
      <c r="AZ10" s="321"/>
      <c r="BA10" s="321"/>
      <c r="BB10" s="321"/>
      <c r="BC10" s="321"/>
      <c r="BD10" s="321"/>
      <c r="BE10" s="321"/>
      <c r="BF10" s="321"/>
      <c r="BG10" s="321"/>
      <c r="BH10" s="321"/>
      <c r="BI10" s="321"/>
      <c r="BJ10" s="321"/>
      <c r="BK10" s="321"/>
      <c r="BL10" s="321"/>
      <c r="BM10" s="321"/>
      <c r="BN10" s="321"/>
      <c r="BO10" s="321"/>
      <c r="BP10" s="321"/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</row>
    <row r="11" spans="1:127" s="469" customFormat="1" ht="23.25" customHeight="1">
      <c r="A11" s="472" t="s">
        <v>636</v>
      </c>
      <c r="B11" s="473">
        <v>9182</v>
      </c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  <c r="BL11" s="321"/>
      <c r="BM11" s="321"/>
      <c r="BN11" s="321"/>
      <c r="BO11" s="321"/>
      <c r="BP11" s="321"/>
      <c r="BQ11" s="321"/>
      <c r="BR11" s="321"/>
      <c r="BS11" s="321"/>
      <c r="BT11" s="321"/>
      <c r="BU11" s="321"/>
      <c r="BV11" s="321"/>
      <c r="BW11" s="321"/>
      <c r="BX11" s="321"/>
      <c r="BY11" s="321"/>
      <c r="BZ11" s="321"/>
      <c r="CA11" s="321"/>
      <c r="CB11" s="321"/>
      <c r="CC11" s="321"/>
      <c r="CD11" s="321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21"/>
      <c r="CY11" s="321"/>
      <c r="CZ11" s="321"/>
      <c r="DA11" s="321"/>
      <c r="DB11" s="321"/>
      <c r="DC11" s="321"/>
      <c r="DD11" s="321"/>
      <c r="DE11" s="321"/>
      <c r="DF11" s="321"/>
      <c r="DG11" s="321"/>
      <c r="DH11" s="321"/>
      <c r="DI11" s="321"/>
      <c r="DJ11" s="321"/>
      <c r="DK11" s="321"/>
      <c r="DL11" s="321"/>
      <c r="DM11" s="321"/>
      <c r="DN11" s="321"/>
      <c r="DO11" s="321"/>
      <c r="DP11" s="321"/>
      <c r="DQ11" s="321"/>
      <c r="DR11" s="321"/>
      <c r="DS11" s="321"/>
      <c r="DT11" s="321"/>
      <c r="DU11" s="321"/>
      <c r="DV11" s="321"/>
      <c r="DW11" s="321"/>
    </row>
    <row r="12" spans="1:127" s="469" customFormat="1" ht="19.5" customHeight="1">
      <c r="A12" s="474" t="s">
        <v>637</v>
      </c>
      <c r="B12" s="475"/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1"/>
      <c r="W12" s="321"/>
      <c r="X12" s="321"/>
      <c r="Y12" s="321"/>
      <c r="Z12" s="321"/>
      <c r="AA12" s="321"/>
      <c r="AB12" s="321"/>
      <c r="AC12" s="321"/>
      <c r="AD12" s="321"/>
      <c r="AE12" s="321"/>
      <c r="AF12" s="321"/>
      <c r="AG12" s="321"/>
      <c r="AH12" s="321"/>
      <c r="AI12" s="321"/>
      <c r="AJ12" s="321"/>
      <c r="AK12" s="321"/>
      <c r="AL12" s="321"/>
      <c r="AM12" s="321"/>
      <c r="AN12" s="321"/>
      <c r="AO12" s="321"/>
      <c r="AP12" s="321"/>
      <c r="AQ12" s="321"/>
      <c r="AR12" s="321"/>
      <c r="AS12" s="321"/>
      <c r="AT12" s="321"/>
      <c r="AU12" s="321"/>
      <c r="AV12" s="321"/>
      <c r="AW12" s="321"/>
      <c r="AX12" s="321"/>
      <c r="AY12" s="321"/>
      <c r="AZ12" s="321"/>
      <c r="BA12" s="321"/>
      <c r="BB12" s="321"/>
      <c r="BC12" s="321"/>
      <c r="BD12" s="321"/>
      <c r="BE12" s="321"/>
      <c r="BF12" s="321"/>
      <c r="BG12" s="321"/>
      <c r="BH12" s="321"/>
      <c r="BI12" s="321"/>
      <c r="BJ12" s="321"/>
      <c r="BK12" s="321"/>
      <c r="BL12" s="321"/>
      <c r="BM12" s="321"/>
      <c r="BN12" s="321"/>
      <c r="BO12" s="321"/>
      <c r="BP12" s="321"/>
      <c r="BQ12" s="321"/>
      <c r="BR12" s="321"/>
      <c r="BS12" s="321"/>
      <c r="BT12" s="321"/>
      <c r="BU12" s="321"/>
      <c r="BV12" s="321"/>
      <c r="BW12" s="321"/>
      <c r="BX12" s="321"/>
      <c r="BY12" s="321"/>
      <c r="BZ12" s="321"/>
      <c r="CA12" s="321"/>
      <c r="CB12" s="321"/>
      <c r="CC12" s="321"/>
      <c r="CD12" s="321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21"/>
      <c r="CY12" s="321"/>
      <c r="CZ12" s="321"/>
      <c r="DA12" s="321"/>
      <c r="DB12" s="321"/>
      <c r="DC12" s="321"/>
      <c r="DD12" s="321"/>
      <c r="DE12" s="321"/>
      <c r="DF12" s="321"/>
      <c r="DG12" s="321"/>
      <c r="DH12" s="321"/>
      <c r="DI12" s="321"/>
      <c r="DJ12" s="321"/>
      <c r="DK12" s="321"/>
      <c r="DL12" s="321"/>
      <c r="DM12" s="321"/>
      <c r="DN12" s="321"/>
      <c r="DO12" s="321"/>
      <c r="DP12" s="321"/>
      <c r="DQ12" s="321"/>
      <c r="DR12" s="321"/>
      <c r="DS12" s="321"/>
      <c r="DT12" s="321"/>
      <c r="DU12" s="321"/>
      <c r="DV12" s="321"/>
      <c r="DW12" s="321"/>
    </row>
    <row r="13" spans="1:127" s="469" customFormat="1" ht="17.25" customHeight="1">
      <c r="A13" s="476" t="s">
        <v>638</v>
      </c>
      <c r="B13" s="477">
        <v>390220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  <c r="BC13" s="321"/>
      <c r="BD13" s="321"/>
      <c r="BE13" s="321"/>
      <c r="BF13" s="321"/>
      <c r="BG13" s="321"/>
      <c r="BH13" s="321"/>
      <c r="BI13" s="321"/>
      <c r="BJ13" s="321"/>
      <c r="BK13" s="321"/>
      <c r="BL13" s="321"/>
      <c r="BM13" s="321"/>
      <c r="BN13" s="321"/>
      <c r="BO13" s="321"/>
      <c r="BP13" s="321"/>
      <c r="BQ13" s="321"/>
      <c r="BR13" s="321"/>
      <c r="BS13" s="321"/>
      <c r="BT13" s="321"/>
      <c r="BU13" s="321"/>
      <c r="BV13" s="321"/>
      <c r="BW13" s="321"/>
      <c r="BX13" s="321"/>
      <c r="BY13" s="321"/>
      <c r="BZ13" s="321"/>
      <c r="CA13" s="321"/>
      <c r="CB13" s="321"/>
      <c r="CC13" s="321"/>
      <c r="CD13" s="321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21"/>
      <c r="CY13" s="321"/>
      <c r="CZ13" s="321"/>
      <c r="DA13" s="321"/>
      <c r="DB13" s="321"/>
      <c r="DC13" s="321"/>
      <c r="DD13" s="321"/>
      <c r="DE13" s="321"/>
      <c r="DF13" s="321"/>
      <c r="DG13" s="321"/>
      <c r="DH13" s="321"/>
      <c r="DI13" s="321"/>
      <c r="DJ13" s="321"/>
      <c r="DK13" s="321"/>
      <c r="DL13" s="321"/>
      <c r="DM13" s="321"/>
      <c r="DN13" s="321"/>
      <c r="DO13" s="321"/>
      <c r="DP13" s="321"/>
      <c r="DQ13" s="321"/>
      <c r="DR13" s="321"/>
      <c r="DS13" s="321"/>
      <c r="DT13" s="321"/>
      <c r="DU13" s="321"/>
      <c r="DV13" s="321"/>
      <c r="DW13" s="321"/>
    </row>
    <row r="14" spans="1:127" s="469" customFormat="1" ht="23.25" customHeight="1">
      <c r="A14" s="472" t="s">
        <v>639</v>
      </c>
      <c r="B14" s="473">
        <v>2542922</v>
      </c>
      <c r="C14" s="321"/>
      <c r="D14" s="321"/>
      <c r="E14" s="321"/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21"/>
      <c r="AL14" s="321"/>
      <c r="AM14" s="321"/>
      <c r="AN14" s="321"/>
      <c r="AO14" s="321"/>
      <c r="AP14" s="321"/>
      <c r="AQ14" s="321"/>
      <c r="AR14" s="321"/>
      <c r="AS14" s="321"/>
      <c r="AT14" s="321"/>
      <c r="AU14" s="321"/>
      <c r="AV14" s="321"/>
      <c r="AW14" s="321"/>
      <c r="AX14" s="321"/>
      <c r="AY14" s="321"/>
      <c r="AZ14" s="321"/>
      <c r="BA14" s="321"/>
      <c r="BB14" s="321"/>
      <c r="BC14" s="321"/>
      <c r="BD14" s="321"/>
      <c r="BE14" s="321"/>
      <c r="BF14" s="321"/>
      <c r="BG14" s="321"/>
      <c r="BH14" s="321"/>
      <c r="BI14" s="321"/>
      <c r="BJ14" s="321"/>
      <c r="BK14" s="321"/>
      <c r="BL14" s="321"/>
      <c r="BM14" s="321"/>
      <c r="BN14" s="321"/>
      <c r="BO14" s="321"/>
      <c r="BP14" s="321"/>
      <c r="BQ14" s="321"/>
      <c r="BR14" s="321"/>
      <c r="BS14" s="321"/>
      <c r="BT14" s="321"/>
      <c r="BU14" s="321"/>
      <c r="BV14" s="321"/>
      <c r="BW14" s="321"/>
      <c r="BX14" s="321"/>
      <c r="BY14" s="321"/>
      <c r="BZ14" s="321"/>
      <c r="CA14" s="321"/>
      <c r="CB14" s="321"/>
      <c r="CC14" s="321"/>
      <c r="CD14" s="321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21"/>
      <c r="CY14" s="321"/>
      <c r="CZ14" s="321"/>
      <c r="DA14" s="321"/>
      <c r="DB14" s="321"/>
      <c r="DC14" s="321"/>
      <c r="DD14" s="321"/>
      <c r="DE14" s="321"/>
      <c r="DF14" s="321"/>
      <c r="DG14" s="321"/>
      <c r="DH14" s="321"/>
      <c r="DI14" s="321"/>
      <c r="DJ14" s="321"/>
      <c r="DK14" s="321"/>
      <c r="DL14" s="321"/>
      <c r="DM14" s="321"/>
      <c r="DN14" s="321"/>
      <c r="DO14" s="321"/>
      <c r="DP14" s="321"/>
      <c r="DQ14" s="321"/>
      <c r="DR14" s="321"/>
      <c r="DS14" s="321"/>
      <c r="DT14" s="321"/>
      <c r="DU14" s="321"/>
      <c r="DV14" s="321"/>
      <c r="DW14" s="321"/>
    </row>
    <row r="15" spans="1:127" s="469" customFormat="1" ht="23.25" customHeight="1">
      <c r="A15" s="472" t="s">
        <v>640</v>
      </c>
      <c r="B15" s="473">
        <v>9687391</v>
      </c>
      <c r="C15" s="321"/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321"/>
      <c r="O15" s="321"/>
      <c r="P15" s="321"/>
      <c r="Q15" s="321"/>
      <c r="R15" s="321"/>
      <c r="S15" s="321"/>
      <c r="T15" s="321"/>
      <c r="U15" s="321"/>
      <c r="V15" s="321"/>
      <c r="W15" s="321"/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1"/>
      <c r="AJ15" s="321"/>
      <c r="AK15" s="321"/>
      <c r="AL15" s="321"/>
      <c r="AM15" s="321"/>
      <c r="AN15" s="321"/>
      <c r="AO15" s="321"/>
      <c r="AP15" s="321"/>
      <c r="AQ15" s="321"/>
      <c r="AR15" s="321"/>
      <c r="AS15" s="321"/>
      <c r="AT15" s="321"/>
      <c r="AU15" s="321"/>
      <c r="AV15" s="321"/>
      <c r="AW15" s="321"/>
      <c r="AX15" s="321"/>
      <c r="AY15" s="321"/>
      <c r="AZ15" s="321"/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1"/>
      <c r="BM15" s="321"/>
      <c r="BN15" s="321"/>
      <c r="BO15" s="321"/>
      <c r="BP15" s="321"/>
      <c r="BQ15" s="321"/>
      <c r="BR15" s="321"/>
      <c r="BS15" s="321"/>
      <c r="BT15" s="321"/>
      <c r="BU15" s="321"/>
      <c r="BV15" s="321"/>
      <c r="BW15" s="321"/>
      <c r="BX15" s="321"/>
      <c r="BY15" s="321"/>
      <c r="BZ15" s="321"/>
      <c r="CA15" s="321"/>
      <c r="CB15" s="321"/>
      <c r="CC15" s="321"/>
      <c r="CD15" s="321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21"/>
      <c r="CY15" s="321"/>
      <c r="CZ15" s="321"/>
      <c r="DA15" s="321"/>
      <c r="DB15" s="321"/>
      <c r="DC15" s="321"/>
      <c r="DD15" s="321"/>
      <c r="DE15" s="321"/>
      <c r="DF15" s="321"/>
      <c r="DG15" s="321"/>
      <c r="DH15" s="321"/>
      <c r="DI15" s="321"/>
      <c r="DJ15" s="321"/>
      <c r="DK15" s="321"/>
      <c r="DL15" s="321"/>
      <c r="DM15" s="321"/>
      <c r="DN15" s="321"/>
      <c r="DO15" s="321"/>
      <c r="DP15" s="321"/>
      <c r="DQ15" s="321"/>
      <c r="DR15" s="321"/>
      <c r="DS15" s="321"/>
      <c r="DT15" s="321"/>
      <c r="DU15" s="321"/>
      <c r="DV15" s="321"/>
      <c r="DW15" s="321"/>
    </row>
    <row r="16" spans="1:127" s="469" customFormat="1" ht="23.25" customHeight="1">
      <c r="A16" s="472" t="s">
        <v>641</v>
      </c>
      <c r="B16" s="473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  <c r="BF16" s="321"/>
      <c r="BG16" s="321"/>
      <c r="BH16" s="321"/>
      <c r="BI16" s="321"/>
      <c r="BJ16" s="321"/>
      <c r="BK16" s="321"/>
      <c r="BL16" s="321"/>
      <c r="BM16" s="321"/>
      <c r="BN16" s="321"/>
      <c r="BO16" s="321"/>
      <c r="BP16" s="321"/>
      <c r="BQ16" s="321"/>
      <c r="BR16" s="321"/>
      <c r="BS16" s="321"/>
      <c r="BT16" s="321"/>
      <c r="BU16" s="321"/>
      <c r="BV16" s="321"/>
      <c r="BW16" s="321"/>
      <c r="BX16" s="321"/>
      <c r="BY16" s="321"/>
      <c r="BZ16" s="321"/>
      <c r="CA16" s="321"/>
      <c r="CB16" s="321"/>
      <c r="CC16" s="321"/>
      <c r="CD16" s="321"/>
      <c r="CE16" s="321"/>
      <c r="CF16" s="321"/>
      <c r="CG16" s="321"/>
      <c r="CH16" s="321"/>
      <c r="CI16" s="321"/>
      <c r="CJ16" s="321"/>
      <c r="CK16" s="321"/>
      <c r="CL16" s="321"/>
      <c r="CM16" s="321"/>
      <c r="CN16" s="321"/>
      <c r="CO16" s="321"/>
      <c r="CP16" s="321"/>
      <c r="CQ16" s="321"/>
      <c r="CR16" s="321"/>
      <c r="CS16" s="321"/>
      <c r="CT16" s="321"/>
      <c r="CU16" s="321"/>
      <c r="CV16" s="321"/>
      <c r="CW16" s="321"/>
      <c r="CX16" s="321"/>
      <c r="CY16" s="321"/>
      <c r="CZ16" s="321"/>
      <c r="DA16" s="321"/>
      <c r="DB16" s="321"/>
      <c r="DC16" s="321"/>
      <c r="DD16" s="321"/>
      <c r="DE16" s="321"/>
      <c r="DF16" s="321"/>
      <c r="DG16" s="321"/>
      <c r="DH16" s="321"/>
      <c r="DI16" s="321"/>
      <c r="DJ16" s="321"/>
      <c r="DK16" s="321"/>
      <c r="DL16" s="321"/>
      <c r="DM16" s="321"/>
      <c r="DN16" s="321"/>
      <c r="DO16" s="321"/>
      <c r="DP16" s="321"/>
      <c r="DQ16" s="321"/>
      <c r="DR16" s="321"/>
      <c r="DS16" s="321"/>
      <c r="DT16" s="321"/>
      <c r="DU16" s="321"/>
      <c r="DV16" s="321"/>
      <c r="DW16" s="321"/>
    </row>
    <row r="17" spans="1:127" s="469" customFormat="1" ht="23.25" customHeight="1">
      <c r="A17" s="478" t="s">
        <v>642</v>
      </c>
      <c r="B17" s="471">
        <f>SUM(B18:B19)</f>
        <v>12628188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1"/>
      <c r="Y17" s="321"/>
      <c r="Z17" s="321"/>
      <c r="AA17" s="321"/>
      <c r="AB17" s="321"/>
      <c r="AC17" s="321"/>
      <c r="AD17" s="321"/>
      <c r="AE17" s="321"/>
      <c r="AF17" s="321"/>
      <c r="AG17" s="321"/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  <c r="DA17" s="321"/>
      <c r="DB17" s="321"/>
      <c r="DC17" s="321"/>
      <c r="DD17" s="321"/>
      <c r="DE17" s="321"/>
      <c r="DF17" s="321"/>
      <c r="DG17" s="321"/>
      <c r="DH17" s="321"/>
      <c r="DI17" s="321"/>
      <c r="DJ17" s="321"/>
      <c r="DK17" s="321"/>
      <c r="DL17" s="321"/>
      <c r="DM17" s="321"/>
      <c r="DN17" s="321"/>
      <c r="DO17" s="321"/>
      <c r="DP17" s="321"/>
      <c r="DQ17" s="321"/>
      <c r="DR17" s="321"/>
      <c r="DS17" s="321"/>
      <c r="DT17" s="321"/>
      <c r="DU17" s="321"/>
      <c r="DV17" s="321"/>
      <c r="DW17" s="321"/>
    </row>
    <row r="18" spans="1:127" s="469" customFormat="1" ht="23.25" customHeight="1">
      <c r="A18" s="472" t="s">
        <v>643</v>
      </c>
      <c r="B18" s="473">
        <v>12628188</v>
      </c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  <c r="DA18" s="321"/>
      <c r="DB18" s="321"/>
      <c r="DC18" s="321"/>
      <c r="DD18" s="321"/>
      <c r="DE18" s="321"/>
      <c r="DF18" s="321"/>
      <c r="DG18" s="321"/>
      <c r="DH18" s="321"/>
      <c r="DI18" s="321"/>
      <c r="DJ18" s="321"/>
      <c r="DK18" s="321"/>
      <c r="DL18" s="321"/>
      <c r="DM18" s="321"/>
      <c r="DN18" s="321"/>
      <c r="DO18" s="321"/>
      <c r="DP18" s="321"/>
      <c r="DQ18" s="321"/>
      <c r="DR18" s="321"/>
      <c r="DS18" s="321"/>
      <c r="DT18" s="321"/>
      <c r="DU18" s="321"/>
      <c r="DV18" s="321"/>
      <c r="DW18" s="321"/>
    </row>
    <row r="19" spans="1:127" s="469" customFormat="1" ht="23.25" customHeight="1">
      <c r="A19" s="472" t="s">
        <v>644</v>
      </c>
      <c r="B19" s="473"/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  <c r="DA19" s="321"/>
      <c r="DB19" s="321"/>
      <c r="DC19" s="321"/>
      <c r="DD19" s="321"/>
      <c r="DE19" s="321"/>
      <c r="DF19" s="321"/>
      <c r="DG19" s="321"/>
      <c r="DH19" s="321"/>
      <c r="DI19" s="321"/>
      <c r="DJ19" s="321"/>
      <c r="DK19" s="321"/>
      <c r="DL19" s="321"/>
      <c r="DM19" s="321"/>
      <c r="DN19" s="321"/>
      <c r="DO19" s="321"/>
      <c r="DP19" s="321"/>
      <c r="DQ19" s="321"/>
      <c r="DR19" s="321"/>
      <c r="DS19" s="321"/>
      <c r="DT19" s="321"/>
      <c r="DU19" s="321"/>
      <c r="DV19" s="321"/>
      <c r="DW19" s="321"/>
    </row>
    <row r="20" spans="1:97" s="469" customFormat="1" ht="23.25" customHeight="1">
      <c r="A20" s="479" t="s">
        <v>645</v>
      </c>
      <c r="B20" s="480">
        <f>SUM(B10-B17)</f>
        <v>1527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321"/>
      <c r="BC20" s="321"/>
      <c r="BD20" s="321"/>
      <c r="BE20" s="321"/>
      <c r="BF20" s="321"/>
      <c r="BG20" s="321"/>
      <c r="BH20" s="321"/>
      <c r="BI20" s="321"/>
      <c r="BJ20" s="321"/>
      <c r="BK20" s="321"/>
      <c r="BL20" s="321"/>
      <c r="BM20" s="321"/>
      <c r="BN20" s="321"/>
      <c r="BO20" s="321"/>
      <c r="BP20" s="321"/>
      <c r="BQ20" s="321"/>
      <c r="BR20" s="321"/>
      <c r="BS20" s="321"/>
      <c r="BT20" s="321"/>
      <c r="BU20" s="321"/>
      <c r="BV20" s="321"/>
      <c r="BW20" s="321"/>
      <c r="BX20" s="321"/>
      <c r="BY20" s="321"/>
      <c r="BZ20" s="321"/>
      <c r="CA20" s="321"/>
      <c r="CB20" s="321"/>
      <c r="CC20" s="321"/>
      <c r="CD20" s="321"/>
      <c r="CI20" s="321"/>
      <c r="CJ20" s="321"/>
      <c r="CK20" s="321"/>
      <c r="CL20" s="321"/>
      <c r="CM20" s="321"/>
      <c r="CN20" s="321"/>
      <c r="CO20" s="321"/>
      <c r="CP20" s="321"/>
      <c r="CQ20" s="321"/>
      <c r="CR20" s="321"/>
      <c r="CS20" s="321"/>
    </row>
    <row r="21" spans="1:97" s="422" customFormat="1" ht="12.75">
      <c r="A21" s="460"/>
      <c r="B21" s="460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321"/>
      <c r="BC21" s="321"/>
      <c r="BD21" s="321"/>
      <c r="BE21" s="321"/>
      <c r="BF21" s="321"/>
      <c r="BG21" s="321"/>
      <c r="BH21" s="321"/>
      <c r="BI21" s="321"/>
      <c r="BJ21" s="321"/>
      <c r="BK21" s="321"/>
      <c r="BL21" s="321"/>
      <c r="BM21" s="321"/>
      <c r="BN21" s="321"/>
      <c r="BO21" s="321"/>
      <c r="BP21" s="321"/>
      <c r="BQ21" s="321"/>
      <c r="BR21" s="321"/>
      <c r="BS21" s="321"/>
      <c r="BT21" s="321"/>
      <c r="BU21" s="321"/>
      <c r="BV21" s="321"/>
      <c r="BW21" s="321"/>
      <c r="BX21" s="321"/>
      <c r="BY21" s="321"/>
      <c r="BZ21" s="321"/>
      <c r="CA21" s="321"/>
      <c r="CB21" s="321"/>
      <c r="CC21" s="321"/>
      <c r="CD21" s="321"/>
      <c r="CI21" s="321"/>
      <c r="CJ21" s="321"/>
      <c r="CK21" s="321"/>
      <c r="CL21" s="321"/>
      <c r="CM21" s="321"/>
      <c r="CN21" s="321"/>
      <c r="CO21" s="321"/>
      <c r="CP21" s="321"/>
      <c r="CQ21" s="321"/>
      <c r="CR21" s="321"/>
      <c r="CS21" s="321"/>
    </row>
    <row r="22" spans="1:97" s="422" customFormat="1" ht="12.75">
      <c r="A22" s="460"/>
      <c r="B22" s="460"/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1"/>
      <c r="AJ22" s="321"/>
      <c r="AK22" s="321"/>
      <c r="AL22" s="321"/>
      <c r="AM22" s="321"/>
      <c r="AN22" s="321"/>
      <c r="AO22" s="321"/>
      <c r="AP22" s="321"/>
      <c r="AQ22" s="321"/>
      <c r="AR22" s="321"/>
      <c r="AS22" s="321"/>
      <c r="AT22" s="321"/>
      <c r="AU22" s="321"/>
      <c r="AV22" s="321"/>
      <c r="AW22" s="321"/>
      <c r="AX22" s="321"/>
      <c r="AY22" s="321"/>
      <c r="AZ22" s="321"/>
      <c r="BA22" s="321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1"/>
      <c r="BM22" s="321"/>
      <c r="BN22" s="321"/>
      <c r="BO22" s="321"/>
      <c r="BP22" s="321"/>
      <c r="BQ22" s="321"/>
      <c r="BR22" s="321"/>
      <c r="BS22" s="321"/>
      <c r="BT22" s="321"/>
      <c r="BU22" s="321"/>
      <c r="BV22" s="321"/>
      <c r="BW22" s="321"/>
      <c r="BX22" s="321"/>
      <c r="BY22" s="321"/>
      <c r="BZ22" s="321"/>
      <c r="CA22" s="321"/>
      <c r="CB22" s="321"/>
      <c r="CC22" s="321"/>
      <c r="CD22" s="321"/>
      <c r="CI22" s="321"/>
      <c r="CJ22" s="321"/>
      <c r="CK22" s="321"/>
      <c r="CL22" s="321"/>
      <c r="CM22" s="321"/>
      <c r="CN22" s="321"/>
      <c r="CO22" s="321"/>
      <c r="CP22" s="321"/>
      <c r="CQ22" s="321"/>
      <c r="CR22" s="321"/>
      <c r="CS22" s="321"/>
    </row>
    <row r="23" spans="1:82" s="422" customFormat="1" ht="12.75">
      <c r="A23" s="460"/>
      <c r="B23" s="460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1"/>
      <c r="BA23" s="321"/>
      <c r="BB23" s="321"/>
      <c r="BC23" s="321"/>
      <c r="BD23" s="321"/>
      <c r="BE23" s="321"/>
      <c r="BF23" s="321"/>
      <c r="BG23" s="321"/>
      <c r="BH23" s="321"/>
      <c r="BI23" s="321"/>
      <c r="BJ23" s="321"/>
      <c r="BK23" s="321"/>
      <c r="BL23" s="321"/>
      <c r="BM23" s="321"/>
      <c r="BN23" s="321"/>
      <c r="BO23" s="321"/>
      <c r="BP23" s="321"/>
      <c r="BQ23" s="321"/>
      <c r="BR23" s="321"/>
      <c r="BS23" s="321"/>
      <c r="BT23" s="321"/>
      <c r="BU23" s="321"/>
      <c r="BV23" s="321"/>
      <c r="BW23" s="321"/>
      <c r="BX23" s="321"/>
      <c r="BY23" s="321"/>
      <c r="BZ23" s="321"/>
      <c r="CA23" s="321"/>
      <c r="CB23" s="321"/>
      <c r="CC23" s="321"/>
      <c r="CD23" s="321"/>
    </row>
    <row r="24" spans="1:82" s="422" customFormat="1" ht="12.75">
      <c r="A24" s="460"/>
      <c r="B24" s="460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321"/>
      <c r="R24" s="321"/>
      <c r="S24" s="321"/>
      <c r="T24" s="321"/>
      <c r="U24" s="321"/>
      <c r="V24" s="321"/>
      <c r="W24" s="321"/>
      <c r="X24" s="321"/>
      <c r="Y24" s="321"/>
      <c r="Z24" s="321"/>
      <c r="AA24" s="321"/>
      <c r="AB24" s="321"/>
      <c r="AC24" s="321"/>
      <c r="AD24" s="321"/>
      <c r="AE24" s="321"/>
      <c r="AF24" s="321"/>
      <c r="AG24" s="321"/>
      <c r="AH24" s="321"/>
      <c r="AI24" s="321"/>
      <c r="AJ24" s="321"/>
      <c r="AK24" s="321"/>
      <c r="AL24" s="321"/>
      <c r="AM24" s="321"/>
      <c r="AN24" s="321"/>
      <c r="AO24" s="321"/>
      <c r="AP24" s="321"/>
      <c r="AQ24" s="321"/>
      <c r="AR24" s="321"/>
      <c r="AS24" s="321"/>
      <c r="AT24" s="321"/>
      <c r="AU24" s="321"/>
      <c r="AV24" s="321"/>
      <c r="AW24" s="321"/>
      <c r="AX24" s="321"/>
      <c r="AY24" s="321"/>
      <c r="AZ24" s="321"/>
      <c r="BA24" s="321"/>
      <c r="BB24" s="321"/>
      <c r="BC24" s="321"/>
      <c r="BD24" s="321"/>
      <c r="BE24" s="321"/>
      <c r="BF24" s="321"/>
      <c r="BG24" s="321"/>
      <c r="BH24" s="321"/>
      <c r="BI24" s="321"/>
      <c r="BJ24" s="321"/>
      <c r="BK24" s="321"/>
      <c r="BL24" s="321"/>
      <c r="BM24" s="321"/>
      <c r="BN24" s="321"/>
      <c r="BO24" s="321"/>
      <c r="BP24" s="321"/>
      <c r="BQ24" s="321"/>
      <c r="BR24" s="321"/>
      <c r="BS24" s="321"/>
      <c r="BT24" s="321"/>
      <c r="BU24" s="321"/>
      <c r="BV24" s="321"/>
      <c r="BW24" s="321"/>
      <c r="BX24" s="321"/>
      <c r="BY24" s="321"/>
      <c r="BZ24" s="321"/>
      <c r="CA24" s="321"/>
      <c r="CB24" s="321"/>
      <c r="CC24" s="321"/>
      <c r="CD24" s="321"/>
    </row>
    <row r="25" spans="1:82" s="460" customFormat="1" ht="12.75">
      <c r="A25" s="422" t="s">
        <v>646</v>
      </c>
      <c r="B25" s="320" t="s">
        <v>481</v>
      </c>
      <c r="C25" s="321"/>
      <c r="D25" s="321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1"/>
      <c r="Y25" s="321"/>
      <c r="Z25" s="321"/>
      <c r="AA25" s="321"/>
      <c r="AB25" s="321"/>
      <c r="AC25" s="321"/>
      <c r="AD25" s="321"/>
      <c r="AE25" s="321"/>
      <c r="AF25" s="321"/>
      <c r="AG25" s="321"/>
      <c r="AH25" s="321"/>
      <c r="AI25" s="321"/>
      <c r="AJ25" s="321"/>
      <c r="AK25" s="321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  <c r="BA25" s="321"/>
      <c r="BB25" s="321"/>
      <c r="BC25" s="321"/>
      <c r="BD25" s="321"/>
      <c r="BE25" s="321"/>
      <c r="BF25" s="321"/>
      <c r="BG25" s="321"/>
      <c r="BH25" s="321"/>
      <c r="BI25" s="321"/>
      <c r="BJ25" s="321"/>
      <c r="BK25" s="321"/>
      <c r="BL25" s="321"/>
      <c r="BM25" s="321"/>
      <c r="BN25" s="321"/>
      <c r="BO25" s="321"/>
      <c r="BP25" s="321"/>
      <c r="BQ25" s="321"/>
      <c r="BR25" s="321"/>
      <c r="BS25" s="321"/>
      <c r="BT25" s="321"/>
      <c r="BU25" s="321"/>
      <c r="BV25" s="321"/>
      <c r="BW25" s="321"/>
      <c r="BX25" s="321"/>
      <c r="BY25" s="321"/>
      <c r="BZ25" s="321"/>
      <c r="CA25" s="321"/>
      <c r="CB25" s="321"/>
      <c r="CC25" s="321"/>
      <c r="CD25" s="321"/>
    </row>
    <row r="26" spans="1:82" s="460" customFormat="1" ht="12.75">
      <c r="A26" s="321"/>
      <c r="C26" s="321"/>
      <c r="D26" s="321"/>
      <c r="E26" s="321"/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321"/>
      <c r="BC26" s="321"/>
      <c r="BD26" s="321"/>
      <c r="BE26" s="321"/>
      <c r="BF26" s="321"/>
      <c r="BG26" s="321"/>
      <c r="BH26" s="321"/>
      <c r="BI26" s="321"/>
      <c r="BJ26" s="321"/>
      <c r="BK26" s="321"/>
      <c r="BL26" s="321"/>
      <c r="BM26" s="321"/>
      <c r="BN26" s="321"/>
      <c r="BO26" s="321"/>
      <c r="BP26" s="321"/>
      <c r="BQ26" s="321"/>
      <c r="BR26" s="321"/>
      <c r="BS26" s="321"/>
      <c r="BT26" s="321"/>
      <c r="BU26" s="321"/>
      <c r="BV26" s="321"/>
      <c r="BW26" s="321"/>
      <c r="BX26" s="321"/>
      <c r="BY26" s="321"/>
      <c r="BZ26" s="321"/>
      <c r="CA26" s="321"/>
      <c r="CB26" s="321"/>
      <c r="CC26" s="321"/>
      <c r="CD26" s="321"/>
    </row>
    <row r="27" s="321" customFormat="1" ht="12"/>
    <row r="28" spans="1:2" s="321" customFormat="1" ht="14.25">
      <c r="A28" s="481"/>
      <c r="B28" s="482"/>
    </row>
    <row r="29" spans="1:2" s="321" customFormat="1" ht="14.25">
      <c r="A29" s="481"/>
      <c r="B29" s="482"/>
    </row>
    <row r="30" spans="1:2" s="321" customFormat="1" ht="14.25">
      <c r="A30" s="481"/>
      <c r="B30" s="483"/>
    </row>
    <row r="31" s="321" customFormat="1" ht="14.25">
      <c r="A31" s="481"/>
    </row>
    <row r="32" s="321" customFormat="1" ht="14.25">
      <c r="A32" s="481"/>
    </row>
    <row r="33" s="321" customFormat="1" ht="14.25">
      <c r="A33" s="481"/>
    </row>
    <row r="34" s="321" customFormat="1" ht="14.25">
      <c r="A34" s="481"/>
    </row>
    <row r="35" s="321" customFormat="1" ht="14.25">
      <c r="A35" s="481"/>
    </row>
    <row r="36" s="321" customFormat="1" ht="14.25">
      <c r="A36" s="481"/>
    </row>
    <row r="37" s="321" customFormat="1" ht="14.25">
      <c r="A37" s="481"/>
    </row>
    <row r="38" s="321" customFormat="1" ht="14.25">
      <c r="A38" s="481"/>
    </row>
    <row r="39" s="321" customFormat="1" ht="14.25">
      <c r="A39" s="481"/>
    </row>
    <row r="40" spans="1:82" ht="14.25">
      <c r="A40" s="481"/>
      <c r="L40" s="321"/>
      <c r="M40" s="321"/>
      <c r="N40" s="321"/>
      <c r="O40" s="321"/>
      <c r="P40" s="321"/>
      <c r="Q40" s="321"/>
      <c r="R40" s="321"/>
      <c r="S40" s="321"/>
      <c r="T40" s="321"/>
      <c r="U40" s="321"/>
      <c r="V40" s="321"/>
      <c r="W40" s="321"/>
      <c r="X40" s="321"/>
      <c r="Y40" s="321"/>
      <c r="Z40" s="321"/>
      <c r="AA40" s="321"/>
      <c r="AB40" s="321"/>
      <c r="AC40" s="321"/>
      <c r="AD40" s="321"/>
      <c r="AE40" s="321"/>
      <c r="AF40" s="321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</row>
    <row r="41" spans="1:82" ht="14.25">
      <c r="A41" s="481"/>
      <c r="L41" s="321"/>
      <c r="M41" s="321"/>
      <c r="N41" s="321"/>
      <c r="O41" s="321"/>
      <c r="P41" s="321"/>
      <c r="Q41" s="321"/>
      <c r="R41" s="321"/>
      <c r="S41" s="321"/>
      <c r="T41" s="321"/>
      <c r="U41" s="321"/>
      <c r="V41" s="321"/>
      <c r="W41" s="321"/>
      <c r="X41" s="321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1"/>
      <c r="AL41" s="321"/>
      <c r="AM41" s="321"/>
      <c r="AN41" s="321"/>
      <c r="AO41" s="321"/>
      <c r="AP41" s="321"/>
      <c r="AQ41" s="321"/>
      <c r="AR41" s="321"/>
      <c r="AS41" s="321"/>
      <c r="AT41" s="321"/>
      <c r="AU41" s="321"/>
      <c r="AV41" s="321"/>
      <c r="AW41" s="321"/>
      <c r="AX41" s="321"/>
      <c r="AY41" s="321"/>
      <c r="AZ41" s="321"/>
      <c r="BA41" s="321"/>
      <c r="BB41" s="321"/>
      <c r="BC41" s="321"/>
      <c r="BD41" s="321"/>
      <c r="BE41" s="321"/>
      <c r="BF41" s="321"/>
      <c r="BG41" s="321"/>
      <c r="BH41" s="321"/>
      <c r="BI41" s="321"/>
      <c r="BJ41" s="321"/>
      <c r="BK41" s="321"/>
      <c r="BL41" s="321"/>
      <c r="BM41" s="321"/>
      <c r="BN41" s="321"/>
      <c r="BO41" s="321"/>
      <c r="BP41" s="321"/>
      <c r="BQ41" s="321"/>
      <c r="BR41" s="321"/>
      <c r="BS41" s="321"/>
      <c r="BT41" s="321"/>
      <c r="BU41" s="321"/>
      <c r="BV41" s="321"/>
      <c r="BW41" s="321"/>
      <c r="BX41" s="321"/>
      <c r="BY41" s="321"/>
      <c r="BZ41" s="321"/>
      <c r="CA41" s="321"/>
      <c r="CB41" s="321"/>
      <c r="CC41" s="321"/>
      <c r="CD41" s="321"/>
    </row>
    <row r="42" spans="1:82" ht="14.25">
      <c r="A42" s="481"/>
      <c r="L42" s="321"/>
      <c r="M42" s="321"/>
      <c r="N42" s="321"/>
      <c r="O42" s="321"/>
      <c r="P42" s="321"/>
      <c r="Q42" s="321"/>
      <c r="R42" s="321"/>
      <c r="S42" s="321"/>
      <c r="T42" s="321"/>
      <c r="U42" s="321"/>
      <c r="V42" s="321"/>
      <c r="W42" s="321"/>
      <c r="X42" s="321"/>
      <c r="Y42" s="321"/>
      <c r="Z42" s="321"/>
      <c r="AA42" s="321"/>
      <c r="AB42" s="321"/>
      <c r="AC42" s="321"/>
      <c r="AD42" s="321"/>
      <c r="AE42" s="321"/>
      <c r="AF42" s="321"/>
      <c r="AG42" s="321"/>
      <c r="AH42" s="321"/>
      <c r="AI42" s="321"/>
      <c r="AJ42" s="321"/>
      <c r="AK42" s="321"/>
      <c r="AL42" s="321"/>
      <c r="AM42" s="321"/>
      <c r="AN42" s="321"/>
      <c r="AO42" s="321"/>
      <c r="AP42" s="321"/>
      <c r="AQ42" s="321"/>
      <c r="AR42" s="321"/>
      <c r="AS42" s="321"/>
      <c r="AT42" s="321"/>
      <c r="AU42" s="321"/>
      <c r="AV42" s="321"/>
      <c r="AW42" s="321"/>
      <c r="AX42" s="321"/>
      <c r="AY42" s="321"/>
      <c r="AZ42" s="321"/>
      <c r="BA42" s="321"/>
      <c r="BB42" s="321"/>
      <c r="BC42" s="321"/>
      <c r="BD42" s="321"/>
      <c r="BE42" s="321"/>
      <c r="BF42" s="321"/>
      <c r="BG42" s="321"/>
      <c r="BH42" s="321"/>
      <c r="BI42" s="321"/>
      <c r="BJ42" s="321"/>
      <c r="BK42" s="321"/>
      <c r="BL42" s="321"/>
      <c r="BM42" s="321"/>
      <c r="BN42" s="321"/>
      <c r="BO42" s="321"/>
      <c r="BP42" s="321"/>
      <c r="BQ42" s="321"/>
      <c r="BR42" s="321"/>
      <c r="BS42" s="321"/>
      <c r="BT42" s="321"/>
      <c r="BU42" s="321"/>
      <c r="BV42" s="321"/>
      <c r="BW42" s="321"/>
      <c r="BX42" s="321"/>
      <c r="BY42" s="321"/>
      <c r="BZ42" s="321"/>
      <c r="CA42" s="321"/>
      <c r="CB42" s="321"/>
      <c r="CC42" s="321"/>
      <c r="CD42" s="321"/>
    </row>
    <row r="43" spans="1:82" ht="14.25">
      <c r="A43" s="48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1"/>
      <c r="AM43" s="321"/>
      <c r="AN43" s="321"/>
      <c r="AO43" s="321"/>
      <c r="AP43" s="321"/>
      <c r="AQ43" s="321"/>
      <c r="AR43" s="321"/>
      <c r="AS43" s="321"/>
      <c r="AT43" s="321"/>
      <c r="AU43" s="321"/>
      <c r="AV43" s="321"/>
      <c r="AW43" s="321"/>
      <c r="AX43" s="321"/>
      <c r="AY43" s="321"/>
      <c r="AZ43" s="321"/>
      <c r="BA43" s="321"/>
      <c r="BB43" s="321"/>
      <c r="BC43" s="321"/>
      <c r="BD43" s="321"/>
      <c r="BE43" s="321"/>
      <c r="BF43" s="321"/>
      <c r="BG43" s="321"/>
      <c r="BH43" s="321"/>
      <c r="BI43" s="321"/>
      <c r="BJ43" s="321"/>
      <c r="BK43" s="321"/>
      <c r="BL43" s="321"/>
      <c r="BM43" s="321"/>
      <c r="BN43" s="321"/>
      <c r="BO43" s="321"/>
      <c r="BP43" s="321"/>
      <c r="BQ43" s="321"/>
      <c r="BR43" s="321"/>
      <c r="BS43" s="321"/>
      <c r="BT43" s="321"/>
      <c r="BU43" s="321"/>
      <c r="BV43" s="321"/>
      <c r="BW43" s="321"/>
      <c r="BX43" s="321"/>
      <c r="BY43" s="321"/>
      <c r="BZ43" s="321"/>
      <c r="CA43" s="321"/>
      <c r="CB43" s="321"/>
      <c r="CC43" s="321"/>
      <c r="CD43" s="321"/>
    </row>
    <row r="44" spans="1:82" ht="14.25">
      <c r="A44" s="48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  <c r="AH44" s="321"/>
      <c r="AI44" s="321"/>
      <c r="AJ44" s="321"/>
      <c r="AK44" s="321"/>
      <c r="AL44" s="321"/>
      <c r="AM44" s="321"/>
      <c r="AN44" s="321"/>
      <c r="AO44" s="321"/>
      <c r="AP44" s="321"/>
      <c r="AQ44" s="321"/>
      <c r="AR44" s="321"/>
      <c r="AS44" s="321"/>
      <c r="AT44" s="321"/>
      <c r="AU44" s="321"/>
      <c r="AV44" s="321"/>
      <c r="AW44" s="321"/>
      <c r="AX44" s="321"/>
      <c r="AY44" s="321"/>
      <c r="AZ44" s="321"/>
      <c r="BA44" s="321"/>
      <c r="BB44" s="321"/>
      <c r="BC44" s="321"/>
      <c r="BD44" s="321"/>
      <c r="BE44" s="321"/>
      <c r="BF44" s="321"/>
      <c r="BG44" s="321"/>
      <c r="BH44" s="321"/>
      <c r="BI44" s="321"/>
      <c r="BJ44" s="321"/>
      <c r="BK44" s="321"/>
      <c r="BL44" s="321"/>
      <c r="BM44" s="321"/>
      <c r="BN44" s="321"/>
      <c r="BO44" s="321"/>
      <c r="BP44" s="321"/>
      <c r="BQ44" s="321"/>
      <c r="BR44" s="321"/>
      <c r="BS44" s="321"/>
      <c r="BT44" s="321"/>
      <c r="BU44" s="321"/>
      <c r="BV44" s="321"/>
      <c r="BW44" s="321"/>
      <c r="BX44" s="321"/>
      <c r="BY44" s="321"/>
      <c r="BZ44" s="321"/>
      <c r="CA44" s="321"/>
      <c r="CB44" s="321"/>
      <c r="CC44" s="321"/>
      <c r="CD44" s="321"/>
    </row>
    <row r="45" spans="1:82" ht="14.25">
      <c r="A45" s="481"/>
      <c r="L45" s="321"/>
      <c r="M45" s="321"/>
      <c r="N45" s="321"/>
      <c r="O45" s="321"/>
      <c r="P45" s="321"/>
      <c r="Q45" s="321"/>
      <c r="R45" s="321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  <c r="AH45" s="321"/>
      <c r="AI45" s="321"/>
      <c r="AJ45" s="321"/>
      <c r="AK45" s="321"/>
      <c r="AL45" s="321"/>
      <c r="AM45" s="321"/>
      <c r="AN45" s="321"/>
      <c r="AO45" s="321"/>
      <c r="AP45" s="321"/>
      <c r="AQ45" s="321"/>
      <c r="AR45" s="321"/>
      <c r="AS45" s="321"/>
      <c r="AT45" s="321"/>
      <c r="AU45" s="321"/>
      <c r="AV45" s="321"/>
      <c r="AW45" s="321"/>
      <c r="AX45" s="321"/>
      <c r="AY45" s="321"/>
      <c r="AZ45" s="321"/>
      <c r="BA45" s="321"/>
      <c r="BB45" s="321"/>
      <c r="BC45" s="321"/>
      <c r="BD45" s="321"/>
      <c r="BE45" s="321"/>
      <c r="BF45" s="321"/>
      <c r="BG45" s="321"/>
      <c r="BH45" s="321"/>
      <c r="BI45" s="321"/>
      <c r="BJ45" s="321"/>
      <c r="BK45" s="321"/>
      <c r="BL45" s="321"/>
      <c r="BM45" s="321"/>
      <c r="BN45" s="321"/>
      <c r="BO45" s="321"/>
      <c r="BP45" s="321"/>
      <c r="BQ45" s="321"/>
      <c r="BR45" s="321"/>
      <c r="BS45" s="321"/>
      <c r="BT45" s="321"/>
      <c r="BU45" s="321"/>
      <c r="BV45" s="321"/>
      <c r="BW45" s="321"/>
      <c r="BX45" s="321"/>
      <c r="BY45" s="321"/>
      <c r="BZ45" s="321"/>
      <c r="CA45" s="321"/>
      <c r="CB45" s="321"/>
      <c r="CC45" s="321"/>
      <c r="CD45" s="321"/>
    </row>
    <row r="46" spans="1:82" ht="14.25">
      <c r="A46" s="481"/>
      <c r="L46" s="321"/>
      <c r="M46" s="321"/>
      <c r="N46" s="321"/>
      <c r="O46" s="321"/>
      <c r="P46" s="321"/>
      <c r="Q46" s="321"/>
      <c r="R46" s="321"/>
      <c r="S46" s="321"/>
      <c r="T46" s="321"/>
      <c r="U46" s="321"/>
      <c r="V46" s="321"/>
      <c r="W46" s="321"/>
      <c r="X46" s="321"/>
      <c r="Y46" s="321"/>
      <c r="Z46" s="321"/>
      <c r="AA46" s="321"/>
      <c r="AB46" s="321"/>
      <c r="AC46" s="321"/>
      <c r="AD46" s="321"/>
      <c r="AE46" s="321"/>
      <c r="AF46" s="321"/>
      <c r="AG46" s="321"/>
      <c r="AH46" s="321"/>
      <c r="AI46" s="321"/>
      <c r="AJ46" s="321"/>
      <c r="AK46" s="321"/>
      <c r="AL46" s="321"/>
      <c r="AM46" s="321"/>
      <c r="AN46" s="321"/>
      <c r="AO46" s="321"/>
      <c r="AP46" s="321"/>
      <c r="AQ46" s="321"/>
      <c r="AR46" s="321"/>
      <c r="AS46" s="321"/>
      <c r="AT46" s="321"/>
      <c r="AU46" s="321"/>
      <c r="AV46" s="321"/>
      <c r="AW46" s="321"/>
      <c r="AX46" s="321"/>
      <c r="AY46" s="321"/>
      <c r="AZ46" s="321"/>
      <c r="BA46" s="321"/>
      <c r="BB46" s="321"/>
      <c r="BC46" s="321"/>
      <c r="BD46" s="321"/>
      <c r="BE46" s="321"/>
      <c r="BF46" s="321"/>
      <c r="BG46" s="321"/>
      <c r="BH46" s="321"/>
      <c r="BI46" s="321"/>
      <c r="BJ46" s="321"/>
      <c r="BK46" s="321"/>
      <c r="BL46" s="321"/>
      <c r="BM46" s="321"/>
      <c r="BN46" s="321"/>
      <c r="BO46" s="321"/>
      <c r="BP46" s="321"/>
      <c r="BQ46" s="321"/>
      <c r="BR46" s="321"/>
      <c r="BS46" s="321"/>
      <c r="BT46" s="321"/>
      <c r="BU46" s="321"/>
      <c r="BV46" s="321"/>
      <c r="BW46" s="321"/>
      <c r="BX46" s="321"/>
      <c r="BY46" s="321"/>
      <c r="BZ46" s="321"/>
      <c r="CA46" s="321"/>
      <c r="CB46" s="321"/>
      <c r="CC46" s="321"/>
      <c r="CD46" s="321"/>
    </row>
    <row r="47" spans="1:82" ht="14.25">
      <c r="A47" s="48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  <c r="CC47" s="321"/>
      <c r="CD47" s="321"/>
    </row>
    <row r="48" spans="1:82" ht="14.25">
      <c r="A48" s="48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1"/>
      <c r="BY48" s="321"/>
      <c r="BZ48" s="321"/>
      <c r="CA48" s="321"/>
      <c r="CB48" s="321"/>
      <c r="CC48" s="321"/>
      <c r="CD48" s="321"/>
    </row>
    <row r="49" spans="1:82" ht="14.25">
      <c r="A49" s="48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1"/>
      <c r="AH49" s="321"/>
      <c r="AI49" s="321"/>
      <c r="AJ49" s="321"/>
      <c r="AK49" s="321"/>
      <c r="AL49" s="321"/>
      <c r="AM49" s="321"/>
      <c r="AN49" s="321"/>
      <c r="AO49" s="321"/>
      <c r="AP49" s="321"/>
      <c r="AQ49" s="321"/>
      <c r="AR49" s="321"/>
      <c r="AS49" s="321"/>
      <c r="AT49" s="321"/>
      <c r="AU49" s="321"/>
      <c r="AV49" s="321"/>
      <c r="AW49" s="321"/>
      <c r="AX49" s="321"/>
      <c r="AY49" s="321"/>
      <c r="AZ49" s="321"/>
      <c r="BA49" s="321"/>
      <c r="BB49" s="321"/>
      <c r="BC49" s="321"/>
      <c r="BD49" s="321"/>
      <c r="BE49" s="321"/>
      <c r="BF49" s="321"/>
      <c r="BG49" s="321"/>
      <c r="BH49" s="321"/>
      <c r="BI49" s="321"/>
      <c r="BJ49" s="321"/>
      <c r="BK49" s="321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</row>
    <row r="50" spans="1:82" ht="14.25">
      <c r="A50" s="481"/>
      <c r="L50" s="321"/>
      <c r="M50" s="321"/>
      <c r="N50" s="321"/>
      <c r="O50" s="321"/>
      <c r="P50" s="321"/>
      <c r="Q50" s="321"/>
      <c r="R50" s="321"/>
      <c r="S50" s="321"/>
      <c r="T50" s="321"/>
      <c r="U50" s="321"/>
      <c r="V50" s="321"/>
      <c r="W50" s="321"/>
      <c r="X50" s="321"/>
      <c r="Y50" s="321"/>
      <c r="Z50" s="321"/>
      <c r="AA50" s="321"/>
      <c r="AB50" s="321"/>
      <c r="AC50" s="321"/>
      <c r="AD50" s="321"/>
      <c r="AE50" s="321"/>
      <c r="AF50" s="321"/>
      <c r="AG50" s="321"/>
      <c r="AH50" s="321"/>
      <c r="AI50" s="321"/>
      <c r="AJ50" s="321"/>
      <c r="AK50" s="321"/>
      <c r="AL50" s="321"/>
      <c r="AM50" s="321"/>
      <c r="AN50" s="321"/>
      <c r="AO50" s="321"/>
      <c r="AP50" s="321"/>
      <c r="AQ50" s="321"/>
      <c r="AR50" s="321"/>
      <c r="AS50" s="321"/>
      <c r="AT50" s="321"/>
      <c r="AU50" s="321"/>
      <c r="AV50" s="321"/>
      <c r="AW50" s="321"/>
      <c r="AX50" s="321"/>
      <c r="AY50" s="321"/>
      <c r="AZ50" s="321"/>
      <c r="BA50" s="321"/>
      <c r="BB50" s="321"/>
      <c r="BC50" s="321"/>
      <c r="BD50" s="321"/>
      <c r="BE50" s="321"/>
      <c r="BF50" s="321"/>
      <c r="BG50" s="321"/>
      <c r="BH50" s="321"/>
      <c r="BI50" s="321"/>
      <c r="BJ50" s="321"/>
      <c r="BK50" s="321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</row>
    <row r="51" spans="1:82" ht="14.25">
      <c r="A51" s="481"/>
      <c r="L51" s="321"/>
      <c r="M51" s="321"/>
      <c r="N51" s="321"/>
      <c r="O51" s="321"/>
      <c r="P51" s="321"/>
      <c r="Q51" s="321"/>
      <c r="R51" s="321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321"/>
      <c r="AG51" s="321"/>
      <c r="AH51" s="321"/>
      <c r="AI51" s="321"/>
      <c r="AJ51" s="321"/>
      <c r="AK51" s="321"/>
      <c r="AL51" s="321"/>
      <c r="AM51" s="321"/>
      <c r="AN51" s="321"/>
      <c r="AO51" s="321"/>
      <c r="AP51" s="321"/>
      <c r="AQ51" s="321"/>
      <c r="AR51" s="321"/>
      <c r="AS51" s="321"/>
      <c r="AT51" s="321"/>
      <c r="AU51" s="321"/>
      <c r="AV51" s="321"/>
      <c r="AW51" s="321"/>
      <c r="AX51" s="321"/>
      <c r="AY51" s="321"/>
      <c r="AZ51" s="321"/>
      <c r="BA51" s="321"/>
      <c r="BB51" s="321"/>
      <c r="BC51" s="321"/>
      <c r="BD51" s="321"/>
      <c r="BE51" s="321"/>
      <c r="BF51" s="321"/>
      <c r="BG51" s="321"/>
      <c r="BH51" s="321"/>
      <c r="BI51" s="321"/>
      <c r="BJ51" s="321"/>
      <c r="BK51" s="321"/>
      <c r="BL51" s="321"/>
      <c r="BM51" s="321"/>
      <c r="BN51" s="321"/>
      <c r="BO51" s="321"/>
      <c r="BP51" s="321"/>
      <c r="BQ51" s="321"/>
      <c r="BR51" s="321"/>
      <c r="BS51" s="321"/>
      <c r="BT51" s="321"/>
      <c r="BU51" s="321"/>
      <c r="BV51" s="321"/>
      <c r="BW51" s="321"/>
      <c r="BX51" s="321"/>
      <c r="BY51" s="321"/>
      <c r="BZ51" s="321"/>
      <c r="CA51" s="321"/>
      <c r="CB51" s="321"/>
      <c r="CC51" s="321"/>
      <c r="CD51" s="321"/>
    </row>
    <row r="52" spans="1:82" ht="14.25">
      <c r="A52" s="481"/>
      <c r="L52" s="321"/>
      <c r="M52" s="321"/>
      <c r="N52" s="321"/>
      <c r="O52" s="321"/>
      <c r="P52" s="321"/>
      <c r="Q52" s="321"/>
      <c r="R52" s="321"/>
      <c r="S52" s="321"/>
      <c r="T52" s="321"/>
      <c r="U52" s="321"/>
      <c r="V52" s="321"/>
      <c r="W52" s="321"/>
      <c r="X52" s="321"/>
      <c r="Y52" s="321"/>
      <c r="Z52" s="321"/>
      <c r="AA52" s="321"/>
      <c r="AB52" s="321"/>
      <c r="AC52" s="321"/>
      <c r="AD52" s="321"/>
      <c r="AE52" s="321"/>
      <c r="AF52" s="321"/>
      <c r="AG52" s="321"/>
      <c r="AH52" s="321"/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  <c r="CC52" s="321"/>
      <c r="CD52" s="321"/>
    </row>
    <row r="53" spans="1:82" ht="14.25">
      <c r="A53" s="481"/>
      <c r="L53" s="321"/>
      <c r="M53" s="321"/>
      <c r="N53" s="321"/>
      <c r="O53" s="321"/>
      <c r="P53" s="321"/>
      <c r="Q53" s="321"/>
      <c r="R53" s="321"/>
      <c r="S53" s="321"/>
      <c r="T53" s="321"/>
      <c r="U53" s="321"/>
      <c r="V53" s="321"/>
      <c r="W53" s="321"/>
      <c r="X53" s="321"/>
      <c r="Y53" s="321"/>
      <c r="Z53" s="321"/>
      <c r="AA53" s="321"/>
      <c r="AB53" s="321"/>
      <c r="AC53" s="321"/>
      <c r="AD53" s="321"/>
      <c r="AE53" s="321"/>
      <c r="AF53" s="321"/>
      <c r="AG53" s="321"/>
      <c r="AH53" s="321"/>
      <c r="AI53" s="321"/>
      <c r="AJ53" s="321"/>
      <c r="AK53" s="321"/>
      <c r="AL53" s="321"/>
      <c r="AM53" s="321"/>
      <c r="AN53" s="321"/>
      <c r="AO53" s="321"/>
      <c r="AP53" s="321"/>
      <c r="AQ53" s="321"/>
      <c r="AR53" s="321"/>
      <c r="AS53" s="321"/>
      <c r="AT53" s="321"/>
      <c r="AU53" s="321"/>
      <c r="AV53" s="321"/>
      <c r="AW53" s="321"/>
      <c r="AX53" s="321"/>
      <c r="AY53" s="321"/>
      <c r="AZ53" s="321"/>
      <c r="BA53" s="321"/>
      <c r="BB53" s="321"/>
      <c r="BC53" s="321"/>
      <c r="BD53" s="321"/>
      <c r="BE53" s="321"/>
      <c r="BF53" s="321"/>
      <c r="BG53" s="321"/>
      <c r="BH53" s="321"/>
      <c r="BI53" s="321"/>
      <c r="BJ53" s="321"/>
      <c r="BK53" s="321"/>
      <c r="BL53" s="321"/>
      <c r="BM53" s="321"/>
      <c r="BN53" s="321"/>
      <c r="BO53" s="321"/>
      <c r="BP53" s="321"/>
      <c r="BQ53" s="321"/>
      <c r="BR53" s="321"/>
      <c r="BS53" s="321"/>
      <c r="BT53" s="321"/>
      <c r="BU53" s="321"/>
      <c r="BV53" s="321"/>
      <c r="BW53" s="321"/>
      <c r="BX53" s="321"/>
      <c r="BY53" s="321"/>
      <c r="BZ53" s="321"/>
      <c r="CA53" s="321"/>
      <c r="CB53" s="321"/>
      <c r="CC53" s="321"/>
      <c r="CD53" s="321"/>
    </row>
    <row r="54" spans="1:82" ht="14.25">
      <c r="A54" s="481"/>
      <c r="L54" s="321"/>
      <c r="M54" s="321"/>
      <c r="N54" s="321"/>
      <c r="O54" s="321"/>
      <c r="P54" s="321"/>
      <c r="Q54" s="321"/>
      <c r="R54" s="321"/>
      <c r="S54" s="321"/>
      <c r="T54" s="321"/>
      <c r="U54" s="321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321"/>
      <c r="AH54" s="321"/>
      <c r="AI54" s="321"/>
      <c r="AJ54" s="321"/>
      <c r="AK54" s="321"/>
      <c r="AL54" s="321"/>
      <c r="AM54" s="321"/>
      <c r="AN54" s="321"/>
      <c r="AO54" s="321"/>
      <c r="AP54" s="321"/>
      <c r="AQ54" s="321"/>
      <c r="AR54" s="321"/>
      <c r="AS54" s="321"/>
      <c r="AT54" s="321"/>
      <c r="AU54" s="321"/>
      <c r="AV54" s="321"/>
      <c r="AW54" s="321"/>
      <c r="AX54" s="321"/>
      <c r="AY54" s="321"/>
      <c r="AZ54" s="321"/>
      <c r="BA54" s="321"/>
      <c r="BB54" s="321"/>
      <c r="BC54" s="321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</row>
    <row r="55" spans="1:82" ht="14.25">
      <c r="A55" s="481"/>
      <c r="L55" s="321"/>
      <c r="M55" s="321"/>
      <c r="N55" s="321"/>
      <c r="O55" s="321"/>
      <c r="P55" s="321"/>
      <c r="Q55" s="321"/>
      <c r="R55" s="321"/>
      <c r="S55" s="321"/>
      <c r="T55" s="321"/>
      <c r="U55" s="321"/>
      <c r="V55" s="321"/>
      <c r="W55" s="321"/>
      <c r="X55" s="321"/>
      <c r="Y55" s="321"/>
      <c r="Z55" s="321"/>
      <c r="AA55" s="321"/>
      <c r="AB55" s="321"/>
      <c r="AC55" s="321"/>
      <c r="AD55" s="321"/>
      <c r="AE55" s="321"/>
      <c r="AF55" s="321"/>
      <c r="AG55" s="321"/>
      <c r="AH55" s="321"/>
      <c r="AI55" s="321"/>
      <c r="AJ55" s="321"/>
      <c r="AK55" s="321"/>
      <c r="AL55" s="321"/>
      <c r="AM55" s="321"/>
      <c r="AN55" s="321"/>
      <c r="AO55" s="321"/>
      <c r="AP55" s="321"/>
      <c r="AQ55" s="321"/>
      <c r="AR55" s="321"/>
      <c r="AS55" s="321"/>
      <c r="AT55" s="321"/>
      <c r="AU55" s="321"/>
      <c r="AV55" s="321"/>
      <c r="AW55" s="321"/>
      <c r="AX55" s="321"/>
      <c r="AY55" s="321"/>
      <c r="AZ55" s="321"/>
      <c r="BA55" s="321"/>
      <c r="BB55" s="321"/>
      <c r="BC55" s="321"/>
      <c r="BD55" s="321"/>
      <c r="BE55" s="321"/>
      <c r="BF55" s="321"/>
      <c r="BG55" s="321"/>
      <c r="BH55" s="321"/>
      <c r="BI55" s="321"/>
      <c r="BJ55" s="321"/>
      <c r="BK55" s="321"/>
      <c r="BL55" s="321"/>
      <c r="BM55" s="321"/>
      <c r="BN55" s="321"/>
      <c r="BO55" s="321"/>
      <c r="BP55" s="321"/>
      <c r="BQ55" s="321"/>
      <c r="BR55" s="321"/>
      <c r="BS55" s="321"/>
      <c r="BT55" s="321"/>
      <c r="BU55" s="321"/>
      <c r="BV55" s="321"/>
      <c r="BW55" s="321"/>
      <c r="BX55" s="321"/>
      <c r="BY55" s="321"/>
      <c r="BZ55" s="321"/>
      <c r="CA55" s="321"/>
      <c r="CB55" s="321"/>
      <c r="CC55" s="321"/>
      <c r="CD55" s="321"/>
    </row>
    <row r="56" spans="1:82" ht="14.25">
      <c r="A56" s="481"/>
      <c r="L56" s="321"/>
      <c r="M56" s="321"/>
      <c r="N56" s="321"/>
      <c r="O56" s="321"/>
      <c r="P56" s="321"/>
      <c r="Q56" s="321"/>
      <c r="R56" s="321"/>
      <c r="S56" s="321"/>
      <c r="T56" s="321"/>
      <c r="U56" s="321"/>
      <c r="V56" s="321"/>
      <c r="W56" s="321"/>
      <c r="X56" s="321"/>
      <c r="Y56" s="321"/>
      <c r="Z56" s="321"/>
      <c r="AA56" s="321"/>
      <c r="AB56" s="321"/>
      <c r="AC56" s="321"/>
      <c r="AD56" s="321"/>
      <c r="AE56" s="321"/>
      <c r="AF56" s="321"/>
      <c r="AG56" s="321"/>
      <c r="AH56" s="321"/>
      <c r="AI56" s="321"/>
      <c r="AJ56" s="321"/>
      <c r="AK56" s="321"/>
      <c r="AL56" s="321"/>
      <c r="AM56" s="321"/>
      <c r="AN56" s="321"/>
      <c r="AO56" s="321"/>
      <c r="AP56" s="321"/>
      <c r="AQ56" s="321"/>
      <c r="AR56" s="321"/>
      <c r="AS56" s="321"/>
      <c r="AT56" s="321"/>
      <c r="AU56" s="321"/>
      <c r="AV56" s="321"/>
      <c r="AW56" s="321"/>
      <c r="AX56" s="321"/>
      <c r="AY56" s="321"/>
      <c r="AZ56" s="321"/>
      <c r="BA56" s="321"/>
      <c r="BB56" s="321"/>
      <c r="BC56" s="321"/>
      <c r="BD56" s="321"/>
      <c r="BE56" s="321"/>
      <c r="BF56" s="321"/>
      <c r="BG56" s="321"/>
      <c r="BH56" s="321"/>
      <c r="BI56" s="321"/>
      <c r="BJ56" s="321"/>
      <c r="BK56" s="321"/>
      <c r="BL56" s="321"/>
      <c r="BM56" s="321"/>
      <c r="BN56" s="321"/>
      <c r="BO56" s="321"/>
      <c r="BP56" s="321"/>
      <c r="BQ56" s="321"/>
      <c r="BR56" s="321"/>
      <c r="BS56" s="321"/>
      <c r="BT56" s="321"/>
      <c r="BU56" s="321"/>
      <c r="BV56" s="321"/>
      <c r="BW56" s="321"/>
      <c r="BX56" s="321"/>
      <c r="BY56" s="321"/>
      <c r="BZ56" s="321"/>
      <c r="CA56" s="321"/>
      <c r="CB56" s="321"/>
      <c r="CC56" s="321"/>
      <c r="CD56" s="321"/>
    </row>
    <row r="57" spans="12:82" ht="12">
      <c r="L57" s="321"/>
      <c r="M57" s="321"/>
      <c r="N57" s="321"/>
      <c r="O57" s="321"/>
      <c r="P57" s="321"/>
      <c r="Q57" s="321"/>
      <c r="R57" s="321"/>
      <c r="S57" s="321"/>
      <c r="T57" s="321"/>
      <c r="U57" s="321"/>
      <c r="V57" s="321"/>
      <c r="W57" s="321"/>
      <c r="X57" s="321"/>
      <c r="Y57" s="321"/>
      <c r="Z57" s="321"/>
      <c r="AA57" s="321"/>
      <c r="AB57" s="321"/>
      <c r="AC57" s="321"/>
      <c r="AD57" s="321"/>
      <c r="AE57" s="321"/>
      <c r="AF57" s="321"/>
      <c r="AG57" s="321"/>
      <c r="AH57" s="321"/>
      <c r="AI57" s="321"/>
      <c r="AJ57" s="321"/>
      <c r="AK57" s="321"/>
      <c r="AL57" s="321"/>
      <c r="AM57" s="321"/>
      <c r="AN57" s="321"/>
      <c r="AO57" s="321"/>
      <c r="AP57" s="321"/>
      <c r="AQ57" s="321"/>
      <c r="AR57" s="321"/>
      <c r="AS57" s="321"/>
      <c r="AT57" s="321"/>
      <c r="AU57" s="321"/>
      <c r="AV57" s="321"/>
      <c r="AW57" s="321"/>
      <c r="AX57" s="321"/>
      <c r="AY57" s="321"/>
      <c r="AZ57" s="321"/>
      <c r="BA57" s="321"/>
      <c r="BB57" s="321"/>
      <c r="BC57" s="321"/>
      <c r="BD57" s="321"/>
      <c r="BE57" s="321"/>
      <c r="BF57" s="321"/>
      <c r="BG57" s="321"/>
      <c r="BH57" s="321"/>
      <c r="BI57" s="321"/>
      <c r="BJ57" s="321"/>
      <c r="BK57" s="321"/>
      <c r="BL57" s="321"/>
      <c r="BM57" s="321"/>
      <c r="BN57" s="321"/>
      <c r="BO57" s="321"/>
      <c r="BP57" s="321"/>
      <c r="BQ57" s="321"/>
      <c r="BR57" s="321"/>
      <c r="BS57" s="321"/>
      <c r="BT57" s="321"/>
      <c r="BU57" s="321"/>
      <c r="BV57" s="321"/>
      <c r="BW57" s="321"/>
      <c r="BX57" s="321"/>
      <c r="BY57" s="321"/>
      <c r="BZ57" s="321"/>
      <c r="CA57" s="321"/>
      <c r="CB57" s="321"/>
      <c r="CC57" s="321"/>
      <c r="CD57" s="321"/>
    </row>
    <row r="58" spans="12:82" ht="12"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  <c r="AB58" s="321"/>
      <c r="AC58" s="321"/>
      <c r="AD58" s="321"/>
      <c r="AE58" s="321"/>
      <c r="AF58" s="321"/>
      <c r="AG58" s="321"/>
      <c r="AH58" s="321"/>
      <c r="AI58" s="321"/>
      <c r="AJ58" s="321"/>
      <c r="AK58" s="321"/>
      <c r="AL58" s="321"/>
      <c r="AM58" s="321"/>
      <c r="AN58" s="321"/>
      <c r="AO58" s="321"/>
      <c r="AP58" s="321"/>
      <c r="AQ58" s="321"/>
      <c r="AR58" s="321"/>
      <c r="AS58" s="321"/>
      <c r="AT58" s="321"/>
      <c r="AU58" s="321"/>
      <c r="AV58" s="321"/>
      <c r="AW58" s="321"/>
      <c r="AX58" s="321"/>
      <c r="AY58" s="321"/>
      <c r="AZ58" s="321"/>
      <c r="BA58" s="321"/>
      <c r="BB58" s="321"/>
      <c r="BC58" s="321"/>
      <c r="BD58" s="321"/>
      <c r="BE58" s="321"/>
      <c r="BF58" s="321"/>
      <c r="BG58" s="321"/>
      <c r="BH58" s="321"/>
      <c r="BI58" s="321"/>
      <c r="BJ58" s="321"/>
      <c r="BK58" s="321"/>
      <c r="BL58" s="321"/>
      <c r="BM58" s="321"/>
      <c r="BN58" s="321"/>
      <c r="BO58" s="321"/>
      <c r="BP58" s="321"/>
      <c r="BQ58" s="321"/>
      <c r="BR58" s="321"/>
      <c r="BS58" s="321"/>
      <c r="BT58" s="321"/>
      <c r="BU58" s="321"/>
      <c r="BV58" s="321"/>
      <c r="BW58" s="321"/>
      <c r="BX58" s="321"/>
      <c r="BY58" s="321"/>
      <c r="BZ58" s="321"/>
      <c r="CA58" s="321"/>
      <c r="CB58" s="321"/>
      <c r="CC58" s="321"/>
      <c r="CD58" s="321"/>
    </row>
    <row r="59" spans="12:82" ht="12"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/>
      <c r="AZ59" s="321"/>
      <c r="BA59" s="321"/>
      <c r="BB59" s="321"/>
      <c r="BC59" s="321"/>
      <c r="BD59" s="321"/>
      <c r="BE59" s="321"/>
      <c r="BF59" s="321"/>
      <c r="BG59" s="321"/>
      <c r="BH59" s="321"/>
      <c r="BI59" s="321"/>
      <c r="BJ59" s="321"/>
      <c r="BK59" s="321"/>
      <c r="BL59" s="321"/>
      <c r="BM59" s="321"/>
      <c r="BN59" s="321"/>
      <c r="BO59" s="321"/>
      <c r="BP59" s="321"/>
      <c r="BQ59" s="321"/>
      <c r="BR59" s="321"/>
      <c r="BS59" s="321"/>
      <c r="BT59" s="321"/>
      <c r="BU59" s="321"/>
      <c r="BV59" s="321"/>
      <c r="BW59" s="321"/>
      <c r="BX59" s="321"/>
      <c r="BY59" s="321"/>
      <c r="BZ59" s="321"/>
      <c r="CA59" s="321"/>
      <c r="CB59" s="321"/>
      <c r="CC59" s="321"/>
      <c r="CD59" s="321"/>
    </row>
    <row r="60" spans="12:82" ht="12"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321"/>
      <c r="BC60" s="321"/>
      <c r="BD60" s="321"/>
      <c r="BE60" s="321"/>
      <c r="BF60" s="321"/>
      <c r="BG60" s="321"/>
      <c r="BH60" s="321"/>
      <c r="BI60" s="321"/>
      <c r="BJ60" s="321"/>
      <c r="BK60" s="321"/>
      <c r="BL60" s="321"/>
      <c r="BM60" s="321"/>
      <c r="BN60" s="321"/>
      <c r="BO60" s="321"/>
      <c r="BP60" s="321"/>
      <c r="BQ60" s="321"/>
      <c r="BR60" s="321"/>
      <c r="BS60" s="321"/>
      <c r="BT60" s="321"/>
      <c r="BU60" s="321"/>
      <c r="BV60" s="321"/>
      <c r="BW60" s="321"/>
      <c r="BX60" s="321"/>
      <c r="BY60" s="321"/>
      <c r="BZ60" s="321"/>
      <c r="CA60" s="321"/>
      <c r="CB60" s="321"/>
      <c r="CC60" s="321"/>
      <c r="CD60" s="321"/>
    </row>
    <row r="61" spans="12:82" ht="12"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321"/>
      <c r="BC61" s="321"/>
      <c r="BD61" s="321"/>
      <c r="BE61" s="321"/>
      <c r="BF61" s="321"/>
      <c r="BG61" s="321"/>
      <c r="BH61" s="321"/>
      <c r="BI61" s="321"/>
      <c r="BJ61" s="321"/>
      <c r="BK61" s="321"/>
      <c r="BL61" s="321"/>
      <c r="BM61" s="321"/>
      <c r="BN61" s="321"/>
      <c r="BO61" s="321"/>
      <c r="BP61" s="321"/>
      <c r="BQ61" s="321"/>
      <c r="BR61" s="321"/>
      <c r="BS61" s="321"/>
      <c r="BT61" s="321"/>
      <c r="BU61" s="321"/>
      <c r="BV61" s="321"/>
      <c r="BW61" s="321"/>
      <c r="BX61" s="321"/>
      <c r="BY61" s="321"/>
      <c r="BZ61" s="321"/>
      <c r="CA61" s="321"/>
      <c r="CB61" s="321"/>
      <c r="CC61" s="321"/>
      <c r="CD61" s="321"/>
    </row>
    <row r="62" spans="12:82" ht="12">
      <c r="L62" s="321"/>
      <c r="M62" s="321"/>
      <c r="N62" s="321"/>
      <c r="O62" s="321"/>
      <c r="P62" s="321"/>
      <c r="Q62" s="321"/>
      <c r="R62" s="321"/>
      <c r="S62" s="321"/>
      <c r="T62" s="321"/>
      <c r="U62" s="321"/>
      <c r="V62" s="321"/>
      <c r="W62" s="321"/>
      <c r="X62" s="321"/>
      <c r="Y62" s="321"/>
      <c r="Z62" s="321"/>
      <c r="AA62" s="321"/>
      <c r="AB62" s="321"/>
      <c r="AC62" s="321"/>
      <c r="AD62" s="321"/>
      <c r="AE62" s="321"/>
      <c r="AF62" s="321"/>
      <c r="AG62" s="321"/>
      <c r="AH62" s="321"/>
      <c r="AI62" s="321"/>
      <c r="AJ62" s="321"/>
      <c r="AK62" s="321"/>
      <c r="AL62" s="321"/>
      <c r="AM62" s="321"/>
      <c r="AN62" s="321"/>
      <c r="AO62" s="321"/>
      <c r="AP62" s="321"/>
      <c r="AQ62" s="321"/>
      <c r="AR62" s="321"/>
      <c r="AS62" s="321"/>
      <c r="AT62" s="321"/>
      <c r="AU62" s="321"/>
      <c r="AV62" s="321"/>
      <c r="AW62" s="321"/>
      <c r="AX62" s="321"/>
      <c r="AY62" s="321"/>
      <c r="AZ62" s="321"/>
      <c r="BA62" s="321"/>
      <c r="BB62" s="321"/>
      <c r="BC62" s="321"/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1"/>
      <c r="CB62" s="321"/>
      <c r="CC62" s="321"/>
      <c r="CD62" s="321"/>
    </row>
  </sheetData>
  <printOptions/>
  <pageMargins left="1.33" right="0.53" top="1.98" bottom="0.984251968503937" header="0.5118110236220472" footer="0.5118110236220472"/>
  <pageSetup horizontalDpi="300" verticalDpi="300" orientation="portrait" paperSize="9" r:id="rId1"/>
  <headerFooter alignWithMargins="0">
    <oddFooter>&amp;L&amp;"Arial,Regular"&amp;8Valsts kase / Pārskatu departaments
15.06.99.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C96"/>
  <sheetViews>
    <sheetView workbookViewId="0" topLeftCell="F1">
      <selection activeCell="A7" sqref="A7"/>
    </sheetView>
  </sheetViews>
  <sheetFormatPr defaultColWidth="9.140625" defaultRowHeight="12.75"/>
  <cols>
    <col min="1" max="1" width="49.57421875" style="2" hidden="1" customWidth="1"/>
    <col min="2" max="2" width="12.7109375" style="237" hidden="1" customWidth="1"/>
    <col min="3" max="3" width="12.140625" style="2" hidden="1" customWidth="1"/>
    <col min="4" max="4" width="10.28125" style="2" hidden="1" customWidth="1"/>
    <col min="5" max="5" width="13.421875" style="2" hidden="1" customWidth="1"/>
    <col min="6" max="6" width="47.7109375" style="0" customWidth="1"/>
    <col min="7" max="7" width="10.7109375" style="0" customWidth="1"/>
    <col min="8" max="8" width="11.00390625" style="0" customWidth="1"/>
    <col min="9" max="9" width="10.00390625" style="0" customWidth="1"/>
    <col min="10" max="10" width="9.421875" style="0" customWidth="1"/>
    <col min="212" max="16384" width="9.140625" style="2" customWidth="1"/>
  </cols>
  <sheetData>
    <row r="1" spans="5:10" ht="12.75">
      <c r="E1" s="2" t="s">
        <v>309</v>
      </c>
      <c r="F1" s="2"/>
      <c r="G1" s="237"/>
      <c r="H1" s="2"/>
      <c r="I1" s="2"/>
      <c r="J1" s="2" t="s">
        <v>309</v>
      </c>
    </row>
    <row r="2" spans="1:10" ht="18" customHeight="1">
      <c r="A2" s="44" t="s">
        <v>124</v>
      </c>
      <c r="B2" s="238"/>
      <c r="C2" s="44"/>
      <c r="D2" s="44"/>
      <c r="E2" s="44"/>
      <c r="F2" s="44" t="s">
        <v>124</v>
      </c>
      <c r="G2" s="238"/>
      <c r="H2" s="44"/>
      <c r="I2" s="44"/>
      <c r="J2" s="44"/>
    </row>
    <row r="3" spans="6:10" ht="9.75" customHeight="1">
      <c r="F3" s="2"/>
      <c r="G3" s="237"/>
      <c r="H3" s="2"/>
      <c r="I3" s="2"/>
      <c r="J3" s="2"/>
    </row>
    <row r="4" spans="1:10" ht="18.75" customHeight="1">
      <c r="A4" s="283" t="s">
        <v>310</v>
      </c>
      <c r="B4" s="283"/>
      <c r="C4" s="283"/>
      <c r="D4" s="283"/>
      <c r="E4" s="283"/>
      <c r="F4" s="283" t="s">
        <v>311</v>
      </c>
      <c r="G4" s="283"/>
      <c r="H4" s="283"/>
      <c r="I4" s="283"/>
      <c r="J4" s="283"/>
    </row>
    <row r="5" spans="1:10" ht="15.75" customHeight="1">
      <c r="A5" s="239"/>
      <c r="B5" s="238"/>
      <c r="C5" s="44"/>
      <c r="D5" s="101"/>
      <c r="E5" s="101"/>
      <c r="F5" s="239"/>
      <c r="G5" s="238"/>
      <c r="H5" s="44"/>
      <c r="I5" s="101"/>
      <c r="J5" s="101" t="s">
        <v>312</v>
      </c>
    </row>
    <row r="6" spans="1:10" ht="45">
      <c r="A6" s="12" t="s">
        <v>7</v>
      </c>
      <c r="B6" s="126" t="s">
        <v>9</v>
      </c>
      <c r="C6" s="12" t="s">
        <v>10</v>
      </c>
      <c r="D6" s="12" t="s">
        <v>313</v>
      </c>
      <c r="E6" s="12" t="s">
        <v>314</v>
      </c>
      <c r="F6" s="12" t="s">
        <v>7</v>
      </c>
      <c r="G6" s="126" t="s">
        <v>9</v>
      </c>
      <c r="H6" s="12" t="s">
        <v>10</v>
      </c>
      <c r="I6" s="12" t="s">
        <v>313</v>
      </c>
      <c r="J6" s="12" t="s">
        <v>315</v>
      </c>
    </row>
    <row r="7" spans="1:10" ht="12.75">
      <c r="A7" s="12">
        <v>1</v>
      </c>
      <c r="B7" s="126">
        <v>2</v>
      </c>
      <c r="C7" s="12">
        <v>3</v>
      </c>
      <c r="D7" s="12">
        <v>4</v>
      </c>
      <c r="E7" s="12">
        <v>5</v>
      </c>
      <c r="F7" s="12">
        <v>1</v>
      </c>
      <c r="G7" s="126">
        <v>2</v>
      </c>
      <c r="H7" s="12">
        <v>3</v>
      </c>
      <c r="I7" s="12">
        <v>4</v>
      </c>
      <c r="J7" s="12">
        <v>5</v>
      </c>
    </row>
    <row r="8" spans="1:10" ht="30" customHeight="1">
      <c r="A8" s="150" t="s">
        <v>316</v>
      </c>
      <c r="B8" s="107">
        <f>SUM(B21,B29)</f>
        <v>1414534845</v>
      </c>
      <c r="C8" s="107">
        <f>SUM(C21,C29)</f>
        <v>507600000</v>
      </c>
      <c r="D8" s="55">
        <f>IF(ISERROR(C8/B8)," ",(C8/B8))</f>
        <v>0.35884587912007215</v>
      </c>
      <c r="E8" s="107">
        <f>SUM(E21,E29)</f>
        <v>103531000</v>
      </c>
      <c r="F8" s="150" t="s">
        <v>316</v>
      </c>
      <c r="G8" s="177">
        <f>SUM(G21,G29)</f>
        <v>1414536</v>
      </c>
      <c r="H8" s="177">
        <f>SUM(H21,H29)</f>
        <v>507600</v>
      </c>
      <c r="I8" s="19">
        <f>IF(ISERROR(H8/G8)," ",(H8/G8))</f>
        <v>0.3588455861144573</v>
      </c>
      <c r="J8" s="177">
        <f>SUM(J21,J29)</f>
        <v>103531</v>
      </c>
    </row>
    <row r="9" spans="1:10" ht="29.25" customHeight="1">
      <c r="A9" s="240" t="s">
        <v>317</v>
      </c>
      <c r="B9" s="107">
        <f>SUM(B10,B18,B19)</f>
        <v>720918773</v>
      </c>
      <c r="C9" s="107">
        <f>SUM(C10,C18,C19)</f>
        <v>263663000</v>
      </c>
      <c r="D9" s="55">
        <f aca="true" t="shared" si="0" ref="D9:D45">IF(ISERROR(C9/B9)," ",(C9/B9))</f>
        <v>0.3657319102716722</v>
      </c>
      <c r="E9" s="107">
        <f>SUM(E10,E18,E19)</f>
        <v>54975000</v>
      </c>
      <c r="F9" s="240" t="s">
        <v>317</v>
      </c>
      <c r="G9" s="111">
        <f>SUM(G10,G18,G19)</f>
        <v>720919</v>
      </c>
      <c r="H9" s="111">
        <f>SUM(H10,H18,H19)</f>
        <v>263663</v>
      </c>
      <c r="I9" s="102">
        <f aca="true" t="shared" si="1" ref="I9:I45">IF(ISERROR(H9/G9)," ",(H9/G9))</f>
        <v>0.3657317951115174</v>
      </c>
      <c r="J9" s="111">
        <f>SUM(J10,J18,J19)</f>
        <v>54975</v>
      </c>
    </row>
    <row r="10" spans="1:10" ht="19.5" customHeight="1">
      <c r="A10" s="130" t="s">
        <v>318</v>
      </c>
      <c r="B10" s="155">
        <f>SUM(B11,B13,B17)</f>
        <v>577462850</v>
      </c>
      <c r="C10" s="155">
        <f>SUM(C11,C13,C17)</f>
        <v>221011000</v>
      </c>
      <c r="D10" s="69">
        <f t="shared" si="0"/>
        <v>0.38272765079173493</v>
      </c>
      <c r="E10" s="155">
        <f>SUM(E11,E13,E17)</f>
        <v>44125000</v>
      </c>
      <c r="F10" s="130" t="s">
        <v>318</v>
      </c>
      <c r="G10" s="155">
        <f>SUM(G11,G13,G17)</f>
        <v>577463</v>
      </c>
      <c r="H10" s="155">
        <f>SUM(H11,H13,H17)</f>
        <v>221011</v>
      </c>
      <c r="I10" s="27">
        <f t="shared" si="1"/>
        <v>0.38272755137558595</v>
      </c>
      <c r="J10" s="155">
        <f>SUM(J11,J13,J17)</f>
        <v>44125</v>
      </c>
    </row>
    <row r="11" spans="1:10" ht="15.75" customHeight="1">
      <c r="A11" s="29" t="s">
        <v>319</v>
      </c>
      <c r="B11" s="155">
        <f>SUM(B12)</f>
        <v>90900000</v>
      </c>
      <c r="C11" s="155">
        <f>SUM(C12)</f>
        <v>43326000</v>
      </c>
      <c r="D11" s="69">
        <f t="shared" si="0"/>
        <v>0.4766336633663366</v>
      </c>
      <c r="E11" s="155">
        <f>SUM(E12)</f>
        <v>10801000</v>
      </c>
      <c r="F11" s="29" t="s">
        <v>319</v>
      </c>
      <c r="G11" s="155">
        <f>SUM(G12)</f>
        <v>90900</v>
      </c>
      <c r="H11" s="155">
        <f>SUM(H12)</f>
        <v>43326</v>
      </c>
      <c r="I11" s="27">
        <f t="shared" si="1"/>
        <v>0.4766336633663366</v>
      </c>
      <c r="J11" s="155">
        <f>SUM(J12)</f>
        <v>10801</v>
      </c>
    </row>
    <row r="12" spans="1:10" ht="15.75" customHeight="1">
      <c r="A12" s="28" t="s">
        <v>320</v>
      </c>
      <c r="B12" s="155">
        <f>90900000</f>
        <v>90900000</v>
      </c>
      <c r="C12" s="155">
        <v>43326000</v>
      </c>
      <c r="D12" s="69">
        <f t="shared" si="0"/>
        <v>0.4766336633663366</v>
      </c>
      <c r="E12" s="155">
        <f>C12-'[7]Aprīlis'!C12</f>
        <v>10801000</v>
      </c>
      <c r="F12" s="28" t="s">
        <v>320</v>
      </c>
      <c r="G12" s="155">
        <f>ROUND(B12/1000,0)</f>
        <v>90900</v>
      </c>
      <c r="H12" s="155">
        <f>ROUND(C12/1000,0)</f>
        <v>43326</v>
      </c>
      <c r="I12" s="27">
        <f t="shared" si="1"/>
        <v>0.4766336633663366</v>
      </c>
      <c r="J12" s="155">
        <f>H12-'[7]Aprīlis'!H12</f>
        <v>10801</v>
      </c>
    </row>
    <row r="13" spans="1:10" ht="16.5" customHeight="1">
      <c r="A13" s="29" t="s">
        <v>321</v>
      </c>
      <c r="B13" s="155">
        <f>SUM(B14:B16)</f>
        <v>486562850</v>
      </c>
      <c r="C13" s="155">
        <f>SUM(C14:C16)</f>
        <v>173643000</v>
      </c>
      <c r="D13" s="69">
        <f t="shared" si="0"/>
        <v>0.3568768145780139</v>
      </c>
      <c r="E13" s="155">
        <f>SUM(E14:E16)</f>
        <v>34183000</v>
      </c>
      <c r="F13" s="29" t="s">
        <v>321</v>
      </c>
      <c r="G13" s="155">
        <f>SUM(G14:G16)</f>
        <v>486563</v>
      </c>
      <c r="H13" s="155">
        <f>SUM(H14:H16)</f>
        <v>173643</v>
      </c>
      <c r="I13" s="27">
        <f t="shared" si="1"/>
        <v>0.35687670455829973</v>
      </c>
      <c r="J13" s="155">
        <f>SUM(J14:J16)</f>
        <v>34183</v>
      </c>
    </row>
    <row r="14" spans="1:10" ht="17.25" customHeight="1">
      <c r="A14" s="30" t="s">
        <v>322</v>
      </c>
      <c r="B14" s="155">
        <v>345763150</v>
      </c>
      <c r="C14" s="155">
        <v>122928000</v>
      </c>
      <c r="D14" s="69">
        <f t="shared" si="0"/>
        <v>0.3555266083155478</v>
      </c>
      <c r="E14" s="155">
        <f>C14-'[7]Aprīlis'!C14</f>
        <v>23336000</v>
      </c>
      <c r="F14" s="30" t="s">
        <v>322</v>
      </c>
      <c r="G14" s="155">
        <f aca="true" t="shared" si="2" ref="G14:H18">ROUND(B14/1000,0)</f>
        <v>345763</v>
      </c>
      <c r="H14" s="155">
        <f t="shared" si="2"/>
        <v>122928</v>
      </c>
      <c r="I14" s="27">
        <f t="shared" si="1"/>
        <v>0.3555267625512273</v>
      </c>
      <c r="J14" s="155">
        <f>H14-'[7]Aprīlis'!H14</f>
        <v>23336</v>
      </c>
    </row>
    <row r="15" spans="1:10" ht="17.25" customHeight="1">
      <c r="A15" s="28" t="s">
        <v>323</v>
      </c>
      <c r="B15" s="155">
        <v>122199700</v>
      </c>
      <c r="C15" s="155">
        <v>44391000</v>
      </c>
      <c r="D15" s="69">
        <f t="shared" si="0"/>
        <v>0.3632660309313362</v>
      </c>
      <c r="E15" s="155">
        <f>C15-'[7]Aprīlis'!C15</f>
        <v>9455000</v>
      </c>
      <c r="F15" s="28" t="s">
        <v>323</v>
      </c>
      <c r="G15" s="155">
        <f t="shared" si="2"/>
        <v>122200</v>
      </c>
      <c r="H15" s="155">
        <f t="shared" si="2"/>
        <v>44391</v>
      </c>
      <c r="I15" s="27">
        <f t="shared" si="1"/>
        <v>0.36326513911620295</v>
      </c>
      <c r="J15" s="155">
        <f>H15-'[7]Aprīlis'!H15</f>
        <v>9455</v>
      </c>
    </row>
    <row r="16" spans="1:10" ht="16.5" customHeight="1">
      <c r="A16" s="28" t="s">
        <v>324</v>
      </c>
      <c r="B16" s="155">
        <v>18600000</v>
      </c>
      <c r="C16" s="155">
        <v>6324000</v>
      </c>
      <c r="D16" s="69">
        <f t="shared" si="0"/>
        <v>0.34</v>
      </c>
      <c r="E16" s="155">
        <f>C16-'[7]Aprīlis'!C16</f>
        <v>1392000</v>
      </c>
      <c r="F16" s="28" t="s">
        <v>324</v>
      </c>
      <c r="G16" s="155">
        <f t="shared" si="2"/>
        <v>18600</v>
      </c>
      <c r="H16" s="155">
        <f t="shared" si="2"/>
        <v>6324</v>
      </c>
      <c r="I16" s="27">
        <f t="shared" si="1"/>
        <v>0.34</v>
      </c>
      <c r="J16" s="155">
        <f>H16-'[7]Aprīlis'!H16</f>
        <v>1392</v>
      </c>
    </row>
    <row r="17" spans="1:10" ht="15.75" customHeight="1">
      <c r="A17" s="29" t="s">
        <v>325</v>
      </c>
      <c r="B17" s="155"/>
      <c r="C17" s="155">
        <v>4042000</v>
      </c>
      <c r="D17" s="69" t="str">
        <f t="shared" si="0"/>
        <v> </v>
      </c>
      <c r="E17" s="155">
        <f>C17-'[7]Aprīlis'!C17</f>
        <v>-859000</v>
      </c>
      <c r="F17" s="29" t="s">
        <v>325</v>
      </c>
      <c r="G17" s="155">
        <f t="shared" si="2"/>
        <v>0</v>
      </c>
      <c r="H17" s="155">
        <f t="shared" si="2"/>
        <v>4042</v>
      </c>
      <c r="I17" s="27" t="str">
        <f t="shared" si="1"/>
        <v> </v>
      </c>
      <c r="J17" s="155">
        <f>H17-'[7]Aprīlis'!H17</f>
        <v>-859</v>
      </c>
    </row>
    <row r="18" spans="1:10" ht="19.5" customHeight="1">
      <c r="A18" s="130" t="s">
        <v>326</v>
      </c>
      <c r="B18" s="155">
        <v>80229200</v>
      </c>
      <c r="C18" s="155">
        <v>19368000</v>
      </c>
      <c r="D18" s="69">
        <f t="shared" si="0"/>
        <v>0.2414083650341771</v>
      </c>
      <c r="E18" s="155">
        <f>C18-'[7]Aprīlis'!C18</f>
        <v>6324000</v>
      </c>
      <c r="F18" s="130" t="s">
        <v>326</v>
      </c>
      <c r="G18" s="155">
        <f t="shared" si="2"/>
        <v>80229</v>
      </c>
      <c r="H18" s="155">
        <f t="shared" si="2"/>
        <v>19368</v>
      </c>
      <c r="I18" s="27">
        <f t="shared" si="1"/>
        <v>0.24140896683244215</v>
      </c>
      <c r="J18" s="155">
        <f>H18-'[7]Aprīlis'!H18</f>
        <v>6324</v>
      </c>
    </row>
    <row r="19" spans="1:10" ht="18.75" customHeight="1">
      <c r="A19" s="241" t="s">
        <v>327</v>
      </c>
      <c r="B19" s="155">
        <v>63226723</v>
      </c>
      <c r="C19" s="155">
        <v>23284000</v>
      </c>
      <c r="D19" s="69">
        <f t="shared" si="0"/>
        <v>0.3682620084548744</v>
      </c>
      <c r="E19" s="155">
        <f>C19-'[7]Aprīlis'!C19</f>
        <v>4526000</v>
      </c>
      <c r="F19" s="241" t="s">
        <v>327</v>
      </c>
      <c r="G19" s="155">
        <f>ROUND(B19/1000,0)</f>
        <v>63227</v>
      </c>
      <c r="H19" s="155">
        <f>ROUND(C19/1000,0)</f>
        <v>23284</v>
      </c>
      <c r="I19" s="27">
        <f t="shared" si="1"/>
        <v>0.3682603950843785</v>
      </c>
      <c r="J19" s="155">
        <f>H19-'[7]Aprīlis'!H19</f>
        <v>4526</v>
      </c>
    </row>
    <row r="20" spans="1:10" ht="18.75" customHeight="1">
      <c r="A20" s="169" t="s">
        <v>328</v>
      </c>
      <c r="B20" s="155">
        <v>49213200</v>
      </c>
      <c r="C20" s="155">
        <v>5421000</v>
      </c>
      <c r="D20" s="69">
        <f t="shared" si="0"/>
        <v>0.11015337348516252</v>
      </c>
      <c r="E20" s="155">
        <f>C20-'[7]Aprīlis'!C20</f>
        <v>3587000</v>
      </c>
      <c r="F20" s="169" t="s">
        <v>329</v>
      </c>
      <c r="G20" s="164">
        <f>ROUND(B20/1000,0)</f>
        <v>49213</v>
      </c>
      <c r="H20" s="164">
        <f>ROUND(C20/1000,0)</f>
        <v>5421</v>
      </c>
      <c r="I20" s="122">
        <f t="shared" si="1"/>
        <v>0.11015382114481946</v>
      </c>
      <c r="J20" s="155">
        <f>H20-'[7]Aprīlis'!H20</f>
        <v>3587</v>
      </c>
    </row>
    <row r="21" spans="1:10" ht="19.5" customHeight="1">
      <c r="A21" s="240" t="s">
        <v>330</v>
      </c>
      <c r="B21" s="107">
        <f>SUM(B9-B20)</f>
        <v>671705573</v>
      </c>
      <c r="C21" s="107">
        <f>SUM(C9-C20)</f>
        <v>258242000</v>
      </c>
      <c r="D21" s="55">
        <f t="shared" si="0"/>
        <v>0.3844571347631204</v>
      </c>
      <c r="E21" s="107">
        <f>SUM(E9-E20)</f>
        <v>51388000</v>
      </c>
      <c r="F21" s="240" t="s">
        <v>330</v>
      </c>
      <c r="G21" s="111">
        <f>SUM(G9-G20)</f>
        <v>671706</v>
      </c>
      <c r="H21" s="111">
        <f>SUM(H9-H20)</f>
        <v>258242</v>
      </c>
      <c r="I21" s="102">
        <f t="shared" si="1"/>
        <v>0.3844568903657255</v>
      </c>
      <c r="J21" s="111">
        <f>SUM(J9-J20)</f>
        <v>51388</v>
      </c>
    </row>
    <row r="22" spans="1:10" ht="24.75" customHeight="1">
      <c r="A22" s="242" t="s">
        <v>331</v>
      </c>
      <c r="B22" s="107">
        <f>SUM(B23)</f>
        <v>810358111</v>
      </c>
      <c r="C22" s="107">
        <f>SUM(C23)</f>
        <v>274469000</v>
      </c>
      <c r="D22" s="55">
        <f t="shared" si="0"/>
        <v>0.3387008734463077</v>
      </c>
      <c r="E22" s="107">
        <f>SUM(E23)</f>
        <v>59094000</v>
      </c>
      <c r="F22" s="242" t="s">
        <v>331</v>
      </c>
      <c r="G22" s="111">
        <f>SUM(G23)</f>
        <v>810359</v>
      </c>
      <c r="H22" s="111">
        <f>SUM(H23)</f>
        <v>274469</v>
      </c>
      <c r="I22" s="102">
        <f t="shared" si="1"/>
        <v>0.3387005018763289</v>
      </c>
      <c r="J22" s="111">
        <f>SUM(J23)</f>
        <v>59094</v>
      </c>
    </row>
    <row r="23" spans="1:10" ht="15" customHeight="1">
      <c r="A23" s="130" t="s">
        <v>332</v>
      </c>
      <c r="B23" s="155">
        <f>SUM(B24:B27)</f>
        <v>810358111</v>
      </c>
      <c r="C23" s="155">
        <f>SUM(C24:C27)</f>
        <v>274469000</v>
      </c>
      <c r="D23" s="69">
        <f t="shared" si="0"/>
        <v>0.3387008734463077</v>
      </c>
      <c r="E23" s="155">
        <f>SUM(E24:E27)</f>
        <v>59094000</v>
      </c>
      <c r="F23" s="130" t="s">
        <v>332</v>
      </c>
      <c r="G23" s="155">
        <f>SUM(G24:G27)</f>
        <v>810359</v>
      </c>
      <c r="H23" s="155">
        <f>SUM(H24:H27)</f>
        <v>274469</v>
      </c>
      <c r="I23" s="27">
        <f t="shared" si="1"/>
        <v>0.3387005018763289</v>
      </c>
      <c r="J23" s="155">
        <f>SUM(J24:J27)</f>
        <v>59094</v>
      </c>
    </row>
    <row r="24" spans="1:211" s="1" customFormat="1" ht="15" customHeight="1">
      <c r="A24" s="28" t="s">
        <v>333</v>
      </c>
      <c r="B24" s="155">
        <v>472550000</v>
      </c>
      <c r="C24" s="155">
        <v>176181000</v>
      </c>
      <c r="D24" s="69">
        <f t="shared" si="0"/>
        <v>0.3728303883186964</v>
      </c>
      <c r="E24" s="155">
        <f>C24-'[7]Aprīlis'!C24</f>
        <v>36736428</v>
      </c>
      <c r="F24" s="28" t="s">
        <v>333</v>
      </c>
      <c r="G24" s="155">
        <f aca="true" t="shared" si="3" ref="G24:H26">ROUND(B24/1000,0)</f>
        <v>472550</v>
      </c>
      <c r="H24" s="155">
        <f t="shared" si="3"/>
        <v>176181</v>
      </c>
      <c r="I24" s="27">
        <f t="shared" si="1"/>
        <v>0.3728303883186964</v>
      </c>
      <c r="J24" s="155">
        <f>H24-'[7]Aprīlis'!H24</f>
        <v>36736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</row>
    <row r="25" spans="1:211" s="1" customFormat="1" ht="15.75" customHeight="1">
      <c r="A25" s="243" t="s">
        <v>334</v>
      </c>
      <c r="B25" s="155">
        <v>71100000</v>
      </c>
      <c r="C25" s="155">
        <v>17598000</v>
      </c>
      <c r="D25" s="69">
        <f t="shared" si="0"/>
        <v>0.24751054852320675</v>
      </c>
      <c r="E25" s="155">
        <f>C25-'[7]Aprīlis'!C25</f>
        <v>5638000</v>
      </c>
      <c r="F25" s="243" t="s">
        <v>334</v>
      </c>
      <c r="G25" s="155">
        <f t="shared" si="3"/>
        <v>71100</v>
      </c>
      <c r="H25" s="155">
        <f t="shared" si="3"/>
        <v>17598</v>
      </c>
      <c r="I25" s="27">
        <f t="shared" si="1"/>
        <v>0.24751054852320675</v>
      </c>
      <c r="J25" s="155">
        <f>H25-'[7]Aprīlis'!H25</f>
        <v>5638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</row>
    <row r="26" spans="1:211" s="1" customFormat="1" ht="15.75" customHeight="1">
      <c r="A26" s="243" t="s">
        <v>335</v>
      </c>
      <c r="B26" s="155">
        <v>69125600</v>
      </c>
      <c r="C26" s="155">
        <f>27798000</f>
        <v>27798000</v>
      </c>
      <c r="D26" s="69">
        <f t="shared" si="0"/>
        <v>0.4021375582996748</v>
      </c>
      <c r="E26" s="155">
        <f>C26-'[7]Aprīlis'!C26</f>
        <v>5895000</v>
      </c>
      <c r="F26" s="243" t="s">
        <v>335</v>
      </c>
      <c r="G26" s="155">
        <f t="shared" si="3"/>
        <v>69126</v>
      </c>
      <c r="H26" s="155">
        <f t="shared" si="3"/>
        <v>27798</v>
      </c>
      <c r="I26" s="27">
        <f t="shared" si="1"/>
        <v>0.40213523131672596</v>
      </c>
      <c r="J26" s="155">
        <f>H26-'[7]Aprīlis'!H26</f>
        <v>5895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</row>
    <row r="27" spans="1:211" s="1" customFormat="1" ht="15.75" customHeight="1">
      <c r="A27" s="28" t="s">
        <v>336</v>
      </c>
      <c r="B27" s="155">
        <v>197582511</v>
      </c>
      <c r="C27" s="155">
        <f>52590000+302000</f>
        <v>52892000</v>
      </c>
      <c r="D27" s="69">
        <f t="shared" si="0"/>
        <v>0.26769575774851856</v>
      </c>
      <c r="E27" s="155">
        <f>C27-'[7]Aprīlis'!C27</f>
        <v>10824572</v>
      </c>
      <c r="F27" s="28" t="s">
        <v>336</v>
      </c>
      <c r="G27" s="155">
        <f>ROUND(B27/1000,0)</f>
        <v>197583</v>
      </c>
      <c r="H27" s="155">
        <f>ROUND(C27/1000,0)</f>
        <v>52892</v>
      </c>
      <c r="I27" s="27">
        <f t="shared" si="1"/>
        <v>0.2676950952258038</v>
      </c>
      <c r="J27" s="155">
        <f>H27-'[7]Aprīlis'!H27</f>
        <v>10825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</row>
    <row r="28" spans="1:211" s="1" customFormat="1" ht="15" customHeight="1">
      <c r="A28" s="244" t="s">
        <v>337</v>
      </c>
      <c r="B28" s="155">
        <v>67528839</v>
      </c>
      <c r="C28" s="155">
        <v>25111000</v>
      </c>
      <c r="D28" s="69">
        <f t="shared" si="0"/>
        <v>0.3718559414297053</v>
      </c>
      <c r="E28" s="155">
        <f>C28-'[7]Aprīlis'!C28</f>
        <v>6951000</v>
      </c>
      <c r="F28" s="244" t="s">
        <v>338</v>
      </c>
      <c r="G28" s="164">
        <f>ROUND(B28/1000,0)</f>
        <v>67529</v>
      </c>
      <c r="H28" s="164">
        <f>ROUND(C28/1000,0)</f>
        <v>25111</v>
      </c>
      <c r="I28" s="122">
        <f t="shared" si="1"/>
        <v>0.3718550548653171</v>
      </c>
      <c r="J28" s="164">
        <f>H28-'[7]Aprīlis'!H28</f>
        <v>6951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</row>
    <row r="29" spans="1:10" ht="22.5" customHeight="1">
      <c r="A29" s="240" t="s">
        <v>339</v>
      </c>
      <c r="B29" s="107">
        <f>SUM(B22-B28)</f>
        <v>742829272</v>
      </c>
      <c r="C29" s="107">
        <f>SUM(C22-C28)</f>
        <v>249358000</v>
      </c>
      <c r="D29" s="55">
        <f t="shared" si="0"/>
        <v>0.33568682522247184</v>
      </c>
      <c r="E29" s="107">
        <f>SUM(E22-E28)</f>
        <v>52143000</v>
      </c>
      <c r="F29" s="240" t="s">
        <v>339</v>
      </c>
      <c r="G29" s="111">
        <f>SUM(G22-G28)</f>
        <v>742830</v>
      </c>
      <c r="H29" s="111">
        <f>SUM(H22-H28)</f>
        <v>249358</v>
      </c>
      <c r="I29" s="102">
        <f t="shared" si="1"/>
        <v>0.3356864962373625</v>
      </c>
      <c r="J29" s="111">
        <f>SUM(J22-J28)</f>
        <v>52143</v>
      </c>
    </row>
    <row r="30" spans="1:10" ht="29.25" customHeight="1">
      <c r="A30" s="127" t="s">
        <v>340</v>
      </c>
      <c r="B30" s="107">
        <f>SUM(B31:B33)</f>
        <v>1475060465</v>
      </c>
      <c r="C30" s="107">
        <f>SUM(C31:C33)</f>
        <v>548255738</v>
      </c>
      <c r="D30" s="55">
        <f t="shared" si="0"/>
        <v>0.3716835689172918</v>
      </c>
      <c r="E30" s="107">
        <f>SUM(E31:E33)</f>
        <v>120606094</v>
      </c>
      <c r="F30" s="127" t="s">
        <v>340</v>
      </c>
      <c r="G30" s="177">
        <f>SUM(G31:G33)</f>
        <v>1475061</v>
      </c>
      <c r="H30" s="177">
        <f>SUM(H31:H33)</f>
        <v>548256</v>
      </c>
      <c r="I30" s="19">
        <f t="shared" si="1"/>
        <v>0.3716836117285997</v>
      </c>
      <c r="J30" s="177">
        <f>SUM(J31:J33)</f>
        <v>120606</v>
      </c>
    </row>
    <row r="31" spans="1:10" ht="28.5" customHeight="1">
      <c r="A31" s="127" t="s">
        <v>341</v>
      </c>
      <c r="B31" s="107">
        <f>SUM(B43+B65)</f>
        <v>1343452121</v>
      </c>
      <c r="C31" s="107">
        <f>SUM(C43+C65)</f>
        <v>520669000</v>
      </c>
      <c r="D31" s="55">
        <f t="shared" si="0"/>
        <v>0.3875605180573458</v>
      </c>
      <c r="E31" s="107">
        <f>SUM(E43+E65)</f>
        <v>109333000</v>
      </c>
      <c r="F31" s="127" t="s">
        <v>342</v>
      </c>
      <c r="G31" s="177">
        <f>SUM(G43+G65)</f>
        <v>1343453</v>
      </c>
      <c r="H31" s="177">
        <f>SUM(H43+H65)</f>
        <v>520669</v>
      </c>
      <c r="I31" s="19">
        <f t="shared" si="1"/>
        <v>0.38756026448264286</v>
      </c>
      <c r="J31" s="177">
        <f>SUM(J43+J65)</f>
        <v>109333</v>
      </c>
    </row>
    <row r="32" spans="1:10" ht="25.5" customHeight="1">
      <c r="A32" s="127" t="s">
        <v>343</v>
      </c>
      <c r="B32" s="107">
        <f>SUM(B45+B67)</f>
        <v>43264522</v>
      </c>
      <c r="C32" s="107">
        <f>SUM(C45+C67)</f>
        <v>8540000</v>
      </c>
      <c r="D32" s="55">
        <f t="shared" si="0"/>
        <v>0.19739036987395817</v>
      </c>
      <c r="E32" s="107">
        <f>SUM(E45+E67)</f>
        <v>3971000</v>
      </c>
      <c r="F32" s="127" t="s">
        <v>344</v>
      </c>
      <c r="G32" s="177">
        <f>SUM(G45+G67)</f>
        <v>43264</v>
      </c>
      <c r="H32" s="177">
        <f>SUM(H45+H67)</f>
        <v>8540</v>
      </c>
      <c r="I32" s="19">
        <f t="shared" si="1"/>
        <v>0.19739275147928995</v>
      </c>
      <c r="J32" s="177">
        <f>SUM(J45+J67)</f>
        <v>3971</v>
      </c>
    </row>
    <row r="33" spans="1:10" ht="30" customHeight="1">
      <c r="A33" s="127" t="s">
        <v>345</v>
      </c>
      <c r="B33" s="107">
        <f>SUM(B50+B69)</f>
        <v>88343822</v>
      </c>
      <c r="C33" s="107">
        <f>SUM(C50+C69)</f>
        <v>19046738</v>
      </c>
      <c r="D33" s="55">
        <f t="shared" si="0"/>
        <v>0.21559784904936533</v>
      </c>
      <c r="E33" s="107">
        <f>SUM(E50+E69)</f>
        <v>7302094</v>
      </c>
      <c r="F33" s="127" t="s">
        <v>346</v>
      </c>
      <c r="G33" s="177">
        <f>SUM(G50+G69)</f>
        <v>88344</v>
      </c>
      <c r="H33" s="177">
        <f>SUM(H50+H69)</f>
        <v>19047</v>
      </c>
      <c r="I33" s="19">
        <f t="shared" si="1"/>
        <v>0.21560038033143167</v>
      </c>
      <c r="J33" s="177">
        <f>SUM(J50+J69)</f>
        <v>7302</v>
      </c>
    </row>
    <row r="34" spans="1:10" ht="27.75" customHeight="1">
      <c r="A34" s="127" t="s">
        <v>347</v>
      </c>
      <c r="B34" s="107">
        <f>SUM(B8-B30)</f>
        <v>-60525620</v>
      </c>
      <c r="C34" s="107">
        <f>SUM(C8-C30)</f>
        <v>-40655738</v>
      </c>
      <c r="D34" s="55">
        <f t="shared" si="0"/>
        <v>0.671711219149841</v>
      </c>
      <c r="E34" s="107">
        <f>SUM(E8-E30)</f>
        <v>-17075094</v>
      </c>
      <c r="F34" s="127" t="s">
        <v>347</v>
      </c>
      <c r="G34" s="177">
        <f>SUM(G8-G30)</f>
        <v>-60525</v>
      </c>
      <c r="H34" s="177">
        <f>SUM(H8-H30)</f>
        <v>-40656</v>
      </c>
      <c r="I34" s="19">
        <f t="shared" si="1"/>
        <v>0.671722428748451</v>
      </c>
      <c r="J34" s="177">
        <f>SUM(J8-J30)</f>
        <v>-17075</v>
      </c>
    </row>
    <row r="35" spans="1:10" ht="24.75" customHeight="1">
      <c r="A35" s="127" t="s">
        <v>348</v>
      </c>
      <c r="B35" s="107">
        <f>SUM(B52+B71)</f>
        <v>51992655</v>
      </c>
      <c r="C35" s="107">
        <f>SUM(C52+C71)</f>
        <v>3779000</v>
      </c>
      <c r="D35" s="55">
        <f t="shared" si="0"/>
        <v>0.07268334344533858</v>
      </c>
      <c r="E35" s="107">
        <f>SUM(E52+E71)</f>
        <v>1598142</v>
      </c>
      <c r="F35" s="127" t="s">
        <v>348</v>
      </c>
      <c r="G35" s="177">
        <f>SUM(G52+G71)</f>
        <v>51993</v>
      </c>
      <c r="H35" s="177">
        <f>SUM(H52+H71)</f>
        <v>3779</v>
      </c>
      <c r="I35" s="19">
        <f t="shared" si="1"/>
        <v>0.07268286115438617</v>
      </c>
      <c r="J35" s="177">
        <f>SUM(J52+J71)</f>
        <v>1598</v>
      </c>
    </row>
    <row r="36" spans="1:10" ht="27.75" customHeight="1">
      <c r="A36" s="127" t="s">
        <v>349</v>
      </c>
      <c r="B36" s="107">
        <f>SUM(B30+B35)</f>
        <v>1527053120</v>
      </c>
      <c r="C36" s="107">
        <f>SUM(C30+C35)</f>
        <v>552034738</v>
      </c>
      <c r="D36" s="55">
        <f t="shared" si="0"/>
        <v>0.3615032972788792</v>
      </c>
      <c r="E36" s="107">
        <f>SUM(E30+E35)</f>
        <v>122204236</v>
      </c>
      <c r="F36" s="127" t="s">
        <v>350</v>
      </c>
      <c r="G36" s="177">
        <f>SUM(G30+G35)</f>
        <v>1527054</v>
      </c>
      <c r="H36" s="177">
        <f>SUM(H30+H35)</f>
        <v>552035</v>
      </c>
      <c r="I36" s="19">
        <f t="shared" si="1"/>
        <v>0.3615032605264778</v>
      </c>
      <c r="J36" s="177">
        <f>SUM(J30+J35)</f>
        <v>122204</v>
      </c>
    </row>
    <row r="37" spans="1:10" ht="31.5" customHeight="1">
      <c r="A37" s="127" t="s">
        <v>351</v>
      </c>
      <c r="B37" s="107">
        <f>IF((B34-B35=B8-B36)=TRUE,B34-B35,9)</f>
        <v>-112518275</v>
      </c>
      <c r="C37" s="107">
        <f>IF((C34-C35=C8-C36)=TRUE,C34-C35,9)</f>
        <v>-44434738</v>
      </c>
      <c r="D37" s="55">
        <f t="shared" si="0"/>
        <v>0.39491129774252226</v>
      </c>
      <c r="E37" s="107">
        <f>IF((E34-E35=E8-E36)=TRUE,E34-E35,9)</f>
        <v>-18673236</v>
      </c>
      <c r="F37" s="127" t="s">
        <v>351</v>
      </c>
      <c r="G37" s="177">
        <f>IF((G34-G35=G8-G36)=TRUE,G34-G35,9)</f>
        <v>-112518</v>
      </c>
      <c r="H37" s="177">
        <f>IF((H34-H35=H8-H36)=TRUE,H34-H35,9)</f>
        <v>-44435</v>
      </c>
      <c r="I37" s="19">
        <f t="shared" si="1"/>
        <v>0.3949145914431469</v>
      </c>
      <c r="J37" s="177">
        <f>IF((J34-J35=J8-J36)=TRUE,J34-J35,9)</f>
        <v>-18673</v>
      </c>
    </row>
    <row r="38" spans="1:10" ht="18.75" customHeight="1">
      <c r="A38" s="240" t="s">
        <v>352</v>
      </c>
      <c r="B38" s="107">
        <f>B41+B44+B48</f>
        <v>720918773</v>
      </c>
      <c r="C38" s="107">
        <f>C41+C44+C48</f>
        <v>270977000</v>
      </c>
      <c r="D38" s="55">
        <f t="shared" si="0"/>
        <v>0.37587729734428765</v>
      </c>
      <c r="E38" s="107">
        <f>E41+E44+E48</f>
        <v>58938000</v>
      </c>
      <c r="F38" s="240" t="s">
        <v>352</v>
      </c>
      <c r="G38" s="111">
        <f>G41+G44+G48</f>
        <v>720919</v>
      </c>
      <c r="H38" s="111">
        <f>H41+H44+H48</f>
        <v>270977</v>
      </c>
      <c r="I38" s="102">
        <f t="shared" si="1"/>
        <v>0.3758771789895952</v>
      </c>
      <c r="J38" s="111">
        <f>J41+J44+J48</f>
        <v>58938</v>
      </c>
    </row>
    <row r="39" spans="1:10" ht="17.25" customHeight="1">
      <c r="A39" s="245" t="s">
        <v>353</v>
      </c>
      <c r="B39" s="155">
        <f>B42+B49</f>
        <v>67528839</v>
      </c>
      <c r="C39" s="155">
        <f>C42+C49</f>
        <v>25111262</v>
      </c>
      <c r="D39" s="69">
        <f t="shared" si="0"/>
        <v>0.3718598212535536</v>
      </c>
      <c r="E39" s="155">
        <f>E42+E49</f>
        <v>6951262</v>
      </c>
      <c r="F39" s="245" t="s">
        <v>354</v>
      </c>
      <c r="G39" s="164">
        <f>G42+G49</f>
        <v>67529</v>
      </c>
      <c r="H39" s="164">
        <f>H42+H49</f>
        <v>25111</v>
      </c>
      <c r="I39" s="122">
        <f t="shared" si="1"/>
        <v>0.3718550548653171</v>
      </c>
      <c r="J39" s="164">
        <f>J42+J49</f>
        <v>6951</v>
      </c>
    </row>
    <row r="40" spans="1:10" ht="24.75" customHeight="1">
      <c r="A40" s="240" t="s">
        <v>355</v>
      </c>
      <c r="B40" s="107">
        <f>SUM(B38-B39)</f>
        <v>653389934</v>
      </c>
      <c r="C40" s="107">
        <f>SUM(C38-C39)</f>
        <v>245865738</v>
      </c>
      <c r="D40" s="55">
        <f t="shared" si="0"/>
        <v>0.3762925095812694</v>
      </c>
      <c r="E40" s="107">
        <f>SUM(E38-E39)</f>
        <v>51986738</v>
      </c>
      <c r="F40" s="240" t="s">
        <v>355</v>
      </c>
      <c r="G40" s="111">
        <f>SUM(G38-G39)</f>
        <v>653390</v>
      </c>
      <c r="H40" s="111">
        <f>SUM(H38-H39)</f>
        <v>245866</v>
      </c>
      <c r="I40" s="102">
        <f t="shared" si="1"/>
        <v>0.3762928725569721</v>
      </c>
      <c r="J40" s="111">
        <f>SUM(J38-J39)</f>
        <v>51987</v>
      </c>
    </row>
    <row r="41" spans="1:10" ht="19.5" customHeight="1">
      <c r="A41" s="130" t="s">
        <v>356</v>
      </c>
      <c r="B41" s="155">
        <v>653325305</v>
      </c>
      <c r="C41" s="155">
        <v>254782000</v>
      </c>
      <c r="D41" s="69">
        <f t="shared" si="0"/>
        <v>0.3899772411233941</v>
      </c>
      <c r="E41" s="155">
        <f>C41-'[7]Aprīlis'!C41</f>
        <v>52546000</v>
      </c>
      <c r="F41" s="130" t="s">
        <v>356</v>
      </c>
      <c r="G41" s="155">
        <f>ROUND(B41/1000,0)+1</f>
        <v>653326</v>
      </c>
      <c r="H41" s="155">
        <f>ROUND(C41/1000,0)</f>
        <v>254782</v>
      </c>
      <c r="I41" s="27">
        <f t="shared" si="1"/>
        <v>0.38997682627049896</v>
      </c>
      <c r="J41" s="155">
        <f>H41-'[7]Aprīlis'!H41</f>
        <v>52546</v>
      </c>
    </row>
    <row r="42" spans="1:10" ht="16.5" customHeight="1">
      <c r="A42" s="244" t="s">
        <v>357</v>
      </c>
      <c r="B42" s="155">
        <v>65590839</v>
      </c>
      <c r="C42" s="155">
        <v>25037000</v>
      </c>
      <c r="D42" s="69">
        <f t="shared" si="0"/>
        <v>0.3817148916177151</v>
      </c>
      <c r="E42" s="155">
        <f>C42-'[7]Aprīlis'!C42</f>
        <v>6916000</v>
      </c>
      <c r="F42" s="244" t="s">
        <v>358</v>
      </c>
      <c r="G42" s="164">
        <f>ROUND(B42/1000,0)</f>
        <v>65591</v>
      </c>
      <c r="H42" s="164">
        <f>ROUND(C42/1000,0)</f>
        <v>25037</v>
      </c>
      <c r="I42" s="122">
        <f t="shared" si="1"/>
        <v>0.3817139546584135</v>
      </c>
      <c r="J42" s="164">
        <f>H42-'[7]Aprīlis'!H42</f>
        <v>6916</v>
      </c>
    </row>
    <row r="43" spans="1:10" ht="20.25" customHeight="1">
      <c r="A43" s="240" t="s">
        <v>359</v>
      </c>
      <c r="B43" s="107">
        <f>SUM(B41-B42)</f>
        <v>587734466</v>
      </c>
      <c r="C43" s="107">
        <f>SUM(C41-C42)</f>
        <v>229745000</v>
      </c>
      <c r="D43" s="55">
        <f t="shared" si="0"/>
        <v>0.390899314725572</v>
      </c>
      <c r="E43" s="107">
        <f>SUM(E41-E42)</f>
        <v>45630000</v>
      </c>
      <c r="F43" s="240" t="s">
        <v>359</v>
      </c>
      <c r="G43" s="111">
        <f>SUM(G41-G42)</f>
        <v>587735</v>
      </c>
      <c r="H43" s="111">
        <f>SUM(H41-H42)</f>
        <v>229745</v>
      </c>
      <c r="I43" s="102">
        <f t="shared" si="1"/>
        <v>0.3908989595651101</v>
      </c>
      <c r="J43" s="111">
        <f>SUM(J41-J42)</f>
        <v>45630</v>
      </c>
    </row>
    <row r="44" spans="1:10" ht="19.5" customHeight="1">
      <c r="A44" s="130" t="s">
        <v>360</v>
      </c>
      <c r="B44" s="155">
        <v>14847167</v>
      </c>
      <c r="C44" s="155">
        <v>3613000</v>
      </c>
      <c r="D44" s="69">
        <f t="shared" si="0"/>
        <v>0.24334608750612155</v>
      </c>
      <c r="E44" s="155">
        <f>C44-'[7]Aprīlis'!C44</f>
        <v>1518000</v>
      </c>
      <c r="F44" s="130" t="s">
        <v>360</v>
      </c>
      <c r="G44" s="155">
        <f>ROUND(B44/1000,0)</f>
        <v>14847</v>
      </c>
      <c r="H44" s="155">
        <f>ROUND(C44/1000,0)</f>
        <v>3613</v>
      </c>
      <c r="I44" s="27">
        <f t="shared" si="1"/>
        <v>0.2433488246783862</v>
      </c>
      <c r="J44" s="155">
        <f>H44-'[7]Aprīlis'!H44</f>
        <v>1518</v>
      </c>
    </row>
    <row r="45" spans="1:10" ht="22.5" customHeight="1">
      <c r="A45" s="240" t="s">
        <v>361</v>
      </c>
      <c r="B45" s="107">
        <f>SUM(B44)</f>
        <v>14847167</v>
      </c>
      <c r="C45" s="107">
        <f>SUM(C44)</f>
        <v>3613000</v>
      </c>
      <c r="D45" s="55">
        <f t="shared" si="0"/>
        <v>0.24334608750612155</v>
      </c>
      <c r="E45" s="107">
        <f>SUM(E44)</f>
        <v>1518000</v>
      </c>
      <c r="F45" s="240" t="s">
        <v>361</v>
      </c>
      <c r="G45" s="111">
        <f>SUM(G44)</f>
        <v>14847</v>
      </c>
      <c r="H45" s="111">
        <f>SUM(H44)</f>
        <v>3613</v>
      </c>
      <c r="I45" s="102">
        <f t="shared" si="1"/>
        <v>0.2433488246783862</v>
      </c>
      <c r="J45" s="111">
        <f>SUM(J44)</f>
        <v>1518</v>
      </c>
    </row>
    <row r="46" spans="1:10" ht="0.75" customHeight="1" hidden="1">
      <c r="A46" s="12" t="s">
        <v>7</v>
      </c>
      <c r="B46" s="126" t="s">
        <v>9</v>
      </c>
      <c r="C46" s="12" t="s">
        <v>10</v>
      </c>
      <c r="D46" s="12" t="s">
        <v>313</v>
      </c>
      <c r="E46" s="12" t="s">
        <v>362</v>
      </c>
      <c r="F46" s="12" t="s">
        <v>7</v>
      </c>
      <c r="G46" s="126" t="s">
        <v>9</v>
      </c>
      <c r="H46" s="12" t="s">
        <v>10</v>
      </c>
      <c r="I46" s="12" t="s">
        <v>313</v>
      </c>
      <c r="J46" s="12" t="s">
        <v>363</v>
      </c>
    </row>
    <row r="47" spans="1:10" ht="12.75" hidden="1">
      <c r="A47" s="12">
        <v>1</v>
      </c>
      <c r="B47" s="126">
        <v>2</v>
      </c>
      <c r="C47" s="12">
        <v>3</v>
      </c>
      <c r="D47" s="12">
        <v>4</v>
      </c>
      <c r="E47" s="12">
        <v>5</v>
      </c>
      <c r="F47" s="12">
        <v>1</v>
      </c>
      <c r="G47" s="126">
        <v>2</v>
      </c>
      <c r="H47" s="12">
        <v>3</v>
      </c>
      <c r="I47" s="12">
        <v>4</v>
      </c>
      <c r="J47" s="12">
        <v>5</v>
      </c>
    </row>
    <row r="48" spans="1:10" ht="21" customHeight="1">
      <c r="A48" s="130" t="s">
        <v>364</v>
      </c>
      <c r="B48" s="155">
        <v>52746301</v>
      </c>
      <c r="C48" s="155">
        <v>12582000</v>
      </c>
      <c r="D48" s="69">
        <f aca="true" t="shared" si="4" ref="D48:D76">IF(ISERROR(C48/B48)," ",(C48/B48))</f>
        <v>0.23853805407131773</v>
      </c>
      <c r="E48" s="155">
        <f>C48-'[7]Aprīlis'!C48</f>
        <v>4874000</v>
      </c>
      <c r="F48" s="130" t="s">
        <v>364</v>
      </c>
      <c r="G48" s="155">
        <f>ROUND(B48/1000,0)</f>
        <v>52746</v>
      </c>
      <c r="H48" s="155">
        <f>ROUND(C48/1000,0)</f>
        <v>12582</v>
      </c>
      <c r="I48" s="27">
        <f aca="true" t="shared" si="5" ref="I48:I76">IF(ISERROR(H48/G48)," ",(H48/G48))</f>
        <v>0.23853941531111364</v>
      </c>
      <c r="J48" s="155">
        <f>H48-'[7]Aprīlis'!H48</f>
        <v>4874</v>
      </c>
    </row>
    <row r="49" spans="1:211" s="130" customFormat="1" ht="20.25" customHeight="1">
      <c r="A49" s="244" t="s">
        <v>365</v>
      </c>
      <c r="B49" s="155">
        <v>1938000</v>
      </c>
      <c r="C49" s="155">
        <v>74262</v>
      </c>
      <c r="D49" s="69">
        <f t="shared" si="4"/>
        <v>0.03831888544891641</v>
      </c>
      <c r="E49" s="155">
        <f>C49-'[7]Aprīlis'!C49</f>
        <v>35262</v>
      </c>
      <c r="F49" s="244" t="s">
        <v>358</v>
      </c>
      <c r="G49" s="164">
        <f>ROUND(B49/1000,0)</f>
        <v>1938</v>
      </c>
      <c r="H49" s="164">
        <f>ROUND(C49/1000,0)</f>
        <v>74</v>
      </c>
      <c r="I49" s="122">
        <f t="shared" si="5"/>
        <v>0.038183694530443756</v>
      </c>
      <c r="J49" s="164">
        <f>H49-'[7]Aprīlis'!H49</f>
        <v>35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</row>
    <row r="50" spans="1:211" s="130" customFormat="1" ht="21.75" customHeight="1">
      <c r="A50" s="240" t="s">
        <v>366</v>
      </c>
      <c r="B50" s="107">
        <f>SUM(B48-B49)</f>
        <v>50808301</v>
      </c>
      <c r="C50" s="107">
        <f>SUM(C48-C49)</f>
        <v>12507738</v>
      </c>
      <c r="D50" s="55">
        <f t="shared" si="4"/>
        <v>0.24617508859428305</v>
      </c>
      <c r="E50" s="107">
        <f>SUM(E48-E49)</f>
        <v>4838738</v>
      </c>
      <c r="F50" s="240" t="s">
        <v>366</v>
      </c>
      <c r="G50" s="111">
        <f>SUM(G48-G49)</f>
        <v>50808</v>
      </c>
      <c r="H50" s="111">
        <f>SUM(H48-H49)</f>
        <v>12508</v>
      </c>
      <c r="I50" s="102">
        <f t="shared" si="5"/>
        <v>0.2461817036687136</v>
      </c>
      <c r="J50" s="111">
        <f>SUM(J48-J49)</f>
        <v>4839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</row>
    <row r="51" spans="1:211" s="130" customFormat="1" ht="35.25" customHeight="1">
      <c r="A51" s="127" t="s">
        <v>367</v>
      </c>
      <c r="B51" s="107">
        <f>SUM(B9-B38)</f>
        <v>0</v>
      </c>
      <c r="C51" s="107">
        <f>SUM(C9-C38)</f>
        <v>-7314000</v>
      </c>
      <c r="D51" s="55" t="str">
        <f t="shared" si="4"/>
        <v> </v>
      </c>
      <c r="E51" s="107">
        <f>SUM(E9-E38)</f>
        <v>-3963000</v>
      </c>
      <c r="F51" s="127" t="s">
        <v>367</v>
      </c>
      <c r="G51" s="177">
        <f>SUM(G9-G38)</f>
        <v>0</v>
      </c>
      <c r="H51" s="177">
        <f>SUM(H9-H38)</f>
        <v>-7314</v>
      </c>
      <c r="I51" s="19" t="str">
        <f t="shared" si="5"/>
        <v> </v>
      </c>
      <c r="J51" s="177">
        <f>SUM(J9-J38)</f>
        <v>-3963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</row>
    <row r="52" spans="1:211" s="130" customFormat="1" ht="21.75" customHeight="1">
      <c r="A52" s="240" t="s">
        <v>368</v>
      </c>
      <c r="B52" s="107">
        <f>SUM(B55-B58)</f>
        <v>39241905</v>
      </c>
      <c r="C52" s="107">
        <f>SUM(C55-C58)</f>
        <v>2546000</v>
      </c>
      <c r="D52" s="55">
        <f t="shared" si="4"/>
        <v>0.06487962294389123</v>
      </c>
      <c r="E52" s="107">
        <f>SUM(E55-E58)</f>
        <v>365142</v>
      </c>
      <c r="F52" s="240" t="s">
        <v>368</v>
      </c>
      <c r="G52" s="111">
        <f>SUM(G55-G58)</f>
        <v>39242</v>
      </c>
      <c r="H52" s="111">
        <f>SUM(H55-H58)</f>
        <v>2546</v>
      </c>
      <c r="I52" s="102">
        <f t="shared" si="5"/>
        <v>0.06487946587839559</v>
      </c>
      <c r="J52" s="111">
        <f>SUM(J55-J58)</f>
        <v>365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</row>
    <row r="53" spans="1:211" s="130" customFormat="1" ht="17.25" customHeight="1">
      <c r="A53" s="130" t="s">
        <v>369</v>
      </c>
      <c r="B53" s="155">
        <v>115425226</v>
      </c>
      <c r="C53" s="155">
        <v>47727000</v>
      </c>
      <c r="D53" s="69">
        <f t="shared" si="4"/>
        <v>0.41348846914971604</v>
      </c>
      <c r="E53" s="155">
        <f>C53-'[7]Aprīlis'!C53</f>
        <v>7440000</v>
      </c>
      <c r="F53" s="130" t="s">
        <v>369</v>
      </c>
      <c r="G53" s="155">
        <f>ROUND(B53/1000,0)</f>
        <v>115425</v>
      </c>
      <c r="H53" s="155">
        <f>ROUND(C53/1000,0)</f>
        <v>47727</v>
      </c>
      <c r="I53" s="27">
        <f t="shared" si="5"/>
        <v>0.41348927875243663</v>
      </c>
      <c r="J53" s="155">
        <f>H53-'[7]Aprīlis'!H53</f>
        <v>7440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</row>
    <row r="54" spans="1:211" s="130" customFormat="1" ht="18.75" customHeight="1">
      <c r="A54" s="244" t="s">
        <v>365</v>
      </c>
      <c r="B54" s="155">
        <v>58334396</v>
      </c>
      <c r="C54" s="155">
        <v>34632000</v>
      </c>
      <c r="D54" s="69">
        <f t="shared" si="4"/>
        <v>0.5936806134068826</v>
      </c>
      <c r="E54" s="155">
        <f>C54-'[7]Aprīlis'!C54</f>
        <v>5522862</v>
      </c>
      <c r="F54" s="244" t="s">
        <v>358</v>
      </c>
      <c r="G54" s="164">
        <f>ROUND(B54/1000,0)</f>
        <v>58334</v>
      </c>
      <c r="H54" s="164">
        <f>ROUND(C54/1000,0)</f>
        <v>34632</v>
      </c>
      <c r="I54" s="122">
        <f t="shared" si="5"/>
        <v>0.5936846436040731</v>
      </c>
      <c r="J54" s="164">
        <f>H54-'[7]Aprīlis'!H54</f>
        <v>5523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</row>
    <row r="55" spans="1:211" s="130" customFormat="1" ht="18.75" customHeight="1">
      <c r="A55" s="130" t="s">
        <v>370</v>
      </c>
      <c r="B55" s="155">
        <f>SUM(B53-B54)</f>
        <v>57090830</v>
      </c>
      <c r="C55" s="155">
        <f>SUM(C53-C54)</f>
        <v>13095000</v>
      </c>
      <c r="D55" s="69">
        <f t="shared" si="4"/>
        <v>0.22937133686793484</v>
      </c>
      <c r="E55" s="155">
        <f>SUM(E53-E54)</f>
        <v>1917138</v>
      </c>
      <c r="F55" s="130" t="s">
        <v>370</v>
      </c>
      <c r="G55" s="155">
        <f>SUM(G53-G54)</f>
        <v>57091</v>
      </c>
      <c r="H55" s="155">
        <f>SUM(H53-H54)</f>
        <v>13095</v>
      </c>
      <c r="I55" s="27">
        <f t="shared" si="5"/>
        <v>0.22937065386838557</v>
      </c>
      <c r="J55" s="155">
        <f>SUM(J53-J54)</f>
        <v>1917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</row>
    <row r="56" spans="1:211" s="130" customFormat="1" ht="21" customHeight="1">
      <c r="A56" s="130" t="s">
        <v>371</v>
      </c>
      <c r="B56" s="155">
        <f>19133003</f>
        <v>19133003</v>
      </c>
      <c r="C56" s="155">
        <v>26354000</v>
      </c>
      <c r="D56" s="69">
        <f t="shared" si="4"/>
        <v>1.3774105403108963</v>
      </c>
      <c r="E56" s="155">
        <f>C56-'[7]Aprīlis'!C56</f>
        <v>1551742</v>
      </c>
      <c r="F56" s="130" t="s">
        <v>371</v>
      </c>
      <c r="G56" s="155">
        <f>ROUND(B56/1000,0)</f>
        <v>19133</v>
      </c>
      <c r="H56" s="155">
        <f>ROUND(C56/1000,0)</f>
        <v>26354</v>
      </c>
      <c r="I56" s="27">
        <f t="shared" si="5"/>
        <v>1.3774107562849527</v>
      </c>
      <c r="J56" s="155">
        <f>H56-'[7]Aprīlis'!H56</f>
        <v>1552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</row>
    <row r="57" spans="1:211" s="130" customFormat="1" ht="20.25" customHeight="1">
      <c r="A57" s="244" t="s">
        <v>372</v>
      </c>
      <c r="B57" s="155">
        <v>1284078</v>
      </c>
      <c r="C57" s="155">
        <v>15805000</v>
      </c>
      <c r="D57" s="69">
        <f t="shared" si="4"/>
        <v>12.308442322039626</v>
      </c>
      <c r="E57" s="155">
        <f>C57-'[7]Aprīlis'!C57</f>
        <v>-254</v>
      </c>
      <c r="F57" s="244" t="s">
        <v>373</v>
      </c>
      <c r="G57" s="164">
        <f>ROUND(B57/1000,0)</f>
        <v>1284</v>
      </c>
      <c r="H57" s="164">
        <f>ROUND(C57/1000,0)</f>
        <v>15805</v>
      </c>
      <c r="I57" s="122">
        <f t="shared" si="5"/>
        <v>12.309190031152648</v>
      </c>
      <c r="J57" s="164">
        <f>H57-'[7]Aprīlis'!H57</f>
        <v>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</row>
    <row r="58" spans="1:211" s="130" customFormat="1" ht="19.5" customHeight="1">
      <c r="A58" s="130" t="s">
        <v>374</v>
      </c>
      <c r="B58" s="155">
        <f>SUM(B56-B57)</f>
        <v>17848925</v>
      </c>
      <c r="C58" s="155">
        <f>SUM(C56-C57)</f>
        <v>10549000</v>
      </c>
      <c r="D58" s="69">
        <f t="shared" si="4"/>
        <v>0.5910159855565531</v>
      </c>
      <c r="E58" s="155">
        <f>SUM(E56-E57)</f>
        <v>1551996</v>
      </c>
      <c r="F58" s="130" t="s">
        <v>374</v>
      </c>
      <c r="G58" s="155">
        <f>SUM(G56-G57)</f>
        <v>17849</v>
      </c>
      <c r="H58" s="155">
        <f>SUM(H56-H57)</f>
        <v>10549</v>
      </c>
      <c r="I58" s="27">
        <f t="shared" si="5"/>
        <v>0.5910135021569836</v>
      </c>
      <c r="J58" s="155">
        <f>SUM(J56-J57)</f>
        <v>1552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</row>
    <row r="59" spans="1:211" s="130" customFormat="1" ht="37.5" customHeight="1">
      <c r="A59" s="127" t="s">
        <v>375</v>
      </c>
      <c r="B59" s="107">
        <f>B51-(B53-B56)</f>
        <v>-96292223</v>
      </c>
      <c r="C59" s="107">
        <f>C51-(C53-C56)</f>
        <v>-28687000</v>
      </c>
      <c r="D59" s="55">
        <f t="shared" si="4"/>
        <v>0.2979160632733549</v>
      </c>
      <c r="E59" s="107">
        <f>E51-(E53-E56)</f>
        <v>-9851258</v>
      </c>
      <c r="F59" s="127" t="s">
        <v>375</v>
      </c>
      <c r="G59" s="177">
        <f>G51-(G53-G56)</f>
        <v>-96292</v>
      </c>
      <c r="H59" s="177">
        <f>H51-(H53-H56)</f>
        <v>-28687</v>
      </c>
      <c r="I59" s="19">
        <f t="shared" si="5"/>
        <v>0.2979167532089893</v>
      </c>
      <c r="J59" s="177">
        <f>J51-(J53-J56)</f>
        <v>-9851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</row>
    <row r="60" spans="1:211" s="130" customFormat="1" ht="21" customHeight="1">
      <c r="A60" s="240" t="s">
        <v>376</v>
      </c>
      <c r="B60" s="107">
        <f>B63+B66+B68</f>
        <v>870883731</v>
      </c>
      <c r="C60" s="107">
        <f>C63+C66+C68</f>
        <v>307811000</v>
      </c>
      <c r="D60" s="55">
        <f t="shared" si="4"/>
        <v>0.35344672204009747</v>
      </c>
      <c r="E60" s="107">
        <f>E63+E66+E68</f>
        <v>72206356</v>
      </c>
      <c r="F60" s="240" t="s">
        <v>376</v>
      </c>
      <c r="G60" s="111">
        <f>G63+G66+G68</f>
        <v>870884</v>
      </c>
      <c r="H60" s="111">
        <f>H63+H66+H68</f>
        <v>307811</v>
      </c>
      <c r="I60" s="102">
        <f t="shared" si="5"/>
        <v>0.353446612866926</v>
      </c>
      <c r="J60" s="111">
        <f>J63+J66+J68</f>
        <v>72206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</row>
    <row r="61" spans="1:211" s="130" customFormat="1" ht="19.5" customHeight="1">
      <c r="A61" s="244" t="s">
        <v>377</v>
      </c>
      <c r="B61" s="155">
        <f>B64</f>
        <v>49213200</v>
      </c>
      <c r="C61" s="155">
        <f>C20</f>
        <v>5421000</v>
      </c>
      <c r="D61" s="69">
        <f t="shared" si="4"/>
        <v>0.11015337348516252</v>
      </c>
      <c r="E61" s="155">
        <f>E64</f>
        <v>3587000</v>
      </c>
      <c r="F61" s="244" t="s">
        <v>378</v>
      </c>
      <c r="G61" s="164">
        <f>G64</f>
        <v>49213</v>
      </c>
      <c r="H61" s="164">
        <f>H64</f>
        <v>5421</v>
      </c>
      <c r="I61" s="122">
        <f t="shared" si="5"/>
        <v>0.11015382114481946</v>
      </c>
      <c r="J61" s="164">
        <f>J64</f>
        <v>3587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</row>
    <row r="62" spans="1:211" s="130" customFormat="1" ht="22.5" customHeight="1">
      <c r="A62" s="240" t="s">
        <v>379</v>
      </c>
      <c r="B62" s="107">
        <f>SUM(B60-B61)</f>
        <v>821670531</v>
      </c>
      <c r="C62" s="107">
        <f>SUM(C60-C61)</f>
        <v>302390000</v>
      </c>
      <c r="D62" s="55">
        <f t="shared" si="4"/>
        <v>0.36801855316872745</v>
      </c>
      <c r="E62" s="107">
        <f>SUM(E60-E61)</f>
        <v>68619356</v>
      </c>
      <c r="F62" s="240" t="s">
        <v>379</v>
      </c>
      <c r="G62" s="111">
        <f>SUM(G60-G61)</f>
        <v>821671</v>
      </c>
      <c r="H62" s="111">
        <f>SUM(H60-H61)</f>
        <v>302390</v>
      </c>
      <c r="I62" s="102">
        <f t="shared" si="5"/>
        <v>0.36801834310812964</v>
      </c>
      <c r="J62" s="111">
        <f>SUM(J60-J61)</f>
        <v>68619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</row>
    <row r="63" spans="1:211" s="130" customFormat="1" ht="18" customHeight="1">
      <c r="A63" s="130" t="s">
        <v>380</v>
      </c>
      <c r="B63" s="155">
        <v>804930855</v>
      </c>
      <c r="C63" s="155">
        <v>296345000</v>
      </c>
      <c r="D63" s="69">
        <f t="shared" si="4"/>
        <v>0.36816205784532885</v>
      </c>
      <c r="E63" s="155">
        <f>C63-'[7]Aprīlis'!C63</f>
        <v>67290000</v>
      </c>
      <c r="F63" s="130" t="s">
        <v>380</v>
      </c>
      <c r="G63" s="155">
        <f>ROUND(B63/1000,0)</f>
        <v>804931</v>
      </c>
      <c r="H63" s="155">
        <f>ROUND(C63/1000,0)</f>
        <v>296345</v>
      </c>
      <c r="I63" s="27">
        <f t="shared" si="5"/>
        <v>0.3681619915247394</v>
      </c>
      <c r="J63" s="155">
        <f>H63-'[7]Aprīlis'!H63</f>
        <v>67290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</row>
    <row r="64" spans="1:211" s="130" customFormat="1" ht="18" customHeight="1">
      <c r="A64" s="244" t="s">
        <v>381</v>
      </c>
      <c r="B64" s="155">
        <v>49213200</v>
      </c>
      <c r="C64" s="155">
        <f>C20</f>
        <v>5421000</v>
      </c>
      <c r="D64" s="69">
        <f t="shared" si="4"/>
        <v>0.11015337348516252</v>
      </c>
      <c r="E64" s="155">
        <f>C64-'[7]Aprīlis'!C64</f>
        <v>3587000</v>
      </c>
      <c r="F64" s="244" t="s">
        <v>378</v>
      </c>
      <c r="G64" s="164">
        <f>ROUND(B64/1000,0)</f>
        <v>49213</v>
      </c>
      <c r="H64" s="164">
        <f>ROUND(C64/1000,0)</f>
        <v>5421</v>
      </c>
      <c r="I64" s="122">
        <f t="shared" si="5"/>
        <v>0.11015382114481946</v>
      </c>
      <c r="J64" s="164">
        <f>H64-'[7]Aprīlis'!H64</f>
        <v>3587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</row>
    <row r="65" spans="1:211" s="130" customFormat="1" ht="29.25" customHeight="1">
      <c r="A65" s="240" t="s">
        <v>382</v>
      </c>
      <c r="B65" s="107">
        <f>SUM(B63-B64)</f>
        <v>755717655</v>
      </c>
      <c r="C65" s="107">
        <f>SUM(C63-C64)</f>
        <v>290924000</v>
      </c>
      <c r="D65" s="55">
        <f t="shared" si="4"/>
        <v>0.3849638791355218</v>
      </c>
      <c r="E65" s="107">
        <f>SUM(E63-E64)</f>
        <v>63703000</v>
      </c>
      <c r="F65" s="240" t="s">
        <v>382</v>
      </c>
      <c r="G65" s="111">
        <f>SUM(G63-G64)</f>
        <v>755718</v>
      </c>
      <c r="H65" s="111">
        <f>SUM(H63-H64)</f>
        <v>290924</v>
      </c>
      <c r="I65" s="102">
        <f t="shared" si="5"/>
        <v>0.38496370339200603</v>
      </c>
      <c r="J65" s="111">
        <f>SUM(J63-J64)</f>
        <v>63703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</row>
    <row r="66" spans="1:211" s="130" customFormat="1" ht="21.75" customHeight="1">
      <c r="A66" s="130" t="s">
        <v>383</v>
      </c>
      <c r="B66" s="155">
        <v>28417355</v>
      </c>
      <c r="C66" s="155">
        <v>4927000</v>
      </c>
      <c r="D66" s="69">
        <f t="shared" si="4"/>
        <v>0.1733799644618579</v>
      </c>
      <c r="E66" s="155">
        <f>C66-'[7]Aprīlis'!C66</f>
        <v>2453000</v>
      </c>
      <c r="F66" s="130" t="s">
        <v>383</v>
      </c>
      <c r="G66" s="155">
        <f>ROUND(B66/1000,0)</f>
        <v>28417</v>
      </c>
      <c r="H66" s="155">
        <f>ROUND(C66/1000,0)</f>
        <v>4927</v>
      </c>
      <c r="I66" s="27">
        <f t="shared" si="5"/>
        <v>0.1733821304148925</v>
      </c>
      <c r="J66" s="155">
        <f>H66-'[7]Aprīlis'!H66</f>
        <v>2453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</row>
    <row r="67" spans="1:211" s="130" customFormat="1" ht="21.75" customHeight="1">
      <c r="A67" s="240" t="s">
        <v>384</v>
      </c>
      <c r="B67" s="107">
        <f>SUM(B66)</f>
        <v>28417355</v>
      </c>
      <c r="C67" s="107">
        <f>SUM(C66)</f>
        <v>4927000</v>
      </c>
      <c r="D67" s="55">
        <f t="shared" si="4"/>
        <v>0.1733799644618579</v>
      </c>
      <c r="E67" s="107">
        <f>SUM(E66)</f>
        <v>2453000</v>
      </c>
      <c r="F67" s="240" t="s">
        <v>384</v>
      </c>
      <c r="G67" s="111">
        <f>SUM(G66)</f>
        <v>28417</v>
      </c>
      <c r="H67" s="111">
        <f>SUM(H66)</f>
        <v>4927</v>
      </c>
      <c r="I67" s="102">
        <f t="shared" si="5"/>
        <v>0.1733821304148925</v>
      </c>
      <c r="J67" s="111">
        <f>SUM(J66)</f>
        <v>2453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</row>
    <row r="68" spans="1:211" s="130" customFormat="1" ht="22.5" customHeight="1">
      <c r="A68" s="130" t="s">
        <v>385</v>
      </c>
      <c r="B68" s="155">
        <v>37535521</v>
      </c>
      <c r="C68" s="155">
        <v>6539000</v>
      </c>
      <c r="D68" s="69">
        <f t="shared" si="4"/>
        <v>0.17420831856843016</v>
      </c>
      <c r="E68" s="155">
        <f>C68-'[7]Aprīlis'!C68</f>
        <v>2463356</v>
      </c>
      <c r="F68" s="130" t="s">
        <v>385</v>
      </c>
      <c r="G68" s="155">
        <f>ROUND(B68/1000,0)</f>
        <v>37536</v>
      </c>
      <c r="H68" s="155">
        <f>ROUND(C68/1000,0)</f>
        <v>6539</v>
      </c>
      <c r="I68" s="27">
        <f t="shared" si="5"/>
        <v>0.17420609548167093</v>
      </c>
      <c r="J68" s="155">
        <f>H68-'[7]Aprīlis'!H68</f>
        <v>2463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</row>
    <row r="69" spans="1:211" s="130" customFormat="1" ht="22.5" customHeight="1">
      <c r="A69" s="240" t="s">
        <v>386</v>
      </c>
      <c r="B69" s="107">
        <f>SUM(B68)</f>
        <v>37535521</v>
      </c>
      <c r="C69" s="107">
        <f>SUM(C68)</f>
        <v>6539000</v>
      </c>
      <c r="D69" s="55">
        <f t="shared" si="4"/>
        <v>0.17420831856843016</v>
      </c>
      <c r="E69" s="107">
        <f>SUM(E68)</f>
        <v>2463356</v>
      </c>
      <c r="F69" s="240" t="s">
        <v>386</v>
      </c>
      <c r="G69" s="111">
        <f>SUM(G68)</f>
        <v>37536</v>
      </c>
      <c r="H69" s="111">
        <f>SUM(H68)</f>
        <v>6539</v>
      </c>
      <c r="I69" s="102">
        <f t="shared" si="5"/>
        <v>0.17420609548167093</v>
      </c>
      <c r="J69" s="111">
        <f>SUM(J68)</f>
        <v>2463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</row>
    <row r="70" spans="1:211" s="130" customFormat="1" ht="33.75" customHeight="1">
      <c r="A70" s="127" t="s">
        <v>387</v>
      </c>
      <c r="B70" s="107">
        <f>SUM(B22-B60)</f>
        <v>-60525620</v>
      </c>
      <c r="C70" s="107">
        <f>SUM(C22-C60)</f>
        <v>-33342000</v>
      </c>
      <c r="D70" s="55">
        <f t="shared" si="4"/>
        <v>0.550874158744677</v>
      </c>
      <c r="E70" s="107">
        <f>SUM(E22-E60)</f>
        <v>-13112356</v>
      </c>
      <c r="F70" s="127" t="s">
        <v>387</v>
      </c>
      <c r="G70" s="177">
        <f>SUM(G22-G60)</f>
        <v>-60525</v>
      </c>
      <c r="H70" s="177">
        <f>SUM(H22-H60)</f>
        <v>-33342</v>
      </c>
      <c r="I70" s="19">
        <f t="shared" si="5"/>
        <v>0.5508798017348203</v>
      </c>
      <c r="J70" s="177">
        <f>SUM(J22-J60)</f>
        <v>-13112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</row>
    <row r="71" spans="1:211" s="130" customFormat="1" ht="22.5" customHeight="1">
      <c r="A71" s="240" t="s">
        <v>388</v>
      </c>
      <c r="B71" s="107">
        <f>SUM(B72-B74)</f>
        <v>12750750</v>
      </c>
      <c r="C71" s="107">
        <f>SUM(C72-C74)</f>
        <v>1233000</v>
      </c>
      <c r="D71" s="55">
        <f t="shared" si="4"/>
        <v>0.09670019410622904</v>
      </c>
      <c r="E71" s="107">
        <f>SUM(E72-E74)</f>
        <v>1233000</v>
      </c>
      <c r="F71" s="240" t="s">
        <v>388</v>
      </c>
      <c r="G71" s="111">
        <f>SUM(G72-G74)</f>
        <v>12751</v>
      </c>
      <c r="H71" s="111">
        <f>SUM(H72-H74)</f>
        <v>1233</v>
      </c>
      <c r="I71" s="102">
        <f t="shared" si="5"/>
        <v>0.09669829817269233</v>
      </c>
      <c r="J71" s="111">
        <f>SUM(J72-J74)</f>
        <v>1233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</row>
    <row r="72" spans="1:211" s="130" customFormat="1" ht="20.25" customHeight="1">
      <c r="A72" s="130" t="s">
        <v>389</v>
      </c>
      <c r="B72" s="155">
        <f>12756000</f>
        <v>12756000</v>
      </c>
      <c r="C72" s="155">
        <v>1233000</v>
      </c>
      <c r="D72" s="69">
        <f t="shared" si="4"/>
        <v>0.09666039510818439</v>
      </c>
      <c r="E72" s="155">
        <f>C72-'[7]Aprīlis'!C72</f>
        <v>1233000</v>
      </c>
      <c r="F72" s="130" t="s">
        <v>389</v>
      </c>
      <c r="G72" s="155">
        <f>ROUND(B72/1000,0)</f>
        <v>12756</v>
      </c>
      <c r="H72" s="155">
        <f>ROUND(C72/1000,0)</f>
        <v>1233</v>
      </c>
      <c r="I72" s="27">
        <f t="shared" si="5"/>
        <v>0.09666039510818439</v>
      </c>
      <c r="J72" s="155">
        <f>H72-'[7]Aprīlis'!H72</f>
        <v>1233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</row>
    <row r="73" spans="1:211" s="130" customFormat="1" ht="20.25" customHeight="1">
      <c r="A73" s="130" t="s">
        <v>390</v>
      </c>
      <c r="B73" s="155">
        <f>SUM(B72)</f>
        <v>12756000</v>
      </c>
      <c r="C73" s="155">
        <f>SUM(C72)</f>
        <v>1233000</v>
      </c>
      <c r="D73" s="69">
        <f t="shared" si="4"/>
        <v>0.09666039510818439</v>
      </c>
      <c r="E73" s="155">
        <f>SUM(E72)</f>
        <v>1233000</v>
      </c>
      <c r="F73" s="130" t="s">
        <v>390</v>
      </c>
      <c r="G73" s="155">
        <f>SUM(G72)</f>
        <v>12756</v>
      </c>
      <c r="H73" s="155">
        <f>SUM(H72)</f>
        <v>1233</v>
      </c>
      <c r="I73" s="27">
        <f t="shared" si="5"/>
        <v>0.09666039510818439</v>
      </c>
      <c r="J73" s="155">
        <f>SUM(J72)</f>
        <v>1233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</row>
    <row r="74" spans="1:211" s="130" customFormat="1" ht="21.75" customHeight="1">
      <c r="A74" s="130" t="s">
        <v>391</v>
      </c>
      <c r="B74" s="155">
        <v>5250</v>
      </c>
      <c r="C74" s="155"/>
      <c r="D74" s="69">
        <f t="shared" si="4"/>
        <v>0</v>
      </c>
      <c r="E74" s="155">
        <f>C74-'[7]Aprīlis'!C74</f>
        <v>0</v>
      </c>
      <c r="F74" s="130" t="s">
        <v>391</v>
      </c>
      <c r="G74" s="155">
        <f>ROUND(B74/1000,0)</f>
        <v>5</v>
      </c>
      <c r="H74" s="155">
        <f>ROUND(C74/1000,0)</f>
        <v>0</v>
      </c>
      <c r="I74" s="27">
        <f t="shared" si="5"/>
        <v>0</v>
      </c>
      <c r="J74" s="155">
        <f>H74-'[7]Aprīlis'!H74</f>
        <v>0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</row>
    <row r="75" spans="1:211" s="130" customFormat="1" ht="21.75" customHeight="1">
      <c r="A75" s="130" t="s">
        <v>392</v>
      </c>
      <c r="B75" s="155">
        <f>SUM(B74)</f>
        <v>5250</v>
      </c>
      <c r="C75" s="155">
        <f>SUM(C74)</f>
        <v>0</v>
      </c>
      <c r="D75" s="69">
        <f t="shared" si="4"/>
        <v>0</v>
      </c>
      <c r="E75" s="155">
        <f>SUM(E74)</f>
        <v>0</v>
      </c>
      <c r="F75" s="130" t="s">
        <v>392</v>
      </c>
      <c r="G75" s="155">
        <f>SUM(G74)</f>
        <v>5</v>
      </c>
      <c r="H75" s="155">
        <f>SUM(H74)</f>
        <v>0</v>
      </c>
      <c r="I75" s="27">
        <f t="shared" si="5"/>
        <v>0</v>
      </c>
      <c r="J75" s="155">
        <f>SUM(J74)</f>
        <v>0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</row>
    <row r="76" spans="1:211" s="130" customFormat="1" ht="38.25" customHeight="1">
      <c r="A76" s="127" t="s">
        <v>393</v>
      </c>
      <c r="B76" s="107">
        <f>SUM(B70-B71)</f>
        <v>-73276370</v>
      </c>
      <c r="C76" s="107">
        <f>SUM(C70-C71)</f>
        <v>-34575000</v>
      </c>
      <c r="D76" s="55">
        <f t="shared" si="4"/>
        <v>0.47184378811341227</v>
      </c>
      <c r="E76" s="107">
        <f>SUM(E70-E71)</f>
        <v>-14345356</v>
      </c>
      <c r="F76" s="127" t="s">
        <v>393</v>
      </c>
      <c r="G76" s="177">
        <f>SUM(G70-G71)</f>
        <v>-73276</v>
      </c>
      <c r="H76" s="177">
        <f>SUM(H70-H71)</f>
        <v>-34575</v>
      </c>
      <c r="I76" s="19">
        <f t="shared" si="5"/>
        <v>0.47184617064250234</v>
      </c>
      <c r="J76" s="177">
        <f>SUM(J70-J71)</f>
        <v>-14345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</row>
    <row r="77" spans="1:211" s="137" customFormat="1" ht="12.75">
      <c r="A77" s="246"/>
      <c r="B77" s="247"/>
      <c r="F77" s="246"/>
      <c r="G77" s="24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</row>
    <row r="78" spans="1:211" s="137" customFormat="1" ht="12.75">
      <c r="A78" s="246"/>
      <c r="B78" s="247"/>
      <c r="F78" s="88"/>
      <c r="G78" s="24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</row>
    <row r="79" spans="1:10" ht="12.75">
      <c r="A79" s="248"/>
      <c r="F79" s="248"/>
      <c r="G79" s="237"/>
      <c r="H79" s="2"/>
      <c r="I79" s="2"/>
      <c r="J79" s="2"/>
    </row>
    <row r="80" spans="1:10" ht="12.75">
      <c r="A80" s="248"/>
      <c r="F80" s="248"/>
      <c r="G80" s="237"/>
      <c r="H80" s="2"/>
      <c r="I80" s="2"/>
      <c r="J80" s="2"/>
    </row>
    <row r="81" spans="1:10" ht="12.75">
      <c r="A81" s="137"/>
      <c r="F81" s="137"/>
      <c r="G81" s="237"/>
      <c r="H81" s="2"/>
      <c r="I81" s="2"/>
      <c r="J81" s="2"/>
    </row>
    <row r="82" spans="1:10" ht="12.75">
      <c r="A82" s="7" t="s">
        <v>394</v>
      </c>
      <c r="B82" s="238"/>
      <c r="C82" s="45"/>
      <c r="D82" s="45"/>
      <c r="E82" s="45"/>
      <c r="F82" s="7" t="s">
        <v>395</v>
      </c>
      <c r="G82" s="238"/>
      <c r="H82" s="45"/>
      <c r="I82" s="45"/>
      <c r="J82" s="45"/>
    </row>
    <row r="83" spans="1:10" ht="12.75">
      <c r="A83" s="1"/>
      <c r="F83" s="1"/>
      <c r="G83" s="237"/>
      <c r="H83" s="2"/>
      <c r="I83" s="2"/>
      <c r="J83" s="2"/>
    </row>
    <row r="84" spans="1:10" ht="12.75">
      <c r="A84" s="1"/>
      <c r="C84" s="101"/>
      <c r="D84" s="101"/>
      <c r="E84" s="101"/>
      <c r="F84" s="1"/>
      <c r="G84" s="237"/>
      <c r="H84" s="101"/>
      <c r="I84" s="101"/>
      <c r="J84" s="101"/>
    </row>
    <row r="85" spans="6:10" ht="12.75">
      <c r="F85" s="2"/>
      <c r="G85" s="237"/>
      <c r="H85" s="2"/>
      <c r="I85" s="2"/>
      <c r="J85" s="2"/>
    </row>
    <row r="86" spans="6:10" ht="12.75">
      <c r="F86" s="2"/>
      <c r="G86" s="237"/>
      <c r="H86" s="2"/>
      <c r="I86" s="2"/>
      <c r="J86" s="2"/>
    </row>
    <row r="87" spans="6:10" ht="12.75">
      <c r="F87" s="2"/>
      <c r="G87" s="237"/>
      <c r="H87" s="2"/>
      <c r="I87" s="2"/>
      <c r="J87" s="2"/>
    </row>
    <row r="88" spans="1:10" ht="12.75">
      <c r="A88" s="1" t="s">
        <v>87</v>
      </c>
      <c r="F88" s="1" t="s">
        <v>87</v>
      </c>
      <c r="G88" s="237"/>
      <c r="H88" s="2"/>
      <c r="I88" s="2"/>
      <c r="J88" s="2"/>
    </row>
    <row r="89" spans="1:10" ht="12.75">
      <c r="A89" s="1" t="s">
        <v>46</v>
      </c>
      <c r="F89" s="1" t="s">
        <v>35</v>
      </c>
      <c r="G89" s="237"/>
      <c r="H89" s="2"/>
      <c r="I89" s="2"/>
      <c r="J89" s="2"/>
    </row>
    <row r="90" spans="6:10" ht="12.75">
      <c r="F90" s="2"/>
      <c r="G90" s="237"/>
      <c r="H90" s="2"/>
      <c r="I90" s="2"/>
      <c r="J90" s="2"/>
    </row>
    <row r="91" spans="1:5" ht="15" customHeight="1">
      <c r="A91"/>
      <c r="B91"/>
      <c r="C91"/>
      <c r="D91"/>
      <c r="E91"/>
    </row>
    <row r="92" spans="1:5" ht="16.5" customHeight="1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mergeCells count="2"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5"/>
  <dimension ref="A1:K63"/>
  <sheetViews>
    <sheetView workbookViewId="0" topLeftCell="A1">
      <selection activeCell="A55" sqref="A55"/>
    </sheetView>
  </sheetViews>
  <sheetFormatPr defaultColWidth="9.140625" defaultRowHeight="12.75"/>
  <cols>
    <col min="1" max="1" width="24.7109375" style="287" customWidth="1"/>
    <col min="2" max="3" width="13.140625" style="287" customWidth="1"/>
    <col min="4" max="4" width="14.00390625" style="287" customWidth="1"/>
    <col min="5" max="5" width="16.57421875" style="287" customWidth="1"/>
    <col min="6" max="6" width="13.57421875" style="287" customWidth="1"/>
    <col min="7" max="7" width="9.7109375" style="287" customWidth="1"/>
    <col min="8" max="9" width="8.8515625" style="287" customWidth="1"/>
    <col min="10" max="10" width="14.8515625" style="287" customWidth="1"/>
    <col min="11" max="16384" width="8.00390625" style="287" customWidth="1"/>
  </cols>
  <sheetData>
    <row r="1" spans="1:11" ht="12.75" customHeight="1">
      <c r="A1" s="299" t="s">
        <v>647</v>
      </c>
      <c r="B1" s="299"/>
      <c r="C1" s="299"/>
      <c r="D1" s="299"/>
      <c r="E1" s="299"/>
      <c r="F1" s="299"/>
      <c r="G1" s="299"/>
      <c r="H1" s="299"/>
      <c r="I1" s="299"/>
      <c r="J1" s="484" t="s">
        <v>648</v>
      </c>
      <c r="K1" s="370"/>
    </row>
    <row r="2" spans="1:10" ht="12">
      <c r="A2" s="321"/>
      <c r="B2" s="321"/>
      <c r="C2" s="321"/>
      <c r="D2" s="321"/>
      <c r="E2" s="321"/>
      <c r="F2" s="321"/>
      <c r="G2" s="321"/>
      <c r="H2" s="321"/>
      <c r="I2" s="321"/>
      <c r="J2" s="321"/>
    </row>
    <row r="3" spans="1:10" ht="12">
      <c r="A3" s="321"/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5.75">
      <c r="A4" s="384" t="s">
        <v>649</v>
      </c>
      <c r="B4" s="382"/>
      <c r="C4" s="382"/>
      <c r="D4" s="382"/>
      <c r="E4" s="382"/>
      <c r="F4" s="382"/>
      <c r="G4" s="382"/>
      <c r="H4" s="382"/>
      <c r="I4" s="382"/>
      <c r="J4" s="382"/>
    </row>
    <row r="5" spans="1:10" ht="15.75">
      <c r="A5" s="384" t="s">
        <v>650</v>
      </c>
      <c r="B5" s="294"/>
      <c r="C5" s="384"/>
      <c r="D5" s="384"/>
      <c r="E5" s="384"/>
      <c r="F5" s="384"/>
      <c r="G5" s="291"/>
      <c r="H5" s="291"/>
      <c r="I5" s="291"/>
      <c r="J5" s="291"/>
    </row>
    <row r="6" spans="1:10" ht="15.75">
      <c r="A6" s="386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1.25">
      <c r="A7" s="458"/>
      <c r="B7" s="458"/>
      <c r="C7" s="458"/>
      <c r="D7" s="458"/>
      <c r="E7" s="458"/>
      <c r="F7" s="458"/>
      <c r="G7" s="458"/>
      <c r="H7" s="458"/>
      <c r="I7" s="458"/>
      <c r="J7" s="458" t="s">
        <v>651</v>
      </c>
    </row>
    <row r="8" spans="1:10" ht="56.25">
      <c r="A8" s="485" t="s">
        <v>652</v>
      </c>
      <c r="B8" s="485" t="s">
        <v>653</v>
      </c>
      <c r="C8" s="485" t="s">
        <v>654</v>
      </c>
      <c r="D8" s="485" t="s">
        <v>655</v>
      </c>
      <c r="E8" s="485" t="s">
        <v>656</v>
      </c>
      <c r="F8" s="485" t="s">
        <v>657</v>
      </c>
      <c r="G8" s="485" t="s">
        <v>658</v>
      </c>
      <c r="H8" s="486" t="s">
        <v>659</v>
      </c>
      <c r="I8" s="487"/>
      <c r="J8" s="485" t="s">
        <v>660</v>
      </c>
    </row>
    <row r="9" spans="1:10" ht="11.25">
      <c r="A9" s="485"/>
      <c r="B9" s="485"/>
      <c r="C9" s="485"/>
      <c r="D9" s="485"/>
      <c r="E9" s="485"/>
      <c r="F9" s="485"/>
      <c r="G9" s="485"/>
      <c r="H9" s="485" t="s">
        <v>661</v>
      </c>
      <c r="I9" s="485" t="s">
        <v>662</v>
      </c>
      <c r="J9" s="485"/>
    </row>
    <row r="10" spans="1:10" ht="11.25">
      <c r="A10" s="488">
        <v>1</v>
      </c>
      <c r="B10" s="488">
        <v>2</v>
      </c>
      <c r="C10" s="488">
        <v>3</v>
      </c>
      <c r="D10" s="488">
        <v>4</v>
      </c>
      <c r="E10" s="488">
        <v>5</v>
      </c>
      <c r="F10" s="488">
        <v>6</v>
      </c>
      <c r="G10" s="488">
        <v>7</v>
      </c>
      <c r="H10" s="488">
        <v>8</v>
      </c>
      <c r="I10" s="488">
        <v>9</v>
      </c>
      <c r="J10" s="488">
        <v>10</v>
      </c>
    </row>
    <row r="11" spans="1:10" ht="12">
      <c r="A11" s="303" t="s">
        <v>663</v>
      </c>
      <c r="B11" s="489">
        <f>30000+90000</f>
        <v>120000</v>
      </c>
      <c r="C11" s="489">
        <f>308142+1187975</f>
        <v>1496117</v>
      </c>
      <c r="D11" s="490">
        <v>22350</v>
      </c>
      <c r="E11" s="489">
        <f>1452063+5794225</f>
        <v>7246288</v>
      </c>
      <c r="F11" s="489">
        <v>5631</v>
      </c>
      <c r="G11" s="490"/>
      <c r="H11" s="490"/>
      <c r="I11" s="490"/>
      <c r="J11" s="489">
        <f aca="true" t="shared" si="0" ref="J11:J44">SUM(B11:I11)</f>
        <v>8890386</v>
      </c>
    </row>
    <row r="12" spans="1:10" ht="12">
      <c r="A12" s="303" t="s">
        <v>664</v>
      </c>
      <c r="B12" s="490">
        <f>50000+50000</f>
        <v>100000</v>
      </c>
      <c r="C12" s="490">
        <f>39591+154762</f>
        <v>194353</v>
      </c>
      <c r="D12" s="490">
        <v>2196</v>
      </c>
      <c r="E12" s="489">
        <f>230692+919015</f>
        <v>1149707</v>
      </c>
      <c r="F12" s="489">
        <v>4861</v>
      </c>
      <c r="G12" s="490"/>
      <c r="H12" s="490"/>
      <c r="I12" s="490"/>
      <c r="J12" s="489">
        <f t="shared" si="0"/>
        <v>1451117</v>
      </c>
    </row>
    <row r="13" spans="1:10" ht="12">
      <c r="A13" s="303" t="s">
        <v>665</v>
      </c>
      <c r="B13" s="490">
        <f>78700+130000</f>
        <v>208700</v>
      </c>
      <c r="C13" s="490">
        <f>33909+131281</f>
        <v>165190</v>
      </c>
      <c r="D13" s="490">
        <v>6223</v>
      </c>
      <c r="E13" s="489">
        <f>146629+579282</f>
        <v>725911</v>
      </c>
      <c r="F13" s="490">
        <v>2097</v>
      </c>
      <c r="G13" s="490"/>
      <c r="H13" s="490"/>
      <c r="I13" s="490"/>
      <c r="J13" s="489">
        <f t="shared" si="0"/>
        <v>1108121</v>
      </c>
    </row>
    <row r="14" spans="1:10" ht="12">
      <c r="A14" s="303" t="s">
        <v>666</v>
      </c>
      <c r="B14" s="490"/>
      <c r="C14" s="490">
        <f>9763+39845</f>
        <v>49608</v>
      </c>
      <c r="D14" s="490">
        <v>390</v>
      </c>
      <c r="E14" s="489">
        <f>113671+452972</f>
        <v>566643</v>
      </c>
      <c r="F14" s="490">
        <v>588</v>
      </c>
      <c r="G14" s="490"/>
      <c r="H14" s="490"/>
      <c r="I14" s="490"/>
      <c r="J14" s="489">
        <f t="shared" si="0"/>
        <v>617229</v>
      </c>
    </row>
    <row r="15" spans="1:10" ht="12">
      <c r="A15" s="303" t="s">
        <v>667</v>
      </c>
      <c r="B15" s="490">
        <f>37000+52000</f>
        <v>89000</v>
      </c>
      <c r="C15" s="490">
        <f>49750+195746</f>
        <v>245496</v>
      </c>
      <c r="D15" s="490">
        <v>2197</v>
      </c>
      <c r="E15" s="489">
        <f>177821+709029</f>
        <v>886850</v>
      </c>
      <c r="F15" s="490">
        <v>2138</v>
      </c>
      <c r="G15" s="490"/>
      <c r="H15" s="490"/>
      <c r="I15" s="490"/>
      <c r="J15" s="489">
        <f t="shared" si="0"/>
        <v>1225681</v>
      </c>
    </row>
    <row r="16" spans="1:10" ht="12">
      <c r="A16" s="303" t="s">
        <v>668</v>
      </c>
      <c r="B16" s="490"/>
      <c r="C16" s="490">
        <f>35824+137959</f>
        <v>173783</v>
      </c>
      <c r="D16" s="490">
        <v>1830</v>
      </c>
      <c r="E16" s="490">
        <f>87430+347047</f>
        <v>434477</v>
      </c>
      <c r="F16" s="490">
        <v>2259</v>
      </c>
      <c r="G16" s="490"/>
      <c r="H16" s="490"/>
      <c r="I16" s="490"/>
      <c r="J16" s="489">
        <f t="shared" si="0"/>
        <v>612349</v>
      </c>
    </row>
    <row r="17" spans="1:10" ht="12">
      <c r="A17" s="303" t="s">
        <v>669</v>
      </c>
      <c r="B17" s="490"/>
      <c r="C17" s="490">
        <v>40728</v>
      </c>
      <c r="D17" s="490">
        <v>1464</v>
      </c>
      <c r="E17" s="489">
        <f>90453+361214</f>
        <v>451667</v>
      </c>
      <c r="F17" s="490">
        <v>60</v>
      </c>
      <c r="G17" s="490"/>
      <c r="H17" s="490"/>
      <c r="I17" s="490"/>
      <c r="J17" s="489">
        <f t="shared" si="0"/>
        <v>493919</v>
      </c>
    </row>
    <row r="18" spans="1:10" ht="12">
      <c r="A18" s="303" t="s">
        <v>670</v>
      </c>
      <c r="B18" s="490">
        <f>85600+19600</f>
        <v>105200</v>
      </c>
      <c r="C18" s="490">
        <f>33523+131969</f>
        <v>165492</v>
      </c>
      <c r="D18" s="490">
        <v>1464</v>
      </c>
      <c r="E18" s="489">
        <f>125372+495431</f>
        <v>620803</v>
      </c>
      <c r="F18" s="490">
        <v>1280</v>
      </c>
      <c r="G18" s="490"/>
      <c r="H18" s="490">
        <v>1750</v>
      </c>
      <c r="I18" s="490"/>
      <c r="J18" s="489">
        <f t="shared" si="0"/>
        <v>895989</v>
      </c>
    </row>
    <row r="19" spans="1:10" ht="12">
      <c r="A19" s="303" t="s">
        <v>671</v>
      </c>
      <c r="B19" s="490">
        <f>10000+5000</f>
        <v>15000</v>
      </c>
      <c r="C19" s="490">
        <f>38244+150240</f>
        <v>188484</v>
      </c>
      <c r="D19" s="490">
        <v>1830</v>
      </c>
      <c r="E19" s="490">
        <f>74189+301206</f>
        <v>375395</v>
      </c>
      <c r="F19" s="490">
        <v>1174</v>
      </c>
      <c r="G19" s="490"/>
      <c r="H19" s="490"/>
      <c r="I19" s="490"/>
      <c r="J19" s="489">
        <f t="shared" si="0"/>
        <v>581883</v>
      </c>
    </row>
    <row r="20" spans="1:10" ht="12">
      <c r="A20" s="303" t="s">
        <v>672</v>
      </c>
      <c r="B20" s="490">
        <f>37000+37000</f>
        <v>74000</v>
      </c>
      <c r="C20" s="490">
        <f>31470+123604</f>
        <v>155074</v>
      </c>
      <c r="D20" s="490">
        <v>2929</v>
      </c>
      <c r="E20" s="490">
        <f>83883+338333</f>
        <v>422216</v>
      </c>
      <c r="F20" s="490">
        <v>1878</v>
      </c>
      <c r="G20" s="490"/>
      <c r="H20" s="490">
        <v>1750</v>
      </c>
      <c r="I20" s="490"/>
      <c r="J20" s="489">
        <f t="shared" si="0"/>
        <v>657847</v>
      </c>
    </row>
    <row r="21" spans="1:10" ht="12">
      <c r="A21" s="303" t="s">
        <v>673</v>
      </c>
      <c r="B21" s="490">
        <f>10000+10000</f>
        <v>20000</v>
      </c>
      <c r="C21" s="490">
        <f>52413+206213</f>
        <v>258626</v>
      </c>
      <c r="D21" s="490">
        <v>2563</v>
      </c>
      <c r="E21" s="489">
        <f>144395+571564</f>
        <v>715959</v>
      </c>
      <c r="F21" s="490">
        <v>1166</v>
      </c>
      <c r="G21" s="490"/>
      <c r="H21" s="490"/>
      <c r="I21" s="490"/>
      <c r="J21" s="489">
        <f t="shared" si="0"/>
        <v>998314</v>
      </c>
    </row>
    <row r="22" spans="1:10" ht="12">
      <c r="A22" s="303" t="s">
        <v>674</v>
      </c>
      <c r="B22" s="490"/>
      <c r="C22" s="489">
        <f>93347+366826</f>
        <v>460173</v>
      </c>
      <c r="D22" s="490">
        <v>2929</v>
      </c>
      <c r="E22" s="489">
        <f>171549+692634</f>
        <v>864183</v>
      </c>
      <c r="F22" s="490">
        <v>1640</v>
      </c>
      <c r="G22" s="490"/>
      <c r="H22" s="490"/>
      <c r="I22" s="490"/>
      <c r="J22" s="489">
        <f t="shared" si="0"/>
        <v>1328925</v>
      </c>
    </row>
    <row r="23" spans="1:10" ht="12">
      <c r="A23" s="303" t="s">
        <v>675</v>
      </c>
      <c r="B23" s="490">
        <f>40000+80000</f>
        <v>120000</v>
      </c>
      <c r="C23" s="490">
        <f>28076+110606</f>
        <v>138682</v>
      </c>
      <c r="D23" s="490">
        <v>1098</v>
      </c>
      <c r="E23" s="489">
        <f>102881+414171</f>
        <v>517052</v>
      </c>
      <c r="F23" s="490">
        <v>1623</v>
      </c>
      <c r="G23" s="490"/>
      <c r="H23" s="490"/>
      <c r="I23" s="490"/>
      <c r="J23" s="489">
        <f t="shared" si="0"/>
        <v>778455</v>
      </c>
    </row>
    <row r="24" spans="1:10" ht="12">
      <c r="A24" s="303" t="s">
        <v>676</v>
      </c>
      <c r="B24" s="490">
        <f>10400+13200</f>
        <v>23600</v>
      </c>
      <c r="C24" s="490">
        <f>12383+48794</f>
        <v>61177</v>
      </c>
      <c r="D24" s="490">
        <v>1831</v>
      </c>
      <c r="E24" s="489">
        <f>123036+487181</f>
        <v>610217</v>
      </c>
      <c r="F24" s="490">
        <v>358</v>
      </c>
      <c r="G24" s="490"/>
      <c r="H24" s="490">
        <v>3250</v>
      </c>
      <c r="I24" s="490"/>
      <c r="J24" s="489">
        <f t="shared" si="0"/>
        <v>700433</v>
      </c>
    </row>
    <row r="25" spans="1:10" ht="12">
      <c r="A25" s="303" t="s">
        <v>677</v>
      </c>
      <c r="B25" s="490">
        <f>33800+16200</f>
        <v>50000</v>
      </c>
      <c r="C25" s="490">
        <f>12050+47419</f>
        <v>59469</v>
      </c>
      <c r="D25" s="490">
        <v>1098</v>
      </c>
      <c r="E25" s="490">
        <f>77098+314191</f>
        <v>391289</v>
      </c>
      <c r="F25" s="490">
        <v>120</v>
      </c>
      <c r="G25" s="490"/>
      <c r="H25" s="490"/>
      <c r="I25" s="490"/>
      <c r="J25" s="489">
        <f t="shared" si="0"/>
        <v>501976</v>
      </c>
    </row>
    <row r="26" spans="1:10" ht="12">
      <c r="A26" s="303" t="s">
        <v>678</v>
      </c>
      <c r="B26" s="490"/>
      <c r="C26" s="490">
        <f>24123+95072</f>
        <v>119195</v>
      </c>
      <c r="D26" s="490">
        <v>1464</v>
      </c>
      <c r="E26" s="489">
        <f>103374+413790</f>
        <v>517164</v>
      </c>
      <c r="F26" s="490">
        <v>2070</v>
      </c>
      <c r="G26" s="490"/>
      <c r="H26" s="490"/>
      <c r="I26" s="490"/>
      <c r="J26" s="489">
        <f t="shared" si="0"/>
        <v>639893</v>
      </c>
    </row>
    <row r="27" spans="1:10" ht="12">
      <c r="A27" s="303" t="s">
        <v>679</v>
      </c>
      <c r="B27" s="490">
        <f>20000+20000</f>
        <v>40000</v>
      </c>
      <c r="C27" s="490">
        <f>41672+163511</f>
        <v>205183</v>
      </c>
      <c r="D27" s="490">
        <v>1831</v>
      </c>
      <c r="E27" s="489">
        <f>142461+566304</f>
        <v>708765</v>
      </c>
      <c r="F27" s="490">
        <v>3370</v>
      </c>
      <c r="G27" s="490"/>
      <c r="H27" s="490"/>
      <c r="I27" s="490"/>
      <c r="J27" s="489">
        <f t="shared" si="0"/>
        <v>959149</v>
      </c>
    </row>
    <row r="28" spans="1:10" ht="12">
      <c r="A28" s="303" t="s">
        <v>680</v>
      </c>
      <c r="B28" s="490">
        <f>4000+4000</f>
        <v>8000</v>
      </c>
      <c r="C28" s="490">
        <f>12473+49099</f>
        <v>61572</v>
      </c>
      <c r="D28" s="490">
        <v>1164</v>
      </c>
      <c r="E28" s="489">
        <f>103674+413733</f>
        <v>517407</v>
      </c>
      <c r="F28" s="490">
        <v>1964</v>
      </c>
      <c r="G28" s="490"/>
      <c r="H28" s="490">
        <v>1750</v>
      </c>
      <c r="I28" s="490"/>
      <c r="J28" s="489">
        <f t="shared" si="0"/>
        <v>591857</v>
      </c>
    </row>
    <row r="29" spans="1:10" ht="12">
      <c r="A29" s="303" t="s">
        <v>681</v>
      </c>
      <c r="B29" s="490">
        <f>91000+81000</f>
        <v>172000</v>
      </c>
      <c r="C29" s="490">
        <f>40323+158864</f>
        <v>199187</v>
      </c>
      <c r="D29" s="490">
        <v>1830</v>
      </c>
      <c r="E29" s="489">
        <f>127420+499507</f>
        <v>626927</v>
      </c>
      <c r="F29" s="490">
        <v>554</v>
      </c>
      <c r="G29" s="490"/>
      <c r="H29" s="490"/>
      <c r="I29" s="490"/>
      <c r="J29" s="489">
        <f t="shared" si="0"/>
        <v>1000498</v>
      </c>
    </row>
    <row r="30" spans="1:10" ht="12">
      <c r="A30" s="303" t="s">
        <v>682</v>
      </c>
      <c r="B30" s="490">
        <f>19000+10000</f>
        <v>29000</v>
      </c>
      <c r="C30" s="490">
        <f>46925+184394</f>
        <v>231319</v>
      </c>
      <c r="D30" s="490">
        <v>1830</v>
      </c>
      <c r="E30" s="489">
        <f>136879+549719</f>
        <v>686598</v>
      </c>
      <c r="F30" s="490">
        <v>543</v>
      </c>
      <c r="G30" s="490"/>
      <c r="H30" s="490">
        <v>1750</v>
      </c>
      <c r="I30" s="490"/>
      <c r="J30" s="489">
        <f t="shared" si="0"/>
        <v>951040</v>
      </c>
    </row>
    <row r="31" spans="1:10" ht="12">
      <c r="A31" s="303" t="s">
        <v>683</v>
      </c>
      <c r="B31" s="490">
        <f>96000+10000</f>
        <v>106000</v>
      </c>
      <c r="C31" s="490">
        <f>14363+56611</f>
        <v>70974</v>
      </c>
      <c r="D31" s="490">
        <v>1830</v>
      </c>
      <c r="E31" s="489">
        <f>111956+445905</f>
        <v>557861</v>
      </c>
      <c r="F31" s="490">
        <v>696</v>
      </c>
      <c r="G31" s="490"/>
      <c r="H31" s="490">
        <v>1750</v>
      </c>
      <c r="I31" s="490"/>
      <c r="J31" s="489">
        <f t="shared" si="0"/>
        <v>739111</v>
      </c>
    </row>
    <row r="32" spans="1:10" ht="12">
      <c r="A32" s="303" t="s">
        <v>684</v>
      </c>
      <c r="B32" s="490"/>
      <c r="C32" s="490">
        <f>12882+50744</f>
        <v>63626</v>
      </c>
      <c r="D32" s="490">
        <v>1830</v>
      </c>
      <c r="E32" s="489">
        <f>94118+374446</f>
        <v>468564</v>
      </c>
      <c r="F32" s="490">
        <v>2484</v>
      </c>
      <c r="G32" s="490"/>
      <c r="H32" s="490"/>
      <c r="I32" s="490"/>
      <c r="J32" s="489">
        <f t="shared" si="0"/>
        <v>536504</v>
      </c>
    </row>
    <row r="33" spans="1:10" ht="12">
      <c r="A33" s="303" t="s">
        <v>685</v>
      </c>
      <c r="B33" s="490">
        <f>60000+70000</f>
        <v>130000</v>
      </c>
      <c r="C33" s="490">
        <f>24604+96741</f>
        <v>121345</v>
      </c>
      <c r="D33" s="490">
        <v>3295</v>
      </c>
      <c r="E33" s="489">
        <f>123797+503459</f>
        <v>627256</v>
      </c>
      <c r="F33" s="490">
        <v>1071</v>
      </c>
      <c r="G33" s="490"/>
      <c r="H33" s="490"/>
      <c r="I33" s="490"/>
      <c r="J33" s="489">
        <f t="shared" si="0"/>
        <v>882967</v>
      </c>
    </row>
    <row r="34" spans="1:10" ht="12">
      <c r="A34" s="303" t="s">
        <v>686</v>
      </c>
      <c r="B34" s="490">
        <v>20000</v>
      </c>
      <c r="C34" s="490">
        <f>24842+97683</f>
        <v>122525</v>
      </c>
      <c r="D34" s="490">
        <v>2929</v>
      </c>
      <c r="E34" s="489">
        <f>164282+650242</f>
        <v>814524</v>
      </c>
      <c r="F34" s="490">
        <v>756</v>
      </c>
      <c r="G34" s="490"/>
      <c r="H34" s="490"/>
      <c r="I34" s="490"/>
      <c r="J34" s="489">
        <f t="shared" si="0"/>
        <v>960734</v>
      </c>
    </row>
    <row r="35" spans="1:10" ht="12">
      <c r="A35" s="303" t="s">
        <v>687</v>
      </c>
      <c r="B35" s="490">
        <f>35000+40000</f>
        <v>75000</v>
      </c>
      <c r="C35" s="490">
        <f>35180+138032</f>
        <v>173212</v>
      </c>
      <c r="D35" s="490">
        <v>2928</v>
      </c>
      <c r="E35" s="489">
        <f>121258+462697</f>
        <v>583955</v>
      </c>
      <c r="F35" s="490">
        <v>1896</v>
      </c>
      <c r="G35" s="490"/>
      <c r="H35" s="490"/>
      <c r="I35" s="490"/>
      <c r="J35" s="489">
        <f t="shared" si="0"/>
        <v>836991</v>
      </c>
    </row>
    <row r="36" spans="1:10" ht="12">
      <c r="A36" s="303" t="s">
        <v>688</v>
      </c>
      <c r="B36" s="490"/>
      <c r="C36" s="490">
        <f>53657+211281</f>
        <v>264938</v>
      </c>
      <c r="D36" s="490">
        <v>1830</v>
      </c>
      <c r="E36" s="489">
        <f>108657+432205</f>
        <v>540862</v>
      </c>
      <c r="F36" s="490">
        <v>3175</v>
      </c>
      <c r="G36" s="490"/>
      <c r="H36" s="490"/>
      <c r="I36" s="490"/>
      <c r="J36" s="489">
        <f t="shared" si="0"/>
        <v>810805</v>
      </c>
    </row>
    <row r="37" spans="1:10" ht="12">
      <c r="A37" s="303" t="s">
        <v>689</v>
      </c>
      <c r="B37" s="490">
        <f>100000+95000</f>
        <v>195000</v>
      </c>
      <c r="C37" s="490">
        <f>48718+191885</f>
        <v>240603</v>
      </c>
      <c r="D37" s="490">
        <v>5856</v>
      </c>
      <c r="E37" s="489">
        <f>309201+1232582</f>
        <v>1541783</v>
      </c>
      <c r="F37" s="490">
        <v>1413</v>
      </c>
      <c r="G37" s="490"/>
      <c r="H37" s="490">
        <v>6520</v>
      </c>
      <c r="I37" s="490"/>
      <c r="J37" s="489">
        <f t="shared" si="0"/>
        <v>1991175</v>
      </c>
    </row>
    <row r="38" spans="1:10" ht="12">
      <c r="A38" s="303" t="s">
        <v>690</v>
      </c>
      <c r="B38" s="490">
        <f>60000+29000</f>
        <v>89000</v>
      </c>
      <c r="C38" s="490">
        <f>54288+213650</f>
        <v>267938</v>
      </c>
      <c r="D38" s="490">
        <v>1830</v>
      </c>
      <c r="E38" s="489">
        <f>111258+444169</f>
        <v>555427</v>
      </c>
      <c r="F38" s="490">
        <v>727</v>
      </c>
      <c r="G38" s="490"/>
      <c r="H38" s="490"/>
      <c r="I38" s="490"/>
      <c r="J38" s="489">
        <f t="shared" si="0"/>
        <v>914922</v>
      </c>
    </row>
    <row r="39" spans="1:10" ht="12">
      <c r="A39" s="303" t="s">
        <v>691</v>
      </c>
      <c r="B39" s="490">
        <f>40000+10000</f>
        <v>50000</v>
      </c>
      <c r="C39" s="490">
        <f>16820+79180</f>
        <v>96000</v>
      </c>
      <c r="D39" s="490">
        <v>2562</v>
      </c>
      <c r="E39" s="489">
        <f>143096+577623</f>
        <v>720719</v>
      </c>
      <c r="F39" s="490">
        <v>1157</v>
      </c>
      <c r="G39" s="490"/>
      <c r="H39" s="490">
        <v>1750</v>
      </c>
      <c r="I39" s="490"/>
      <c r="J39" s="489">
        <f t="shared" si="0"/>
        <v>872188</v>
      </c>
    </row>
    <row r="40" spans="1:10" ht="12">
      <c r="A40" s="303" t="s">
        <v>692</v>
      </c>
      <c r="B40" s="489">
        <f>37000+1000</f>
        <v>38000</v>
      </c>
      <c r="C40" s="490">
        <f>70943+276474</f>
        <v>347417</v>
      </c>
      <c r="D40" s="490">
        <v>1830</v>
      </c>
      <c r="E40" s="489">
        <f>145960+590995</f>
        <v>736955</v>
      </c>
      <c r="F40" s="490">
        <v>859</v>
      </c>
      <c r="G40" s="489"/>
      <c r="H40" s="489"/>
      <c r="I40" s="489"/>
      <c r="J40" s="489">
        <f t="shared" si="0"/>
        <v>1125061</v>
      </c>
    </row>
    <row r="41" spans="1:10" ht="12">
      <c r="A41" s="303" t="s">
        <v>693</v>
      </c>
      <c r="B41" s="490">
        <f>40000+76000</f>
        <v>116000</v>
      </c>
      <c r="C41" s="490">
        <f>17115+67343</f>
        <v>84458</v>
      </c>
      <c r="D41" s="490">
        <v>2928</v>
      </c>
      <c r="E41" s="489">
        <f>99690+380312</f>
        <v>480002</v>
      </c>
      <c r="F41" s="490">
        <v>124</v>
      </c>
      <c r="G41" s="489"/>
      <c r="H41" s="489">
        <v>1750</v>
      </c>
      <c r="I41" s="489"/>
      <c r="J41" s="489">
        <f t="shared" si="0"/>
        <v>685262</v>
      </c>
    </row>
    <row r="42" spans="1:10" ht="12">
      <c r="A42" s="303" t="s">
        <v>694</v>
      </c>
      <c r="B42" s="490"/>
      <c r="C42" s="490">
        <f>63882+251545</f>
        <v>315427</v>
      </c>
      <c r="D42" s="490">
        <v>3294</v>
      </c>
      <c r="E42" s="489">
        <f>173712+702112</f>
        <v>875824</v>
      </c>
      <c r="F42" s="490">
        <v>148</v>
      </c>
      <c r="G42" s="489"/>
      <c r="H42" s="489"/>
      <c r="I42" s="489"/>
      <c r="J42" s="489">
        <f t="shared" si="0"/>
        <v>1194693</v>
      </c>
    </row>
    <row r="43" spans="1:10" ht="12">
      <c r="A43" s="303" t="s">
        <v>695</v>
      </c>
      <c r="B43" s="490">
        <f>500+1000</f>
        <v>1500</v>
      </c>
      <c r="C43" s="490">
        <f>16574+65197</f>
        <v>81771</v>
      </c>
      <c r="D43" s="490">
        <v>1398</v>
      </c>
      <c r="E43" s="490">
        <f>43964+163444</f>
        <v>207408</v>
      </c>
      <c r="F43" s="490">
        <v>120</v>
      </c>
      <c r="G43" s="303"/>
      <c r="H43" s="489"/>
      <c r="I43" s="489"/>
      <c r="J43" s="489">
        <f t="shared" si="0"/>
        <v>292197</v>
      </c>
    </row>
    <row r="44" spans="1:10" ht="12">
      <c r="A44" s="491" t="s">
        <v>696</v>
      </c>
      <c r="B44" s="492">
        <f>SUM(B11:B43)</f>
        <v>1995000</v>
      </c>
      <c r="C44" s="492">
        <f>SUM(C11:C43)</f>
        <v>6919142</v>
      </c>
      <c r="D44" s="492">
        <f>SUM(D11:D43)</f>
        <v>94851</v>
      </c>
      <c r="E44" s="492">
        <f>SUM(E11:E43)</f>
        <v>27746658</v>
      </c>
      <c r="F44" s="492">
        <f>SUM(F11:F43)</f>
        <v>50000</v>
      </c>
      <c r="G44" s="489"/>
      <c r="H44" s="492">
        <f>SUM(H11:H43)</f>
        <v>22020</v>
      </c>
      <c r="I44" s="493"/>
      <c r="J44" s="492">
        <f t="shared" si="0"/>
        <v>36827671</v>
      </c>
    </row>
    <row r="45" spans="1:10" ht="12">
      <c r="A45" s="494"/>
      <c r="B45" s="495"/>
      <c r="C45" s="495"/>
      <c r="D45" s="495"/>
      <c r="E45" s="495"/>
      <c r="F45" s="495"/>
      <c r="G45" s="495"/>
      <c r="H45" s="495"/>
      <c r="I45" s="495"/>
      <c r="J45" s="495"/>
    </row>
    <row r="46" spans="1:10" ht="12">
      <c r="A46" s="494"/>
      <c r="B46" s="495"/>
      <c r="C46" s="495"/>
      <c r="D46" s="496"/>
      <c r="E46" s="495"/>
      <c r="F46" s="495"/>
      <c r="G46" s="495"/>
      <c r="H46" s="495"/>
      <c r="I46" s="495"/>
      <c r="J46" s="495"/>
    </row>
    <row r="47" spans="1:10" ht="12">
      <c r="A47" s="494"/>
      <c r="B47" s="495"/>
      <c r="C47" s="495"/>
      <c r="D47" s="495"/>
      <c r="E47" s="495"/>
      <c r="F47" s="495"/>
      <c r="G47" s="495"/>
      <c r="H47" s="495"/>
      <c r="I47" s="495"/>
      <c r="J47" s="495"/>
    </row>
    <row r="48" spans="1:9" ht="12.75">
      <c r="A48" s="497"/>
      <c r="B48" s="498"/>
      <c r="C48" s="499"/>
      <c r="D48" s="500"/>
      <c r="E48" s="500"/>
      <c r="F48" s="500"/>
      <c r="G48" s="500"/>
      <c r="H48" s="500"/>
      <c r="I48" s="500"/>
    </row>
    <row r="49" spans="1:10" s="321" customFormat="1" ht="12">
      <c r="A49" s="376" t="s">
        <v>480</v>
      </c>
      <c r="B49" s="376"/>
      <c r="C49" s="501"/>
      <c r="D49" s="502"/>
      <c r="E49" s="349"/>
      <c r="F49" s="349"/>
      <c r="G49" s="376" t="s">
        <v>613</v>
      </c>
      <c r="H49" s="502"/>
      <c r="I49" s="349"/>
      <c r="J49" s="320" t="s">
        <v>481</v>
      </c>
    </row>
    <row r="50" spans="1:10" ht="12">
      <c r="A50" s="503"/>
      <c r="B50" s="504"/>
      <c r="C50" s="504"/>
      <c r="D50" s="504"/>
      <c r="E50" s="502"/>
      <c r="F50" s="502"/>
      <c r="G50" s="505"/>
      <c r="H50" s="505"/>
      <c r="I50" s="505"/>
      <c r="J50" s="502"/>
    </row>
    <row r="62" ht="11.25">
      <c r="A62" s="265" t="s">
        <v>614</v>
      </c>
    </row>
    <row r="63" ht="11.25">
      <c r="A63" s="287" t="s">
        <v>615</v>
      </c>
    </row>
  </sheetData>
  <printOptions/>
  <pageMargins left="0.4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9"/>
  <sheetViews>
    <sheetView workbookViewId="0" topLeftCell="G1">
      <selection activeCell="A8" sqref="A8"/>
    </sheetView>
  </sheetViews>
  <sheetFormatPr defaultColWidth="9.140625" defaultRowHeight="12.75"/>
  <cols>
    <col min="1" max="1" width="39.7109375" style="2" hidden="1" customWidth="1"/>
    <col min="2" max="2" width="15.140625" style="2" hidden="1" customWidth="1"/>
    <col min="3" max="3" width="10.28125" style="210" hidden="1" customWidth="1"/>
    <col min="4" max="4" width="11.7109375" style="2" hidden="1" customWidth="1"/>
    <col min="5" max="5" width="7.421875" style="2" hidden="1" customWidth="1"/>
    <col min="6" max="6" width="11.421875" style="2" hidden="1" customWidth="1"/>
    <col min="7" max="7" width="37.421875" style="2" customWidth="1"/>
    <col min="8" max="8" width="11.28125" style="2" customWidth="1"/>
    <col min="9" max="10" width="9.57421875" style="2" customWidth="1"/>
    <col min="11" max="11" width="9.7109375" style="2" customWidth="1"/>
    <col min="12" max="12" width="10.57421875" style="2" customWidth="1"/>
    <col min="13" max="16384" width="9.140625" style="2" customWidth="1"/>
  </cols>
  <sheetData>
    <row r="1" spans="6:12" ht="11.25" customHeight="1">
      <c r="F1" s="148" t="s">
        <v>271</v>
      </c>
      <c r="L1" s="148" t="s">
        <v>271</v>
      </c>
    </row>
    <row r="2" spans="1:11" ht="14.25">
      <c r="A2" s="172" t="s">
        <v>48</v>
      </c>
      <c r="B2" s="44"/>
      <c r="C2" s="211"/>
      <c r="D2" s="212"/>
      <c r="E2" s="44"/>
      <c r="G2" s="172" t="s">
        <v>48</v>
      </c>
      <c r="H2" s="44"/>
      <c r="I2" s="172"/>
      <c r="J2" s="212"/>
      <c r="K2" s="44"/>
    </row>
    <row r="3" spans="1:11" ht="6" customHeight="1">
      <c r="A3" s="5"/>
      <c r="B3" s="1"/>
      <c r="C3" s="213"/>
      <c r="D3" s="1"/>
      <c r="E3" s="1"/>
      <c r="G3" s="5"/>
      <c r="H3" s="1"/>
      <c r="I3" s="1"/>
      <c r="J3" s="1"/>
      <c r="K3" s="1"/>
    </row>
    <row r="4" spans="1:11" ht="15.75">
      <c r="A4" s="48" t="s">
        <v>272</v>
      </c>
      <c r="B4" s="172"/>
      <c r="C4" s="211"/>
      <c r="D4" s="172"/>
      <c r="E4" s="172"/>
      <c r="G4" s="48" t="s">
        <v>273</v>
      </c>
      <c r="H4" s="172"/>
      <c r="I4" s="172"/>
      <c r="J4" s="172"/>
      <c r="K4" s="172"/>
    </row>
    <row r="5" spans="1:12" ht="9" customHeight="1">
      <c r="A5" s="214"/>
      <c r="B5" s="1"/>
      <c r="C5" s="213"/>
      <c r="D5" s="35"/>
      <c r="E5" s="215"/>
      <c r="F5" s="216" t="s">
        <v>6</v>
      </c>
      <c r="G5" s="214"/>
      <c r="H5" s="1"/>
      <c r="I5" s="1"/>
      <c r="J5" s="35"/>
      <c r="K5" s="215"/>
      <c r="L5" s="216" t="s">
        <v>6</v>
      </c>
    </row>
    <row r="6" spans="1:12" ht="44.25" customHeight="1">
      <c r="A6" s="12" t="s">
        <v>7</v>
      </c>
      <c r="B6" s="12" t="s">
        <v>9</v>
      </c>
      <c r="C6" s="217" t="s">
        <v>274</v>
      </c>
      <c r="D6" s="12" t="s">
        <v>10</v>
      </c>
      <c r="E6" s="12" t="s">
        <v>275</v>
      </c>
      <c r="F6" s="12" t="s">
        <v>129</v>
      </c>
      <c r="G6" s="12" t="s">
        <v>7</v>
      </c>
      <c r="H6" s="12" t="s">
        <v>9</v>
      </c>
      <c r="I6" s="12" t="s">
        <v>274</v>
      </c>
      <c r="J6" s="12" t="s">
        <v>10</v>
      </c>
      <c r="K6" s="12" t="s">
        <v>275</v>
      </c>
      <c r="L6" s="12" t="s">
        <v>129</v>
      </c>
    </row>
    <row r="7" spans="1:12" ht="11.25" customHeight="1">
      <c r="A7" s="11">
        <v>1</v>
      </c>
      <c r="B7" s="13">
        <v>2</v>
      </c>
      <c r="C7" s="218">
        <v>3</v>
      </c>
      <c r="D7" s="52">
        <v>4</v>
      </c>
      <c r="E7" s="52">
        <v>5</v>
      </c>
      <c r="F7" s="13">
        <v>6</v>
      </c>
      <c r="G7" s="11">
        <v>1</v>
      </c>
      <c r="H7" s="13">
        <v>2</v>
      </c>
      <c r="I7" s="52">
        <v>3</v>
      </c>
      <c r="J7" s="52">
        <v>4</v>
      </c>
      <c r="K7" s="52">
        <v>5</v>
      </c>
      <c r="L7" s="13">
        <v>6</v>
      </c>
    </row>
    <row r="8" spans="1:12" ht="15" customHeight="1">
      <c r="A8" s="193" t="s">
        <v>276</v>
      </c>
      <c r="B8" s="62">
        <f>SUM(B9,B17,B33)</f>
        <v>720918773</v>
      </c>
      <c r="C8" s="219">
        <v>0.933</v>
      </c>
      <c r="D8" s="62">
        <f>SUM(D9,D17,D33)</f>
        <v>263663035</v>
      </c>
      <c r="E8" s="69">
        <f aca="true" t="shared" si="0" ref="E8:E34">IF(ISERROR(D8/B8)," ",(D8/B8))</f>
        <v>0.365731958820831</v>
      </c>
      <c r="F8" s="62">
        <f>SUM(F9,F17,F33)</f>
        <v>54973658</v>
      </c>
      <c r="G8" s="193" t="s">
        <v>276</v>
      </c>
      <c r="H8" s="62">
        <f>SUM(H9,H17,H33)</f>
        <v>720919</v>
      </c>
      <c r="I8" s="220">
        <f>C8</f>
        <v>0.933</v>
      </c>
      <c r="J8" s="62">
        <f>SUM(J9,J17,J33)</f>
        <v>263663</v>
      </c>
      <c r="K8" s="221">
        <f>IF(ISERROR(ROUND(J8,0)/ROUND(H8,0))," ",(ROUND(J8,)/ROUND(H8,)))</f>
        <v>0.3657317951115174</v>
      </c>
      <c r="L8" s="62">
        <f>SUM(L9,L17,L33)</f>
        <v>54975</v>
      </c>
    </row>
    <row r="9" spans="1:12" ht="12.75">
      <c r="A9" s="63" t="s">
        <v>277</v>
      </c>
      <c r="B9" s="62">
        <f>SUM(B10,B12,B16)</f>
        <v>577462850</v>
      </c>
      <c r="C9" s="219">
        <v>0.916</v>
      </c>
      <c r="D9" s="62">
        <f>SUM(D10,D12,D16)</f>
        <v>221011857</v>
      </c>
      <c r="E9" s="69">
        <f t="shared" si="0"/>
        <v>0.3827291348698882</v>
      </c>
      <c r="F9" s="62">
        <f>SUM(F10,F12,F16)</f>
        <v>44124554</v>
      </c>
      <c r="G9" s="63" t="s">
        <v>277</v>
      </c>
      <c r="H9" s="41">
        <f>SUM(H10,H12,H16)</f>
        <v>577463</v>
      </c>
      <c r="I9" s="222">
        <f aca="true" t="shared" si="1" ref="I9:I34">C9</f>
        <v>0.916</v>
      </c>
      <c r="J9" s="41">
        <f>SUM(J10,J12,J16)</f>
        <v>221011</v>
      </c>
      <c r="K9" s="223">
        <f aca="true" t="shared" si="2" ref="K9:K34">IF(ISERROR(ROUND(J9,0)/ROUND(H9,0))," ",(ROUND(J9,)/ROUND(H9,)))</f>
        <v>0.38272755137558595</v>
      </c>
      <c r="L9" s="41">
        <f>SUM(L10,L12,L16)</f>
        <v>44125</v>
      </c>
    </row>
    <row r="10" spans="1:12" ht="15" customHeight="1">
      <c r="A10" s="64" t="s">
        <v>278</v>
      </c>
      <c r="B10" s="62">
        <f>SUM(B11)</f>
        <v>90900000</v>
      </c>
      <c r="C10" s="219">
        <v>0.953</v>
      </c>
      <c r="D10" s="62">
        <f>SUM(D11)</f>
        <v>43326237</v>
      </c>
      <c r="E10" s="69">
        <f t="shared" si="0"/>
        <v>0.4766362706270627</v>
      </c>
      <c r="F10" s="62">
        <f>SUM(F11)</f>
        <v>10800947</v>
      </c>
      <c r="G10" s="64" t="s">
        <v>278</v>
      </c>
      <c r="H10" s="65">
        <f>SUM(H11)</f>
        <v>90900</v>
      </c>
      <c r="I10" s="224">
        <f t="shared" si="1"/>
        <v>0.953</v>
      </c>
      <c r="J10" s="65">
        <f>SUM(J11)</f>
        <v>43326</v>
      </c>
      <c r="K10" s="225">
        <f t="shared" si="2"/>
        <v>0.4766336633663366</v>
      </c>
      <c r="L10" s="65">
        <f>SUM(L11)</f>
        <v>10801</v>
      </c>
    </row>
    <row r="11" spans="1:12" ht="12.75">
      <c r="A11" s="29" t="s">
        <v>279</v>
      </c>
      <c r="B11" s="43">
        <v>90900000</v>
      </c>
      <c r="C11" s="226">
        <v>0.953</v>
      </c>
      <c r="D11" s="43">
        <v>43326237</v>
      </c>
      <c r="E11" s="69">
        <f t="shared" si="0"/>
        <v>0.4766362706270627</v>
      </c>
      <c r="F11" s="43">
        <f>D11-'[6]Aprīlis'!D11</f>
        <v>10800947</v>
      </c>
      <c r="G11" s="29" t="s">
        <v>279</v>
      </c>
      <c r="H11" s="43">
        <f>ROUND(B11/1000,0)</f>
        <v>90900</v>
      </c>
      <c r="I11" s="227">
        <f t="shared" si="1"/>
        <v>0.953</v>
      </c>
      <c r="J11" s="43">
        <f>ROUND(D11/1000,0)</f>
        <v>43326</v>
      </c>
      <c r="K11" s="228">
        <f t="shared" si="2"/>
        <v>0.4766336633663366</v>
      </c>
      <c r="L11" s="43">
        <f>J11-'[6]Aprīlis'!J11</f>
        <v>10801</v>
      </c>
    </row>
    <row r="12" spans="1:12" ht="12.75">
      <c r="A12" s="64" t="s">
        <v>280</v>
      </c>
      <c r="B12" s="62">
        <f>SUM(B13:B15)</f>
        <v>486562850</v>
      </c>
      <c r="C12" s="219">
        <v>0.856</v>
      </c>
      <c r="D12" s="62">
        <f>SUM(D13:D15)</f>
        <v>173643122</v>
      </c>
      <c r="E12" s="69">
        <f t="shared" si="0"/>
        <v>0.35687706531643343</v>
      </c>
      <c r="F12" s="62">
        <f>SUM(F13:F15)</f>
        <v>34182291</v>
      </c>
      <c r="G12" s="64" t="s">
        <v>280</v>
      </c>
      <c r="H12" s="65">
        <f>SUM(H13:H15)</f>
        <v>486563</v>
      </c>
      <c r="I12" s="224">
        <f t="shared" si="1"/>
        <v>0.856</v>
      </c>
      <c r="J12" s="65">
        <f>SUM(J13:J15)</f>
        <v>173643</v>
      </c>
      <c r="K12" s="225">
        <f t="shared" si="2"/>
        <v>0.35687670455829973</v>
      </c>
      <c r="L12" s="65">
        <f>SUM(L13:L15)</f>
        <v>34183</v>
      </c>
    </row>
    <row r="13" spans="1:12" ht="12.75">
      <c r="A13" s="29" t="s">
        <v>281</v>
      </c>
      <c r="B13" s="43">
        <v>345763150</v>
      </c>
      <c r="C13" s="226">
        <v>0.903</v>
      </c>
      <c r="D13" s="43">
        <v>122928298</v>
      </c>
      <c r="E13" s="69">
        <f t="shared" si="0"/>
        <v>0.35552747017720077</v>
      </c>
      <c r="F13" s="43">
        <f>D13-'[6]Aprīlis'!D13</f>
        <v>23336064</v>
      </c>
      <c r="G13" s="29" t="s">
        <v>281</v>
      </c>
      <c r="H13" s="43">
        <f>ROUND(B13/1000,0)</f>
        <v>345763</v>
      </c>
      <c r="I13" s="227">
        <f t="shared" si="1"/>
        <v>0.903</v>
      </c>
      <c r="J13" s="43">
        <f>ROUND(D13/1000,0)</f>
        <v>122928</v>
      </c>
      <c r="K13" s="228">
        <f t="shared" si="2"/>
        <v>0.3555267625512273</v>
      </c>
      <c r="L13" s="43">
        <f>J13-'[6]Aprīlis'!J13</f>
        <v>23336</v>
      </c>
    </row>
    <row r="14" spans="1:12" ht="12.75">
      <c r="A14" s="29" t="s">
        <v>282</v>
      </c>
      <c r="B14" s="43">
        <v>122199700</v>
      </c>
      <c r="C14" s="226">
        <v>0.891</v>
      </c>
      <c r="D14" s="43">
        <v>44391195</v>
      </c>
      <c r="E14" s="69">
        <f t="shared" si="0"/>
        <v>0.36326762667993456</v>
      </c>
      <c r="F14" s="43">
        <f>D14-'[6]Aprīlis'!D14</f>
        <v>9454816</v>
      </c>
      <c r="G14" s="29" t="s">
        <v>282</v>
      </c>
      <c r="H14" s="43">
        <f>ROUND(B14/1000,0)</f>
        <v>122200</v>
      </c>
      <c r="I14" s="227">
        <f t="shared" si="1"/>
        <v>0.891</v>
      </c>
      <c r="J14" s="43">
        <f>ROUND(D14/1000,0)</f>
        <v>44391</v>
      </c>
      <c r="K14" s="228">
        <f t="shared" si="2"/>
        <v>0.36326513911620295</v>
      </c>
      <c r="L14" s="43">
        <f>J14-'[6]Aprīlis'!J14</f>
        <v>9455</v>
      </c>
    </row>
    <row r="15" spans="1:12" ht="15.75" customHeight="1">
      <c r="A15" s="197" t="s">
        <v>283</v>
      </c>
      <c r="B15" s="43">
        <v>18600000</v>
      </c>
      <c r="C15" s="226">
        <v>0.774</v>
      </c>
      <c r="D15" s="43">
        <v>6323629</v>
      </c>
      <c r="E15" s="69">
        <f t="shared" si="0"/>
        <v>0.33998005376344087</v>
      </c>
      <c r="F15" s="43">
        <f>D15-'[6]Aprīlis'!D15</f>
        <v>1391411</v>
      </c>
      <c r="G15" s="197" t="s">
        <v>283</v>
      </c>
      <c r="H15" s="43">
        <f>ROUND(B15/1000,0)</f>
        <v>18600</v>
      </c>
      <c r="I15" s="227">
        <f t="shared" si="1"/>
        <v>0.774</v>
      </c>
      <c r="J15" s="43">
        <f>ROUND(D15/1000,0)</f>
        <v>6324</v>
      </c>
      <c r="K15" s="228">
        <f t="shared" si="2"/>
        <v>0.34</v>
      </c>
      <c r="L15" s="43">
        <f>J15-'[6]Aprīlis'!J15</f>
        <v>1392</v>
      </c>
    </row>
    <row r="16" spans="1:12" ht="17.25" customHeight="1">
      <c r="A16" s="77" t="s">
        <v>284</v>
      </c>
      <c r="B16" s="43"/>
      <c r="C16" s="226"/>
      <c r="D16" s="43">
        <f>1545394-97690+1211742+1383052</f>
        <v>4042498</v>
      </c>
      <c r="E16" s="69" t="str">
        <f t="shared" si="0"/>
        <v> </v>
      </c>
      <c r="F16" s="43">
        <f>D16-'[6]Aprīlis'!D16</f>
        <v>-858684</v>
      </c>
      <c r="G16" s="77" t="s">
        <v>284</v>
      </c>
      <c r="H16" s="65">
        <f>ROUND(B16/1000,0)</f>
        <v>0</v>
      </c>
      <c r="I16" s="224">
        <f t="shared" si="1"/>
        <v>0</v>
      </c>
      <c r="J16" s="65">
        <f>ROUND(D16/1000,0)</f>
        <v>4042</v>
      </c>
      <c r="K16" s="225" t="str">
        <f t="shared" si="2"/>
        <v> </v>
      </c>
      <c r="L16" s="43">
        <f>J16-'[6]Aprīlis'!J16</f>
        <v>-859</v>
      </c>
    </row>
    <row r="17" spans="1:12" ht="15.75" customHeight="1">
      <c r="A17" s="63" t="s">
        <v>285</v>
      </c>
      <c r="B17" s="62">
        <f>SUM(B18,B19,B20,B21,B22,B23,B24,B28,B30)</f>
        <v>80229200</v>
      </c>
      <c r="C17" s="219">
        <v>1.002</v>
      </c>
      <c r="D17" s="62">
        <f>SUM(D18,D19,D20,D21,D22,D23,D24,D28,D30)</f>
        <v>19367008</v>
      </c>
      <c r="E17" s="69">
        <f t="shared" si="0"/>
        <v>0.24139600045868587</v>
      </c>
      <c r="F17" s="62">
        <f>SUM(F18,F19,F20,F21,F22,F23,F24,F28,F30)</f>
        <v>6322492</v>
      </c>
      <c r="G17" s="63" t="s">
        <v>285</v>
      </c>
      <c r="H17" s="41">
        <f>SUM(H18,H19,H20,H21,H22,H23,H24,H28,H30)</f>
        <v>80229</v>
      </c>
      <c r="I17" s="222">
        <f t="shared" si="1"/>
        <v>1.002</v>
      </c>
      <c r="J17" s="41">
        <f>SUM(J18,J19,J20,J21,J22,J23,J24,J28,J30)</f>
        <v>19368</v>
      </c>
      <c r="K17" s="223">
        <f t="shared" si="2"/>
        <v>0.24140896683244215</v>
      </c>
      <c r="L17" s="41">
        <f>SUM(L18,L19,L20,L21,L22,L23,L24,L28,L30)</f>
        <v>6324</v>
      </c>
    </row>
    <row r="18" spans="1:12" ht="15.75" customHeight="1">
      <c r="A18" s="31" t="s">
        <v>286</v>
      </c>
      <c r="B18" s="43">
        <v>1000000</v>
      </c>
      <c r="C18" s="226">
        <v>1</v>
      </c>
      <c r="D18" s="43">
        <v>197730</v>
      </c>
      <c r="E18" s="69">
        <f t="shared" si="0"/>
        <v>0.19773</v>
      </c>
      <c r="F18" s="43">
        <f>D18-'[6]Aprīlis'!D18</f>
        <v>26747</v>
      </c>
      <c r="G18" s="31" t="s">
        <v>286</v>
      </c>
      <c r="H18" s="43">
        <f aca="true" t="shared" si="3" ref="H18:H23">ROUND(B18/1000,0)</f>
        <v>1000</v>
      </c>
      <c r="I18" s="227">
        <f t="shared" si="1"/>
        <v>1</v>
      </c>
      <c r="J18" s="43">
        <f aca="true" t="shared" si="4" ref="J18:J29">ROUND(D18/1000,0)</f>
        <v>198</v>
      </c>
      <c r="K18" s="228">
        <f t="shared" si="2"/>
        <v>0.198</v>
      </c>
      <c r="L18" s="43">
        <f>J18-'[6]Aprīlis'!J18</f>
        <v>27</v>
      </c>
    </row>
    <row r="19" spans="1:12" ht="15" customHeight="1">
      <c r="A19" s="29" t="s">
        <v>287</v>
      </c>
      <c r="B19" s="43">
        <v>7006000</v>
      </c>
      <c r="C19" s="226">
        <v>1</v>
      </c>
      <c r="D19" s="43">
        <f>888244+2631255</f>
        <v>3519499</v>
      </c>
      <c r="E19" s="69">
        <f t="shared" si="0"/>
        <v>0.5023549814444762</v>
      </c>
      <c r="F19" s="43">
        <f>D19-'[6]Aprīlis'!D19</f>
        <v>704413</v>
      </c>
      <c r="G19" s="29" t="s">
        <v>287</v>
      </c>
      <c r="H19" s="43">
        <f t="shared" si="3"/>
        <v>7006</v>
      </c>
      <c r="I19" s="227">
        <f t="shared" si="1"/>
        <v>1</v>
      </c>
      <c r="J19" s="43">
        <f>ROUND(D19/1000,0)+1</f>
        <v>3520</v>
      </c>
      <c r="K19" s="228">
        <f t="shared" si="2"/>
        <v>0.5024264915786468</v>
      </c>
      <c r="L19" s="43">
        <f>J19-'[6]Aprīlis'!J19</f>
        <v>705</v>
      </c>
    </row>
    <row r="20" spans="1:12" ht="30" customHeight="1">
      <c r="A20" s="31" t="s">
        <v>288</v>
      </c>
      <c r="B20" s="43">
        <v>10860000</v>
      </c>
      <c r="C20" s="226">
        <v>1</v>
      </c>
      <c r="D20" s="43">
        <v>4081501</v>
      </c>
      <c r="E20" s="69">
        <f t="shared" si="0"/>
        <v>0.37582882136279927</v>
      </c>
      <c r="F20" s="43">
        <f>D20-'[6]Aprīlis'!D20</f>
        <v>946207</v>
      </c>
      <c r="G20" s="31" t="s">
        <v>288</v>
      </c>
      <c r="H20" s="43">
        <f t="shared" si="3"/>
        <v>10860</v>
      </c>
      <c r="I20" s="227">
        <f t="shared" si="1"/>
        <v>1</v>
      </c>
      <c r="J20" s="43">
        <f t="shared" si="4"/>
        <v>4082</v>
      </c>
      <c r="K20" s="228">
        <f t="shared" si="2"/>
        <v>0.37587476979742174</v>
      </c>
      <c r="L20" s="43">
        <f>J20-'[6]Aprīlis'!J20</f>
        <v>947</v>
      </c>
    </row>
    <row r="21" spans="1:12" ht="25.5" customHeight="1">
      <c r="A21" s="31" t="s">
        <v>289</v>
      </c>
      <c r="B21" s="43">
        <v>400000</v>
      </c>
      <c r="C21" s="226">
        <v>1</v>
      </c>
      <c r="D21" s="43">
        <v>253407</v>
      </c>
      <c r="E21" s="69">
        <f t="shared" si="0"/>
        <v>0.6335175</v>
      </c>
      <c r="F21" s="43">
        <f>D21-'[6]Aprīlis'!D21</f>
        <v>74935</v>
      </c>
      <c r="G21" s="31" t="s">
        <v>289</v>
      </c>
      <c r="H21" s="43">
        <f t="shared" si="3"/>
        <v>400</v>
      </c>
      <c r="I21" s="227">
        <f t="shared" si="1"/>
        <v>1</v>
      </c>
      <c r="J21" s="43">
        <f>ROUND(D21/1000,0)+1</f>
        <v>254</v>
      </c>
      <c r="K21" s="228">
        <f t="shared" si="2"/>
        <v>0.635</v>
      </c>
      <c r="L21" s="43">
        <f>J21-'[6]Aprīlis'!J21</f>
        <v>75</v>
      </c>
    </row>
    <row r="22" spans="1:12" ht="15.75" customHeight="1">
      <c r="A22" s="31" t="s">
        <v>290</v>
      </c>
      <c r="B22" s="43">
        <v>250000</v>
      </c>
      <c r="C22" s="226">
        <v>1.74</v>
      </c>
      <c r="D22" s="43">
        <v>662224</v>
      </c>
      <c r="E22" s="69">
        <f t="shared" si="0"/>
        <v>2.648896</v>
      </c>
      <c r="F22" s="43">
        <f>D22-'[6]Aprīlis'!D22</f>
        <v>147110</v>
      </c>
      <c r="G22" s="31" t="s">
        <v>290</v>
      </c>
      <c r="H22" s="43">
        <f t="shared" si="3"/>
        <v>250</v>
      </c>
      <c r="I22" s="227">
        <f t="shared" si="1"/>
        <v>1.74</v>
      </c>
      <c r="J22" s="43">
        <f t="shared" si="4"/>
        <v>662</v>
      </c>
      <c r="K22" s="228">
        <f t="shared" si="2"/>
        <v>2.648</v>
      </c>
      <c r="L22" s="43">
        <f>J22-'[6]Aprīlis'!J22</f>
        <v>147</v>
      </c>
    </row>
    <row r="23" spans="1:12" ht="15.75" customHeight="1">
      <c r="A23" s="29" t="s">
        <v>291</v>
      </c>
      <c r="B23" s="43">
        <v>4250000</v>
      </c>
      <c r="C23" s="226">
        <v>1</v>
      </c>
      <c r="D23" s="43">
        <v>2007154</v>
      </c>
      <c r="E23" s="69">
        <f t="shared" si="0"/>
        <v>0.4722715294117647</v>
      </c>
      <c r="F23" s="43">
        <f>D23-'[6]Aprīlis'!D23</f>
        <v>446012</v>
      </c>
      <c r="G23" s="29" t="s">
        <v>291</v>
      </c>
      <c r="H23" s="43">
        <f t="shared" si="3"/>
        <v>4250</v>
      </c>
      <c r="I23" s="227">
        <f t="shared" si="1"/>
        <v>1</v>
      </c>
      <c r="J23" s="43">
        <f t="shared" si="4"/>
        <v>2007</v>
      </c>
      <c r="K23" s="228">
        <f t="shared" si="2"/>
        <v>0.4722352941176471</v>
      </c>
      <c r="L23" s="43">
        <f>J23-'[6]Aprīlis'!J23</f>
        <v>446</v>
      </c>
    </row>
    <row r="24" spans="1:12" ht="15.75" customHeight="1">
      <c r="A24" s="29" t="s">
        <v>292</v>
      </c>
      <c r="B24" s="43">
        <f>SUM(B25,B26,B27)</f>
        <v>15801200</v>
      </c>
      <c r="C24" s="226">
        <v>1</v>
      </c>
      <c r="D24" s="43">
        <f>4350+3832731+3085+1588229+9+8825</f>
        <v>5437229</v>
      </c>
      <c r="E24" s="69">
        <f t="shared" si="0"/>
        <v>0.3441022833708832</v>
      </c>
      <c r="F24" s="43">
        <f>D24-'[6]Aprīlis'!D24</f>
        <v>1799434</v>
      </c>
      <c r="G24" s="29" t="s">
        <v>292</v>
      </c>
      <c r="H24" s="43">
        <f>SUM(H25,H26,H27)</f>
        <v>15801</v>
      </c>
      <c r="I24" s="227">
        <f t="shared" si="1"/>
        <v>1</v>
      </c>
      <c r="J24" s="43">
        <f t="shared" si="4"/>
        <v>5437</v>
      </c>
      <c r="K24" s="228">
        <f t="shared" si="2"/>
        <v>0.34409214606670463</v>
      </c>
      <c r="L24" s="43">
        <f>J24-'[6]Aprīlis'!J24</f>
        <v>1799</v>
      </c>
    </row>
    <row r="25" spans="1:12" ht="27" customHeight="1">
      <c r="A25" s="72" t="s">
        <v>293</v>
      </c>
      <c r="B25" s="43">
        <v>11800000</v>
      </c>
      <c r="C25" s="226">
        <v>1</v>
      </c>
      <c r="D25" s="43">
        <v>2921220</v>
      </c>
      <c r="E25" s="69">
        <f t="shared" si="0"/>
        <v>0.24756101694915253</v>
      </c>
      <c r="F25" s="43">
        <f>D25-'[6]Aprīlis'!D25</f>
        <v>1412564</v>
      </c>
      <c r="G25" s="72" t="s">
        <v>293</v>
      </c>
      <c r="H25" s="74">
        <f>ROUND(B25/1000,0)</f>
        <v>11800</v>
      </c>
      <c r="I25" s="229">
        <f t="shared" si="1"/>
        <v>1</v>
      </c>
      <c r="J25" s="74">
        <f t="shared" si="4"/>
        <v>2921</v>
      </c>
      <c r="K25" s="230">
        <f t="shared" si="2"/>
        <v>0.24754237288135594</v>
      </c>
      <c r="L25" s="43">
        <f>J25-'[6]Aprīlis'!J25</f>
        <v>1412</v>
      </c>
    </row>
    <row r="26" spans="1:12" ht="25.5" customHeight="1">
      <c r="A26" s="72" t="s">
        <v>294</v>
      </c>
      <c r="B26" s="43">
        <v>1201200</v>
      </c>
      <c r="C26" s="226">
        <v>1</v>
      </c>
      <c r="D26" s="43">
        <v>400399</v>
      </c>
      <c r="E26" s="69">
        <f t="shared" si="0"/>
        <v>0.3333325008325008</v>
      </c>
      <c r="F26" s="43">
        <f>D26-'[6]Aprīlis'!D26</f>
        <v>75397</v>
      </c>
      <c r="G26" s="72" t="s">
        <v>294</v>
      </c>
      <c r="H26" s="74">
        <f>ROUND(B26/1000,0)</f>
        <v>1201</v>
      </c>
      <c r="I26" s="229">
        <f t="shared" si="1"/>
        <v>1</v>
      </c>
      <c r="J26" s="74">
        <f t="shared" si="4"/>
        <v>400</v>
      </c>
      <c r="K26" s="230">
        <f t="shared" si="2"/>
        <v>0.33305578684429643</v>
      </c>
      <c r="L26" s="43">
        <f>J26-'[6]Aprīlis'!J26</f>
        <v>75</v>
      </c>
    </row>
    <row r="27" spans="1:12" ht="18" customHeight="1">
      <c r="A27" s="72" t="s">
        <v>295</v>
      </c>
      <c r="B27" s="43">
        <v>2800000</v>
      </c>
      <c r="C27" s="226">
        <v>1</v>
      </c>
      <c r="D27" s="43">
        <v>2115610</v>
      </c>
      <c r="E27" s="69">
        <f t="shared" si="0"/>
        <v>0.755575</v>
      </c>
      <c r="F27" s="43">
        <f>D27-'[6]Aprīlis'!D27</f>
        <v>311473</v>
      </c>
      <c r="G27" s="72" t="s">
        <v>295</v>
      </c>
      <c r="H27" s="74">
        <f>ROUND(B27/1000,0)</f>
        <v>2800</v>
      </c>
      <c r="I27" s="229">
        <f t="shared" si="1"/>
        <v>1</v>
      </c>
      <c r="J27" s="74">
        <f t="shared" si="4"/>
        <v>2116</v>
      </c>
      <c r="K27" s="230">
        <f t="shared" si="2"/>
        <v>0.7557142857142857</v>
      </c>
      <c r="L27" s="43">
        <f>J27-'[6]Aprīlis'!J27</f>
        <v>312</v>
      </c>
    </row>
    <row r="28" spans="1:12" ht="15" customHeight="1">
      <c r="A28" s="31" t="s">
        <v>296</v>
      </c>
      <c r="B28" s="43">
        <v>36212000</v>
      </c>
      <c r="C28" s="226">
        <v>1</v>
      </c>
      <c r="D28" s="43">
        <v>2100000</v>
      </c>
      <c r="E28" s="69">
        <f t="shared" si="0"/>
        <v>0.057991825914061636</v>
      </c>
      <c r="F28" s="43">
        <f>D28-'[6]Aprīlis'!D28</f>
        <v>2099615</v>
      </c>
      <c r="G28" s="31" t="s">
        <v>296</v>
      </c>
      <c r="H28" s="43">
        <f>ROUND(B28/1000,0)</f>
        <v>36212</v>
      </c>
      <c r="I28" s="227">
        <f t="shared" si="1"/>
        <v>1</v>
      </c>
      <c r="J28" s="43">
        <f t="shared" si="4"/>
        <v>2100</v>
      </c>
      <c r="K28" s="228">
        <f t="shared" si="2"/>
        <v>0.057991825914061636</v>
      </c>
      <c r="L28" s="43">
        <f>J28-'[6]Aprīlis'!J28</f>
        <v>2100</v>
      </c>
    </row>
    <row r="29" spans="1:12" ht="27" customHeight="1">
      <c r="A29" s="72" t="s">
        <v>297</v>
      </c>
      <c r="B29" s="43">
        <v>36212000</v>
      </c>
      <c r="C29" s="226">
        <v>1</v>
      </c>
      <c r="D29" s="43">
        <v>2100000</v>
      </c>
      <c r="E29" s="69">
        <f t="shared" si="0"/>
        <v>0.057991825914061636</v>
      </c>
      <c r="F29" s="43">
        <f>D29-'[6]Aprīlis'!D29</f>
        <v>2100000</v>
      </c>
      <c r="G29" s="72" t="s">
        <v>297</v>
      </c>
      <c r="H29" s="74">
        <f>ROUND(B29/1000,0)</f>
        <v>36212</v>
      </c>
      <c r="I29" s="229">
        <f t="shared" si="1"/>
        <v>1</v>
      </c>
      <c r="J29" s="231">
        <f t="shared" si="4"/>
        <v>2100</v>
      </c>
      <c r="K29" s="230">
        <f t="shared" si="2"/>
        <v>0.057991825914061636</v>
      </c>
      <c r="L29" s="43">
        <f>J29-'[6]Aprīlis'!J29</f>
        <v>2100</v>
      </c>
    </row>
    <row r="30" spans="1:12" ht="15" customHeight="1">
      <c r="A30" s="31" t="s">
        <v>298</v>
      </c>
      <c r="B30" s="43">
        <f>SUM(B31,B32)</f>
        <v>4450000</v>
      </c>
      <c r="C30" s="226">
        <v>1</v>
      </c>
      <c r="D30" s="43">
        <f>SUM(D31,D32)</f>
        <v>1108264</v>
      </c>
      <c r="E30" s="69">
        <f t="shared" si="0"/>
        <v>0.24904808988764046</v>
      </c>
      <c r="F30" s="43">
        <f>D30-'[6]Aprīlis'!D30</f>
        <v>78019</v>
      </c>
      <c r="G30" s="31" t="s">
        <v>298</v>
      </c>
      <c r="H30" s="43">
        <f>SUM(H31,H32)</f>
        <v>4450</v>
      </c>
      <c r="I30" s="227">
        <f t="shared" si="1"/>
        <v>1</v>
      </c>
      <c r="J30" s="43">
        <f>SUM(J31,J32)</f>
        <v>1108</v>
      </c>
      <c r="K30" s="228">
        <f t="shared" si="2"/>
        <v>0.24898876404494383</v>
      </c>
      <c r="L30" s="43">
        <f>J30-'[6]Aprīlis'!J30</f>
        <v>78</v>
      </c>
    </row>
    <row r="31" spans="1:12" ht="26.25" customHeight="1">
      <c r="A31" s="72" t="s">
        <v>299</v>
      </c>
      <c r="B31" s="43">
        <v>1450000</v>
      </c>
      <c r="C31" s="226">
        <v>1</v>
      </c>
      <c r="D31" s="43">
        <v>711250</v>
      </c>
      <c r="E31" s="69">
        <f t="shared" si="0"/>
        <v>0.49051724137931035</v>
      </c>
      <c r="F31" s="43">
        <f>D31-'[6]Aprīlis'!D31</f>
        <v>0</v>
      </c>
      <c r="G31" s="72" t="s">
        <v>299</v>
      </c>
      <c r="H31" s="74">
        <f>ROUND(B31/1000,0)</f>
        <v>1450</v>
      </c>
      <c r="I31" s="229">
        <f t="shared" si="1"/>
        <v>1</v>
      </c>
      <c r="J31" s="74">
        <f>ROUND(D31/1000,0)</f>
        <v>711</v>
      </c>
      <c r="K31" s="230">
        <f t="shared" si="2"/>
        <v>0.4903448275862069</v>
      </c>
      <c r="L31" s="43">
        <f>J31-'[6]Aprīlis'!J31</f>
        <v>0</v>
      </c>
    </row>
    <row r="32" spans="1:12" ht="26.25" customHeight="1">
      <c r="A32" s="72" t="s">
        <v>300</v>
      </c>
      <c r="B32" s="43">
        <v>3000000</v>
      </c>
      <c r="C32" s="226">
        <v>1</v>
      </c>
      <c r="D32" s="43">
        <v>397014</v>
      </c>
      <c r="E32" s="69">
        <f t="shared" si="0"/>
        <v>0.132338</v>
      </c>
      <c r="F32" s="43">
        <f>D32-'[6]Aprīlis'!D32</f>
        <v>78019</v>
      </c>
      <c r="G32" s="72" t="s">
        <v>300</v>
      </c>
      <c r="H32" s="74">
        <f>ROUND(B32/1000,0)</f>
        <v>3000</v>
      </c>
      <c r="I32" s="229">
        <f t="shared" si="1"/>
        <v>1</v>
      </c>
      <c r="J32" s="74">
        <f>ROUND(D32/1000,0)</f>
        <v>397</v>
      </c>
      <c r="K32" s="230">
        <f t="shared" si="2"/>
        <v>0.13233333333333333</v>
      </c>
      <c r="L32" s="43">
        <f>J32-'[6]Aprīlis'!J32</f>
        <v>78</v>
      </c>
    </row>
    <row r="33" spans="1:12" ht="12.75">
      <c r="A33" s="79" t="s">
        <v>301</v>
      </c>
      <c r="B33" s="62">
        <f>SUM(B34)</f>
        <v>63226723</v>
      </c>
      <c r="C33" s="219">
        <v>1</v>
      </c>
      <c r="D33" s="62">
        <f>SUM(D34)</f>
        <v>23284170</v>
      </c>
      <c r="E33" s="69">
        <f t="shared" si="0"/>
        <v>0.3682646971914075</v>
      </c>
      <c r="F33" s="62">
        <f>SUM(F34)</f>
        <v>4526612</v>
      </c>
      <c r="G33" s="79" t="s">
        <v>301</v>
      </c>
      <c r="H33" s="41">
        <f>SUM(H34)</f>
        <v>63227</v>
      </c>
      <c r="I33" s="222">
        <f t="shared" si="1"/>
        <v>1</v>
      </c>
      <c r="J33" s="41">
        <f>SUM(J34)</f>
        <v>23284</v>
      </c>
      <c r="K33" s="223">
        <f t="shared" si="2"/>
        <v>0.3682603950843785</v>
      </c>
      <c r="L33" s="65">
        <f>J33-'[6]Aprīlis'!J33</f>
        <v>4526</v>
      </c>
    </row>
    <row r="34" spans="1:12" ht="22.5">
      <c r="A34" s="31" t="s">
        <v>302</v>
      </c>
      <c r="B34" s="43">
        <v>63226723</v>
      </c>
      <c r="C34" s="226">
        <v>1</v>
      </c>
      <c r="D34" s="43">
        <f>23258822+25348</f>
        <v>23284170</v>
      </c>
      <c r="E34" s="69">
        <f t="shared" si="0"/>
        <v>0.3682646971914075</v>
      </c>
      <c r="F34" s="43">
        <f>D34-'[6]Aprīlis'!D34</f>
        <v>4526612</v>
      </c>
      <c r="G34" s="31" t="s">
        <v>302</v>
      </c>
      <c r="H34" s="43">
        <f>ROUND(B34/1000,0)</f>
        <v>63227</v>
      </c>
      <c r="I34" s="227">
        <f t="shared" si="1"/>
        <v>1</v>
      </c>
      <c r="J34" s="43">
        <f>ROUND(D34/1000,0)</f>
        <v>23284</v>
      </c>
      <c r="K34" s="228">
        <f t="shared" si="2"/>
        <v>0.3682603950843785</v>
      </c>
      <c r="L34" s="43">
        <f>J34-'[6]Aprīlis'!J34</f>
        <v>4526</v>
      </c>
    </row>
    <row r="35" spans="1:12" ht="4.5" customHeight="1">
      <c r="A35" s="85"/>
      <c r="B35" s="86"/>
      <c r="C35" s="232"/>
      <c r="D35" s="86"/>
      <c r="E35" s="233"/>
      <c r="G35" s="85"/>
      <c r="H35" s="86"/>
      <c r="I35" s="208"/>
      <c r="J35" s="86"/>
      <c r="K35" s="233"/>
      <c r="L35" s="234"/>
    </row>
    <row r="36" spans="1:11" ht="12.75">
      <c r="A36" s="235" t="s">
        <v>303</v>
      </c>
      <c r="B36" s="86"/>
      <c r="C36" s="232"/>
      <c r="D36" s="86"/>
      <c r="E36" s="233"/>
      <c r="G36" s="235" t="s">
        <v>304</v>
      </c>
      <c r="H36" s="86"/>
      <c r="I36" s="208"/>
      <c r="J36" s="86"/>
      <c r="K36" s="233"/>
    </row>
    <row r="37" spans="1:11" ht="12.75">
      <c r="A37" s="235" t="s">
        <v>305</v>
      </c>
      <c r="B37" s="86"/>
      <c r="C37" s="232"/>
      <c r="D37" s="86"/>
      <c r="E37" s="233"/>
      <c r="G37" s="235" t="s">
        <v>306</v>
      </c>
      <c r="H37" s="86"/>
      <c r="I37" s="208"/>
      <c r="J37" s="86"/>
      <c r="K37" s="233"/>
    </row>
    <row r="38" spans="1:11" ht="13.5" customHeight="1">
      <c r="A38" s="235"/>
      <c r="B38" s="96"/>
      <c r="C38" s="211"/>
      <c r="D38" s="236"/>
      <c r="E38" s="236"/>
      <c r="G38" s="235"/>
      <c r="H38" s="96"/>
      <c r="I38" s="96"/>
      <c r="J38" s="236"/>
      <c r="K38" s="236"/>
    </row>
    <row r="39" spans="1:11" ht="29.25" customHeight="1">
      <c r="A39" s="1" t="s">
        <v>307</v>
      </c>
      <c r="B39" s="93"/>
      <c r="C39" s="213"/>
      <c r="D39" s="33"/>
      <c r="E39" s="34"/>
      <c r="G39" s="1" t="s">
        <v>308</v>
      </c>
      <c r="H39" s="93"/>
      <c r="I39" s="37"/>
      <c r="J39" s="33"/>
      <c r="K39" s="34"/>
    </row>
    <row r="40" spans="1:11" ht="32.25" customHeight="1">
      <c r="A40" s="235"/>
      <c r="B40" s="99"/>
      <c r="C40" s="213"/>
      <c r="D40" s="37"/>
      <c r="E40" s="34"/>
      <c r="G40" s="235"/>
      <c r="H40" s="99"/>
      <c r="I40" s="37"/>
      <c r="J40" s="37"/>
      <c r="K40" s="34"/>
    </row>
    <row r="41" spans="1:11" ht="12.75">
      <c r="A41" s="1" t="s">
        <v>87</v>
      </c>
      <c r="B41" s="1"/>
      <c r="C41" s="213"/>
      <c r="D41" s="1"/>
      <c r="E41" s="1"/>
      <c r="G41" s="1" t="s">
        <v>87</v>
      </c>
      <c r="H41" s="1"/>
      <c r="I41" s="1"/>
      <c r="J41" s="1"/>
      <c r="K41" s="1"/>
    </row>
    <row r="42" spans="1:7" ht="12.75">
      <c r="A42" s="1" t="s">
        <v>46</v>
      </c>
      <c r="B42" s="1"/>
      <c r="C42" s="213"/>
      <c r="D42" s="1"/>
      <c r="E42" s="1"/>
      <c r="G42" s="1" t="s">
        <v>35</v>
      </c>
    </row>
    <row r="43" spans="1:11" ht="12.75" hidden="1">
      <c r="A43" s="1"/>
      <c r="B43" s="37"/>
      <c r="C43" s="213"/>
      <c r="D43" s="37"/>
      <c r="E43" s="1"/>
      <c r="G43" s="1"/>
      <c r="H43" s="37"/>
      <c r="I43" s="37"/>
      <c r="J43" s="37"/>
      <c r="K43" s="1"/>
    </row>
    <row r="46" spans="1:5" ht="12.75">
      <c r="A46" s="1"/>
      <c r="B46" s="1"/>
      <c r="C46" s="213"/>
      <c r="D46" s="1"/>
      <c r="E46" s="1"/>
    </row>
    <row r="64" spans="1:5" ht="12.75">
      <c r="A64" s="1"/>
      <c r="B64" s="1"/>
      <c r="C64" s="213"/>
      <c r="D64" s="1"/>
      <c r="E64" s="1"/>
    </row>
    <row r="65" spans="1:5" ht="12.75">
      <c r="A65" s="1"/>
      <c r="B65" s="1"/>
      <c r="C65" s="213"/>
      <c r="D65" s="1"/>
      <c r="E65" s="1"/>
    </row>
    <row r="66" spans="1:5" ht="12.75">
      <c r="A66" s="1"/>
      <c r="B66" s="1"/>
      <c r="C66" s="213"/>
      <c r="D66" s="1"/>
      <c r="E66" s="1"/>
    </row>
    <row r="67" spans="1:5" ht="12.75">
      <c r="A67" s="1"/>
      <c r="B67" s="1"/>
      <c r="C67" s="213"/>
      <c r="D67" s="1"/>
      <c r="E67" s="1"/>
    </row>
    <row r="68" spans="1:5" ht="12.75">
      <c r="A68" s="1"/>
      <c r="B68" s="1"/>
      <c r="C68" s="213"/>
      <c r="D68" s="1"/>
      <c r="E68" s="1"/>
    </row>
    <row r="69" spans="1:5" ht="12.75">
      <c r="A69" s="1"/>
      <c r="B69" s="1"/>
      <c r="C69" s="213"/>
      <c r="D69" s="1"/>
      <c r="E69" s="1"/>
    </row>
    <row r="70" spans="1:5" ht="12.75">
      <c r="A70" s="1"/>
      <c r="B70" s="1"/>
      <c r="C70" s="213"/>
      <c r="D70" s="1"/>
      <c r="E70" s="1"/>
    </row>
    <row r="71" spans="1:5" ht="12.75">
      <c r="A71" s="1"/>
      <c r="B71" s="1"/>
      <c r="C71" s="213"/>
      <c r="D71" s="1"/>
      <c r="E71" s="1"/>
    </row>
    <row r="72" spans="1:5" ht="12.75">
      <c r="A72" s="1"/>
      <c r="B72" s="1"/>
      <c r="C72" s="213"/>
      <c r="D72" s="1"/>
      <c r="E72" s="1"/>
    </row>
    <row r="73" spans="1:5" ht="12.75">
      <c r="A73" s="1"/>
      <c r="B73" s="1"/>
      <c r="C73" s="213"/>
      <c r="D73" s="1"/>
      <c r="E73" s="1"/>
    </row>
    <row r="74" spans="1:5" ht="12.75">
      <c r="A74" s="1"/>
      <c r="B74" s="1"/>
      <c r="C74" s="213"/>
      <c r="D74" s="1"/>
      <c r="E74" s="1"/>
    </row>
    <row r="75" spans="1:5" ht="12.75">
      <c r="A75" s="1"/>
      <c r="B75" s="1"/>
      <c r="C75" s="213"/>
      <c r="D75" s="1"/>
      <c r="E75" s="1"/>
    </row>
    <row r="76" spans="1:5" ht="12.75">
      <c r="A76" s="1"/>
      <c r="B76" s="1"/>
      <c r="C76" s="213"/>
      <c r="D76" s="1"/>
      <c r="E76" s="1"/>
    </row>
    <row r="77" spans="1:5" ht="12.75">
      <c r="A77" s="1"/>
      <c r="B77" s="1"/>
      <c r="C77" s="213"/>
      <c r="D77" s="1"/>
      <c r="E77" s="1"/>
    </row>
    <row r="78" spans="1:5" ht="12.75">
      <c r="A78" s="1"/>
      <c r="B78" s="1"/>
      <c r="C78" s="213"/>
      <c r="D78" s="1"/>
      <c r="E78" s="1"/>
    </row>
    <row r="79" spans="1:5" ht="12.75">
      <c r="A79" s="1"/>
      <c r="B79" s="1"/>
      <c r="C79" s="213"/>
      <c r="D79" s="1"/>
      <c r="E79" s="1"/>
    </row>
    <row r="80" spans="1:5" ht="12.75">
      <c r="A80" s="1"/>
      <c r="B80" s="1"/>
      <c r="C80" s="213"/>
      <c r="D80" s="1"/>
      <c r="E80" s="1"/>
    </row>
    <row r="81" spans="1:5" ht="12.75">
      <c r="A81" s="1"/>
      <c r="B81" s="1"/>
      <c r="C81" s="213"/>
      <c r="D81" s="1"/>
      <c r="E81" s="1"/>
    </row>
    <row r="82" spans="1:5" ht="12.75">
      <c r="A82" s="1"/>
      <c r="B82" s="1"/>
      <c r="C82" s="213"/>
      <c r="D82" s="1"/>
      <c r="E82" s="1"/>
    </row>
    <row r="83" spans="1:5" ht="12.75">
      <c r="A83" s="1"/>
      <c r="B83" s="1"/>
      <c r="C83" s="213"/>
      <c r="D83" s="1"/>
      <c r="E83" s="1"/>
    </row>
    <row r="84" spans="1:5" ht="12.75">
      <c r="A84" s="1"/>
      <c r="B84" s="1"/>
      <c r="C84" s="213"/>
      <c r="D84" s="1"/>
      <c r="E84" s="1"/>
    </row>
    <row r="85" spans="1:5" ht="12.75">
      <c r="A85" s="1"/>
      <c r="B85" s="1"/>
      <c r="C85" s="213"/>
      <c r="D85" s="1"/>
      <c r="E85" s="1"/>
    </row>
    <row r="86" spans="1:5" ht="12.75">
      <c r="A86" s="1"/>
      <c r="B86" s="1"/>
      <c r="C86" s="213"/>
      <c r="D86" s="1"/>
      <c r="E86" s="1"/>
    </row>
    <row r="87" spans="1:5" ht="12.75">
      <c r="A87" s="1"/>
      <c r="B87" s="1"/>
      <c r="C87" s="213"/>
      <c r="D87" s="1"/>
      <c r="E87" s="1"/>
    </row>
    <row r="88" spans="1:5" ht="12.75">
      <c r="A88" s="1"/>
      <c r="B88" s="1"/>
      <c r="C88" s="213"/>
      <c r="D88" s="1"/>
      <c r="E88" s="1"/>
    </row>
    <row r="89" spans="1:5" ht="12.75">
      <c r="A89" s="1"/>
      <c r="B89" s="1"/>
      <c r="C89" s="213"/>
      <c r="D89" s="1"/>
      <c r="E89" s="1"/>
    </row>
    <row r="90" spans="1:5" ht="12.75">
      <c r="A90" s="1"/>
      <c r="B90" s="1"/>
      <c r="C90" s="213"/>
      <c r="D90" s="1"/>
      <c r="E90" s="1"/>
    </row>
    <row r="91" spans="1:5" ht="12.75">
      <c r="A91" s="1"/>
      <c r="B91" s="1"/>
      <c r="C91" s="213"/>
      <c r="D91" s="1"/>
      <c r="E91" s="1"/>
    </row>
    <row r="92" spans="1:5" ht="12.75">
      <c r="A92" s="1"/>
      <c r="B92" s="1"/>
      <c r="C92" s="213"/>
      <c r="D92" s="1"/>
      <c r="E92" s="1"/>
    </row>
    <row r="93" spans="1:5" ht="12.75">
      <c r="A93" s="1"/>
      <c r="B93" s="1"/>
      <c r="C93" s="213"/>
      <c r="D93" s="1"/>
      <c r="E93" s="1"/>
    </row>
    <row r="94" spans="1:5" ht="12.75">
      <c r="A94" s="1"/>
      <c r="B94" s="1"/>
      <c r="C94" s="213"/>
      <c r="D94" s="1"/>
      <c r="E94" s="1"/>
    </row>
    <row r="95" spans="1:5" ht="12.75">
      <c r="A95" s="1"/>
      <c r="B95" s="1"/>
      <c r="C95" s="213"/>
      <c r="D95" s="1"/>
      <c r="E95" s="1"/>
    </row>
    <row r="96" spans="1:5" ht="12.75">
      <c r="A96" s="1"/>
      <c r="B96" s="1"/>
      <c r="C96" s="213"/>
      <c r="D96" s="1"/>
      <c r="E96" s="1"/>
    </row>
    <row r="97" spans="1:5" ht="12.75">
      <c r="A97" s="1"/>
      <c r="B97" s="1"/>
      <c r="C97" s="213"/>
      <c r="D97" s="1"/>
      <c r="E97" s="1"/>
    </row>
    <row r="98" spans="1:5" ht="12.75">
      <c r="A98" s="1"/>
      <c r="B98" s="1"/>
      <c r="C98" s="213"/>
      <c r="D98" s="1"/>
      <c r="E98" s="1"/>
    </row>
    <row r="99" spans="1:5" ht="12.75">
      <c r="A99" s="1"/>
      <c r="B99" s="1"/>
      <c r="C99" s="213"/>
      <c r="D99" s="1"/>
      <c r="E99" s="1"/>
    </row>
    <row r="100" spans="1:5" ht="12.75">
      <c r="A100" s="1"/>
      <c r="B100" s="1"/>
      <c r="C100" s="213"/>
      <c r="D100" s="1"/>
      <c r="E100" s="1"/>
    </row>
    <row r="101" spans="1:5" ht="12.75">
      <c r="A101" s="1"/>
      <c r="B101" s="1"/>
      <c r="C101" s="213"/>
      <c r="D101" s="1"/>
      <c r="E101" s="1"/>
    </row>
    <row r="102" spans="1:5" ht="12.75">
      <c r="A102" s="1"/>
      <c r="B102" s="1"/>
      <c r="C102" s="213"/>
      <c r="D102" s="1"/>
      <c r="E102" s="1"/>
    </row>
    <row r="103" spans="1:5" ht="12.75">
      <c r="A103" s="1"/>
      <c r="B103" s="1"/>
      <c r="C103" s="213"/>
      <c r="D103" s="1"/>
      <c r="E103" s="1"/>
    </row>
    <row r="104" spans="1:5" ht="12.75">
      <c r="A104" s="1"/>
      <c r="B104" s="1"/>
      <c r="C104" s="213"/>
      <c r="D104" s="1"/>
      <c r="E104" s="1"/>
    </row>
    <row r="105" spans="1:5" ht="12.75">
      <c r="A105" s="1"/>
      <c r="B105" s="1"/>
      <c r="C105" s="213"/>
      <c r="D105" s="1"/>
      <c r="E105" s="1"/>
    </row>
    <row r="106" spans="1:5" ht="12.75">
      <c r="A106" s="1"/>
      <c r="B106" s="1"/>
      <c r="C106" s="213"/>
      <c r="D106" s="1"/>
      <c r="E106" s="1"/>
    </row>
    <row r="107" spans="1:5" ht="12.75">
      <c r="A107" s="1"/>
      <c r="B107" s="1"/>
      <c r="C107" s="213"/>
      <c r="D107" s="1"/>
      <c r="E107" s="1"/>
    </row>
    <row r="108" spans="1:5" ht="12.75">
      <c r="A108" s="1"/>
      <c r="B108" s="1"/>
      <c r="C108" s="213"/>
      <c r="D108" s="1"/>
      <c r="E108" s="1"/>
    </row>
    <row r="109" spans="1:5" ht="12.75">
      <c r="A109" s="1"/>
      <c r="B109" s="1"/>
      <c r="C109" s="213"/>
      <c r="D109" s="1"/>
      <c r="E109" s="1"/>
    </row>
    <row r="110" spans="1:5" ht="12.75">
      <c r="A110" s="1"/>
      <c r="B110" s="1"/>
      <c r="C110" s="213"/>
      <c r="D110" s="1"/>
      <c r="E110" s="1"/>
    </row>
    <row r="111" spans="1:5" ht="12.75">
      <c r="A111" s="1"/>
      <c r="B111" s="1"/>
      <c r="C111" s="213"/>
      <c r="D111" s="1"/>
      <c r="E111" s="1"/>
    </row>
    <row r="112" spans="1:5" ht="12.75">
      <c r="A112" s="1"/>
      <c r="B112" s="1"/>
      <c r="C112" s="213"/>
      <c r="D112" s="1"/>
      <c r="E112" s="1"/>
    </row>
    <row r="113" spans="1:5" ht="12.75">
      <c r="A113" s="1"/>
      <c r="B113" s="1"/>
      <c r="C113" s="213"/>
      <c r="D113" s="1"/>
      <c r="E113" s="1"/>
    </row>
    <row r="114" spans="1:5" ht="12.75">
      <c r="A114" s="1"/>
      <c r="B114" s="1"/>
      <c r="C114" s="213"/>
      <c r="D114" s="1"/>
      <c r="E114" s="1"/>
    </row>
    <row r="115" spans="1:5" ht="12.75">
      <c r="A115" s="1"/>
      <c r="B115" s="1"/>
      <c r="C115" s="213"/>
      <c r="D115" s="1"/>
      <c r="E115" s="1"/>
    </row>
    <row r="116" spans="1:5" ht="12.75">
      <c r="A116" s="1"/>
      <c r="B116" s="1"/>
      <c r="C116" s="213"/>
      <c r="D116" s="1"/>
      <c r="E116" s="1"/>
    </row>
    <row r="117" spans="1:5" ht="12.75">
      <c r="A117" s="1"/>
      <c r="B117" s="1"/>
      <c r="C117" s="213"/>
      <c r="D117" s="1"/>
      <c r="E117" s="1"/>
    </row>
    <row r="118" spans="1:5" ht="12.75">
      <c r="A118" s="1"/>
      <c r="B118" s="1"/>
      <c r="C118" s="213"/>
      <c r="D118" s="1"/>
      <c r="E118" s="1"/>
    </row>
    <row r="119" spans="1:5" ht="12.75">
      <c r="A119" s="1"/>
      <c r="B119" s="1"/>
      <c r="C119" s="213"/>
      <c r="D119" s="1"/>
      <c r="E119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3"/>
  <sheetViews>
    <sheetView workbookViewId="0" topLeftCell="H1">
      <selection activeCell="B6" sqref="B6"/>
    </sheetView>
  </sheetViews>
  <sheetFormatPr defaultColWidth="9.140625" defaultRowHeight="12.75"/>
  <cols>
    <col min="1" max="1" width="29.57421875" style="2" hidden="1" customWidth="1"/>
    <col min="2" max="2" width="11.421875" style="2" hidden="1" customWidth="1"/>
    <col min="3" max="3" width="13.421875" style="2" hidden="1" customWidth="1"/>
    <col min="4" max="4" width="12.8515625" style="2" hidden="1" customWidth="1"/>
    <col min="5" max="5" width="9.00390625" style="2" hidden="1" customWidth="1"/>
    <col min="6" max="6" width="10.57421875" style="2" hidden="1" customWidth="1"/>
    <col min="7" max="7" width="11.57421875" style="2" hidden="1" customWidth="1"/>
    <col min="8" max="8" width="32.57421875" style="2" customWidth="1"/>
    <col min="9" max="9" width="9.8515625" style="2" customWidth="1"/>
    <col min="10" max="10" width="11.00390625" style="2" customWidth="1"/>
    <col min="11" max="11" width="11.140625" style="2" customWidth="1"/>
    <col min="12" max="12" width="10.7109375" style="2" customWidth="1"/>
    <col min="13" max="13" width="10.57421875" style="2" customWidth="1"/>
    <col min="14" max="14" width="10.8515625" style="2" customWidth="1"/>
    <col min="15" max="16384" width="9.140625" style="2" customWidth="1"/>
  </cols>
  <sheetData>
    <row r="1" spans="1:24" ht="17.25" customHeight="1">
      <c r="A1" s="44" t="s">
        <v>237</v>
      </c>
      <c r="B1" s="44"/>
      <c r="C1" s="172"/>
      <c r="D1" s="44"/>
      <c r="E1" s="44"/>
      <c r="F1" s="172"/>
      <c r="G1" s="2" t="s">
        <v>238</v>
      </c>
      <c r="H1" s="44" t="s">
        <v>237</v>
      </c>
      <c r="I1" s="44"/>
      <c r="J1" s="172"/>
      <c r="K1" s="44"/>
      <c r="L1" s="44"/>
      <c r="M1" s="172"/>
      <c r="N1" s="2" t="s">
        <v>238</v>
      </c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6" customHeight="1">
      <c r="A2" s="44"/>
      <c r="B2" s="44"/>
      <c r="C2" s="172"/>
      <c r="D2" s="44"/>
      <c r="E2" s="44"/>
      <c r="F2" s="172"/>
      <c r="G2" s="1"/>
      <c r="H2" s="44"/>
      <c r="I2" s="44"/>
      <c r="J2" s="172"/>
      <c r="K2" s="44"/>
      <c r="L2" s="44"/>
      <c r="M2" s="172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8.75" customHeight="1">
      <c r="A3" s="48" t="s">
        <v>239</v>
      </c>
      <c r="B3" s="172"/>
      <c r="C3" s="172"/>
      <c r="D3" s="172"/>
      <c r="E3" s="172"/>
      <c r="F3" s="172"/>
      <c r="G3" s="1"/>
      <c r="H3" s="48" t="s">
        <v>239</v>
      </c>
      <c r="I3" s="172"/>
      <c r="J3" s="172"/>
      <c r="K3" s="172"/>
      <c r="L3" s="172"/>
      <c r="M3" s="172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9.5" customHeight="1">
      <c r="A4" s="48" t="s">
        <v>92</v>
      </c>
      <c r="B4" s="172"/>
      <c r="C4" s="172"/>
      <c r="D4" s="172"/>
      <c r="E4" s="172"/>
      <c r="F4" s="172"/>
      <c r="G4" s="1"/>
      <c r="H4" s="48" t="s">
        <v>92</v>
      </c>
      <c r="I4" s="172"/>
      <c r="J4" s="172"/>
      <c r="K4" s="172"/>
      <c r="L4" s="172"/>
      <c r="M4" s="172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3.5" customHeight="1">
      <c r="A5" s="1"/>
      <c r="B5" s="1"/>
      <c r="C5" s="1"/>
      <c r="D5" s="35"/>
      <c r="E5" s="148"/>
      <c r="F5" s="1"/>
      <c r="G5" s="1" t="s">
        <v>6</v>
      </c>
      <c r="H5" s="1"/>
      <c r="I5" s="1"/>
      <c r="J5" s="1"/>
      <c r="K5" s="35"/>
      <c r="L5" s="148"/>
      <c r="M5" s="1"/>
      <c r="N5" s="1" t="s">
        <v>6</v>
      </c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74.25" customHeight="1">
      <c r="A6" s="12" t="s">
        <v>7</v>
      </c>
      <c r="B6" s="12" t="s">
        <v>9</v>
      </c>
      <c r="C6" s="12" t="s">
        <v>240</v>
      </c>
      <c r="D6" s="12" t="s">
        <v>10</v>
      </c>
      <c r="E6" s="12" t="s">
        <v>241</v>
      </c>
      <c r="F6" s="12" t="s">
        <v>242</v>
      </c>
      <c r="G6" s="12" t="s">
        <v>243</v>
      </c>
      <c r="H6" s="12" t="s">
        <v>7</v>
      </c>
      <c r="I6" s="12" t="s">
        <v>9</v>
      </c>
      <c r="J6" s="12" t="s">
        <v>240</v>
      </c>
      <c r="K6" s="12" t="s">
        <v>10</v>
      </c>
      <c r="L6" s="12" t="s">
        <v>241</v>
      </c>
      <c r="M6" s="12" t="s">
        <v>242</v>
      </c>
      <c r="N6" s="12" t="s">
        <v>244</v>
      </c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2.7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47">
        <v>7</v>
      </c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47">
        <v>7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s="174" customFormat="1" ht="15" customHeight="1">
      <c r="A8" s="193" t="s">
        <v>245</v>
      </c>
      <c r="B8" s="80">
        <f>SUM(B9:B10)</f>
        <v>720918773</v>
      </c>
      <c r="C8" s="80">
        <f>SUM(C9:C10)</f>
        <v>283498414</v>
      </c>
      <c r="D8" s="80">
        <f>SUM(D9:D10)</f>
        <v>270977180</v>
      </c>
      <c r="E8" s="55">
        <f>IF(ISERROR(D8/B8)," ",(D8/B8))</f>
        <v>0.37587754702567583</v>
      </c>
      <c r="F8" s="55">
        <f>IF(ISERROR(D8/C8)," ",(D8/C8))</f>
        <v>0.9558331426855884</v>
      </c>
      <c r="G8" s="80">
        <f>SUM(G9:G10)</f>
        <v>58938223</v>
      </c>
      <c r="H8" s="193" t="s">
        <v>245</v>
      </c>
      <c r="I8" s="80">
        <f>SUM(I9:I10)</f>
        <v>720919</v>
      </c>
      <c r="J8" s="80">
        <f>SUM(J9:J10)</f>
        <v>283498</v>
      </c>
      <c r="K8" s="80">
        <f>SUM(K9:K10)</f>
        <v>270977</v>
      </c>
      <c r="L8" s="194">
        <f>IF(ISERROR(ROUND(K8,0)/ROUND(I8,0))," ",(ROUND(K8,)/ROUND(I8,)))</f>
        <v>0.3758771789895952</v>
      </c>
      <c r="M8" s="194">
        <f>IF(ISERROR(ROUND(K8,0)/ROUND(J8,0))," ",(ROUND(K8,)/ROUND(J8,)))</f>
        <v>0.9558339035901487</v>
      </c>
      <c r="N8" s="80">
        <f>SUM(N9:N10)</f>
        <v>58938</v>
      </c>
      <c r="O8" s="195"/>
      <c r="P8" s="195"/>
      <c r="Q8" s="195"/>
      <c r="R8" s="195"/>
      <c r="S8" s="195"/>
      <c r="T8" s="195"/>
      <c r="U8" s="195"/>
      <c r="V8" s="195"/>
      <c r="W8" s="195"/>
      <c r="X8" s="195"/>
    </row>
    <row r="9" spans="1:24" s="130" customFormat="1" ht="13.5" customHeight="1">
      <c r="A9" s="196" t="s">
        <v>246</v>
      </c>
      <c r="B9" s="71">
        <f>SUM(B12,B15,B18,B21,B24,B27,B30,B33,B36,B39,B42,B45,B48,B53,B56,B59,B62,B65,B68,B71,B74,B77,B79,B81,B84,B89,B92,B86)</f>
        <v>653325305</v>
      </c>
      <c r="C9" s="71">
        <f>SUM(C12,C15,C18,C21,C24,C27,C30,C33,C36,C39,C42,C45,C48,C53,C56,C59,C62,C65,C68,C71,C74,C77,C79,C81,C84,C89,C92,C86)</f>
        <v>263471517</v>
      </c>
      <c r="D9" s="71">
        <f>SUM(D12,D15,D18,D21,D24,D27,D30,D33,D36,D39,D42,D45,D48,D53,D56,D59,D62,D65,D68,D71,D74,D77,D79,D81,D84,D89,D92,D86)</f>
        <v>254781980</v>
      </c>
      <c r="E9" s="69">
        <f aca="true" t="shared" si="0" ref="E9:E72">IF(ISERROR(D9/B9)," ",(D9/B9))</f>
        <v>0.38997721051077305</v>
      </c>
      <c r="F9" s="69">
        <f aca="true" t="shared" si="1" ref="F9:F72">IF(ISERROR(D9/C9)," ",(D9/C9))</f>
        <v>0.967019064910914</v>
      </c>
      <c r="G9" s="71">
        <f>SUM(G12,G15,G18,G21,G24,G27,G30,G33,G36,G39,G42,G45,G48,G53,G56,G59,G62,G65,G68,G71,G74,G77,G79,G81,G84,G89,G92,G86)</f>
        <v>52545889</v>
      </c>
      <c r="H9" s="196" t="s">
        <v>246</v>
      </c>
      <c r="I9" s="71">
        <f>SUM(I12,I15,I18,I21,I24,I27,I30,I33,I36,I39,I42,I45,I48,I53,I56,I59,I62,I65,I68,I71,I74,I77,I79,I81,I84,I89,I92,I86)</f>
        <v>653326</v>
      </c>
      <c r="J9" s="71">
        <f>SUM(J12,J15,J18,J21,J24,J27,J30,J33,J36,J39,J42,J45,J48,J53,J56,J59,J62,J65,J68,J71,J74,J77,J79,J81,J84,J89,J92,J86)</f>
        <v>263471</v>
      </c>
      <c r="K9" s="71">
        <f>SUM(K12,K15,K18,K21,K24,K27,K30,K33,K36,K39,K42,K45,K48,K53,K56,K59,K62,K65,K68,K71,K74,K77,K79,K81,K84,K89,K92,K86)</f>
        <v>254782</v>
      </c>
      <c r="L9" s="176">
        <f aca="true" t="shared" si="2" ref="L9:L49">IF(ISERROR(ROUND(K9,0)/ROUND(I9,0))," ",(ROUND(K9,)/ROUND(I9,)))</f>
        <v>0.38997682627049896</v>
      </c>
      <c r="M9" s="176">
        <f aca="true" t="shared" si="3" ref="M9:M49">IF(ISERROR(ROUND(K9,0)/ROUND(J9,0))," ",(ROUND(K9,)/ROUND(J9,)))</f>
        <v>0.9670210383685491</v>
      </c>
      <c r="N9" s="71">
        <f>SUM(N12,N15,N18,N21,N24,N27,N30,N33,N36,N39,N42,N45,N48,N53,N56,N59,N62,N65,N68,N71,N74,N77,N79,N81,N84,N89,N92,N86)</f>
        <v>52546</v>
      </c>
      <c r="O9" s="28"/>
      <c r="P9" s="28"/>
      <c r="Q9" s="28"/>
      <c r="R9" s="28"/>
      <c r="S9" s="28"/>
      <c r="T9" s="28"/>
      <c r="U9" s="28"/>
      <c r="V9" s="28"/>
      <c r="W9" s="28"/>
      <c r="X9" s="28"/>
    </row>
    <row r="10" spans="1:24" s="130" customFormat="1" ht="14.25" customHeight="1">
      <c r="A10" s="196" t="s">
        <v>247</v>
      </c>
      <c r="B10" s="71">
        <f>SUM(B13,B16,B19,B22,B25,B28,B31,B34,B37,B40,B43,B46,B49,B54,B57,B60,B63,B66,B69,B72,B75,B82,B90,B87)</f>
        <v>67593468</v>
      </c>
      <c r="C10" s="71">
        <f>SUM(C13,C16,C19,C22,C25,C28,C31,C34,C37,C40,C43,C46,C49,C54,C57,C60,C63,C66,C69,C72,C75,C82,C90,C87)</f>
        <v>20026897</v>
      </c>
      <c r="D10" s="71">
        <f>SUM(D13,D16,D19,D22,D25,D28,D31,D34,D37,D40,D43,D46,D49,D54,D57,D60,D63,D66,D69,D72,D75,D82,D90,D87)</f>
        <v>16195200</v>
      </c>
      <c r="E10" s="69">
        <f t="shared" si="0"/>
        <v>0.23959711610003498</v>
      </c>
      <c r="F10" s="69">
        <f t="shared" si="1"/>
        <v>0.8086724568464101</v>
      </c>
      <c r="G10" s="71">
        <f>SUM(G13,G16,G19,G22,G25,G28,G31,G34,G37,G40,G43,G46,G49,G54,G57,G60,G63,G66,G69,G72,G75,G82,G90,G87)</f>
        <v>6392334</v>
      </c>
      <c r="H10" s="196" t="s">
        <v>247</v>
      </c>
      <c r="I10" s="71">
        <f>SUM(I13,I16,I19,I22,I25,I28,I31,I34,I37,I40,I43,I46,I49,I54,I57,I60,I63,I66,I69,I72,I75,I82,I90,I87)</f>
        <v>67593</v>
      </c>
      <c r="J10" s="71">
        <f>SUM(J13,J16,J19,J22,J25,J28,J31,J34,J37,J40,J43,J46,J49,J54,J57,J60,J63,J66,J69,J72,J75,J82,J90,J87)</f>
        <v>20027</v>
      </c>
      <c r="K10" s="71">
        <f>SUM(K13,K16,K19,K22,K25,K28,K31,K34,K37,K40,K43,K46,K49,K54,K57,K60,K63,K66,K69,K72,K75,K82,K90,K87)</f>
        <v>16195</v>
      </c>
      <c r="L10" s="176">
        <f t="shared" si="2"/>
        <v>0.23959581613480685</v>
      </c>
      <c r="M10" s="176">
        <f t="shared" si="3"/>
        <v>0.8086583112797723</v>
      </c>
      <c r="N10" s="71">
        <f>SUM(N13,N16,N19,N22,N25,N28,N31,N34,N37,N40,N43,N46,N49,N54,N57,N60,N63,N66,N69,N72,N75,N82,N90,N87)</f>
        <v>6392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s="130" customFormat="1" ht="12" customHeight="1">
      <c r="A11" s="127" t="s">
        <v>248</v>
      </c>
      <c r="B11" s="16">
        <f>SUM(B12:B13)</f>
        <v>904668</v>
      </c>
      <c r="C11" s="16">
        <f>SUM(C12:C13)</f>
        <v>493766</v>
      </c>
      <c r="D11" s="16">
        <f>SUM(D12:D13)</f>
        <v>460165</v>
      </c>
      <c r="E11" s="55">
        <f t="shared" si="0"/>
        <v>0.508656214213391</v>
      </c>
      <c r="F11" s="55">
        <f t="shared" si="1"/>
        <v>0.93194954695139</v>
      </c>
      <c r="G11" s="16">
        <f>SUM(G12:G13)</f>
        <v>105059</v>
      </c>
      <c r="H11" s="127" t="s">
        <v>248</v>
      </c>
      <c r="I11" s="131">
        <f>SUM(I12:I13)</f>
        <v>904</v>
      </c>
      <c r="J11" s="131">
        <f>SUM(J12:J13)</f>
        <v>494</v>
      </c>
      <c r="K11" s="131">
        <f>SUM(K12:K13)</f>
        <v>460</v>
      </c>
      <c r="L11" s="175">
        <f t="shared" si="2"/>
        <v>0.5088495575221239</v>
      </c>
      <c r="M11" s="175">
        <f t="shared" si="3"/>
        <v>0.9311740890688259</v>
      </c>
      <c r="N11" s="131">
        <f>SUM(N12:N13)</f>
        <v>105</v>
      </c>
      <c r="O11" s="28"/>
      <c r="P11" s="28"/>
      <c r="Q11" s="28"/>
      <c r="R11" s="28"/>
      <c r="S11" s="28"/>
      <c r="T11" s="28"/>
      <c r="U11" s="28"/>
      <c r="V11" s="28"/>
      <c r="W11" s="28"/>
      <c r="X11" s="28"/>
    </row>
    <row r="12" spans="1:24" s="130" customFormat="1" ht="12.75">
      <c r="A12" s="197" t="s">
        <v>246</v>
      </c>
      <c r="B12" s="112">
        <v>820228</v>
      </c>
      <c r="C12" s="112">
        <v>435326</v>
      </c>
      <c r="D12" s="112">
        <f>460165-24878</f>
        <v>435287</v>
      </c>
      <c r="E12" s="69">
        <f t="shared" si="0"/>
        <v>0.5306902471020253</v>
      </c>
      <c r="F12" s="69">
        <f t="shared" si="1"/>
        <v>0.9999104119671235</v>
      </c>
      <c r="G12" s="112">
        <f>D12-'[5]Aprīlis'!D12</f>
        <v>101765</v>
      </c>
      <c r="H12" s="197" t="s">
        <v>246</v>
      </c>
      <c r="I12" s="112">
        <f aca="true" t="shared" si="4" ref="I12:K13">ROUND(B12/1000,0)</f>
        <v>820</v>
      </c>
      <c r="J12" s="112">
        <f>ROUND(C12/1000,0)+1</f>
        <v>436</v>
      </c>
      <c r="K12" s="112">
        <f t="shared" si="4"/>
        <v>435</v>
      </c>
      <c r="L12" s="176">
        <f t="shared" si="2"/>
        <v>0.5304878048780488</v>
      </c>
      <c r="M12" s="176">
        <f t="shared" si="3"/>
        <v>0.9977064220183486</v>
      </c>
      <c r="N12" s="112">
        <f>K12-'[5]Aprīlis'!K12</f>
        <v>101</v>
      </c>
      <c r="O12" s="28"/>
      <c r="P12" s="28"/>
      <c r="Q12" s="28"/>
      <c r="R12" s="28"/>
      <c r="S12" s="28"/>
      <c r="T12" s="28"/>
      <c r="U12" s="28"/>
      <c r="V12" s="28"/>
      <c r="W12" s="28"/>
      <c r="X12" s="28"/>
    </row>
    <row r="13" spans="1:24" s="130" customFormat="1" ht="12.75">
      <c r="A13" s="197" t="s">
        <v>247</v>
      </c>
      <c r="B13" s="112">
        <v>84440</v>
      </c>
      <c r="C13" s="112">
        <v>58440</v>
      </c>
      <c r="D13" s="112">
        <v>24878</v>
      </c>
      <c r="E13" s="69">
        <f t="shared" si="0"/>
        <v>0.29462340123164377</v>
      </c>
      <c r="F13" s="69">
        <f t="shared" si="1"/>
        <v>0.4257015742642026</v>
      </c>
      <c r="G13" s="112">
        <f>D13-'[5]Aprīlis'!D13</f>
        <v>3294</v>
      </c>
      <c r="H13" s="197" t="s">
        <v>247</v>
      </c>
      <c r="I13" s="112">
        <f t="shared" si="4"/>
        <v>84</v>
      </c>
      <c r="J13" s="112">
        <f>ROUND(C13/1000,0)</f>
        <v>58</v>
      </c>
      <c r="K13" s="112">
        <f t="shared" si="4"/>
        <v>25</v>
      </c>
      <c r="L13" s="176">
        <f t="shared" si="2"/>
        <v>0.2976190476190476</v>
      </c>
      <c r="M13" s="176">
        <f t="shared" si="3"/>
        <v>0.43103448275862066</v>
      </c>
      <c r="N13" s="112">
        <f>K13-'[5]Aprīlis'!K13</f>
        <v>4</v>
      </c>
      <c r="O13" s="28"/>
      <c r="P13" s="28"/>
      <c r="Q13" s="28"/>
      <c r="R13" s="28"/>
      <c r="S13" s="28"/>
      <c r="T13" s="28"/>
      <c r="U13" s="28"/>
      <c r="V13" s="28"/>
      <c r="W13" s="28"/>
      <c r="X13" s="28"/>
    </row>
    <row r="14" spans="1:24" s="130" customFormat="1" ht="12.75" customHeight="1">
      <c r="A14" s="198" t="s">
        <v>249</v>
      </c>
      <c r="B14" s="16">
        <f>SUM(B15:B16)</f>
        <v>6388701</v>
      </c>
      <c r="C14" s="16">
        <f>SUM(C15:C16)</f>
        <v>2392504</v>
      </c>
      <c r="D14" s="16">
        <f>SUM(D15:D16)</f>
        <v>2028536</v>
      </c>
      <c r="E14" s="55">
        <f t="shared" si="0"/>
        <v>0.3175193204377541</v>
      </c>
      <c r="F14" s="55">
        <f t="shared" si="1"/>
        <v>0.8478715187101046</v>
      </c>
      <c r="G14" s="16">
        <f>SUM(G15:G16)</f>
        <v>419931</v>
      </c>
      <c r="H14" s="198" t="s">
        <v>249</v>
      </c>
      <c r="I14" s="131">
        <f>SUM(I15:I16)</f>
        <v>6388</v>
      </c>
      <c r="J14" s="131">
        <f>SUM(J15:J16)</f>
        <v>2392</v>
      </c>
      <c r="K14" s="131">
        <f>SUM(K15:K16)</f>
        <v>2028</v>
      </c>
      <c r="L14" s="175">
        <f t="shared" si="2"/>
        <v>0.3174702567313713</v>
      </c>
      <c r="M14" s="175">
        <f t="shared" si="3"/>
        <v>0.8478260869565217</v>
      </c>
      <c r="N14" s="131">
        <f>SUM(N15:N16)</f>
        <v>420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4" s="130" customFormat="1" ht="12.75">
      <c r="A15" s="197" t="s">
        <v>246</v>
      </c>
      <c r="B15" s="112">
        <v>5042250</v>
      </c>
      <c r="C15" s="112">
        <v>1971914</v>
      </c>
      <c r="D15" s="112">
        <f>2028536-251291</f>
        <v>1777245</v>
      </c>
      <c r="E15" s="69">
        <f t="shared" si="0"/>
        <v>0.35247062323367545</v>
      </c>
      <c r="F15" s="69">
        <f t="shared" si="1"/>
        <v>0.9012791632900826</v>
      </c>
      <c r="G15" s="112">
        <f>D15-'[5]Aprīlis'!D15</f>
        <v>308949</v>
      </c>
      <c r="H15" s="197" t="s">
        <v>246</v>
      </c>
      <c r="I15" s="112">
        <f aca="true" t="shared" si="5" ref="I15:K16">ROUND(B15/1000,0)</f>
        <v>5042</v>
      </c>
      <c r="J15" s="112">
        <f t="shared" si="5"/>
        <v>1972</v>
      </c>
      <c r="K15" s="112">
        <f t="shared" si="5"/>
        <v>1777</v>
      </c>
      <c r="L15" s="176">
        <f t="shared" si="2"/>
        <v>0.3524395081316938</v>
      </c>
      <c r="M15" s="176">
        <f t="shared" si="3"/>
        <v>0.9011156186612576</v>
      </c>
      <c r="N15" s="112">
        <f>K15-'[5]Aprīlis'!K15</f>
        <v>309</v>
      </c>
      <c r="O15" s="28"/>
      <c r="P15" s="28"/>
      <c r="Q15" s="28"/>
      <c r="R15" s="28"/>
      <c r="S15" s="28"/>
      <c r="T15" s="28"/>
      <c r="U15" s="28"/>
      <c r="V15" s="28"/>
      <c r="W15" s="28"/>
      <c r="X15" s="28"/>
    </row>
    <row r="16" spans="1:24" s="130" customFormat="1" ht="12.75">
      <c r="A16" s="197" t="s">
        <v>247</v>
      </c>
      <c r="B16" s="112">
        <v>1346451</v>
      </c>
      <c r="C16" s="112">
        <v>420590</v>
      </c>
      <c r="D16" s="112">
        <f>150942+100349</f>
        <v>251291</v>
      </c>
      <c r="E16" s="69">
        <f t="shared" si="0"/>
        <v>0.186632116579066</v>
      </c>
      <c r="F16" s="69">
        <f t="shared" si="1"/>
        <v>0.5974725980170713</v>
      </c>
      <c r="G16" s="112">
        <f>D16-'[5]Aprīlis'!D16</f>
        <v>110982</v>
      </c>
      <c r="H16" s="197" t="s">
        <v>247</v>
      </c>
      <c r="I16" s="112">
        <f>ROUND(B16/1000,0)</f>
        <v>1346</v>
      </c>
      <c r="J16" s="112">
        <f>ROUND(C16/1000,0)-1</f>
        <v>420</v>
      </c>
      <c r="K16" s="112">
        <f t="shared" si="5"/>
        <v>251</v>
      </c>
      <c r="L16" s="176">
        <f t="shared" si="2"/>
        <v>0.18647845468053492</v>
      </c>
      <c r="M16" s="176">
        <f t="shared" si="3"/>
        <v>0.5976190476190476</v>
      </c>
      <c r="N16" s="112">
        <f>K16-'[5]Aprīlis'!K16</f>
        <v>111</v>
      </c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1:24" s="130" customFormat="1" ht="13.5" customHeight="1">
      <c r="A17" s="198" t="s">
        <v>250</v>
      </c>
      <c r="B17" s="16">
        <f>SUM(B18:B19)</f>
        <v>3940406</v>
      </c>
      <c r="C17" s="16">
        <f>SUM(C18:C19)</f>
        <v>1592566</v>
      </c>
      <c r="D17" s="16">
        <f>SUM(D18:D19)</f>
        <v>1527650</v>
      </c>
      <c r="E17" s="55">
        <f t="shared" si="0"/>
        <v>0.38768847677117535</v>
      </c>
      <c r="F17" s="55">
        <f t="shared" si="1"/>
        <v>0.9592381100689077</v>
      </c>
      <c r="G17" s="16">
        <f>SUM(G18:G19)</f>
        <v>352843</v>
      </c>
      <c r="H17" s="198" t="s">
        <v>250</v>
      </c>
      <c r="I17" s="131">
        <f>SUM(I18:I19)</f>
        <v>3941</v>
      </c>
      <c r="J17" s="131">
        <f>SUM(J18:J19)</f>
        <v>1593</v>
      </c>
      <c r="K17" s="131">
        <f>SUM(K18:K19)</f>
        <v>1528</v>
      </c>
      <c r="L17" s="175">
        <f t="shared" si="2"/>
        <v>0.3877188530829739</v>
      </c>
      <c r="M17" s="175">
        <f t="shared" si="3"/>
        <v>0.9591964846202135</v>
      </c>
      <c r="N17" s="131">
        <f>SUM(N18:N19)</f>
        <v>353</v>
      </c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1:24" s="130" customFormat="1" ht="12.75">
      <c r="A18" s="197" t="s">
        <v>246</v>
      </c>
      <c r="B18" s="112">
        <v>3712683</v>
      </c>
      <c r="C18" s="112">
        <v>1503587</v>
      </c>
      <c r="D18" s="112">
        <f>1527650-85768</f>
        <v>1441882</v>
      </c>
      <c r="E18" s="69">
        <f t="shared" si="0"/>
        <v>0.3883665801793474</v>
      </c>
      <c r="F18" s="69">
        <f t="shared" si="1"/>
        <v>0.9589614701377439</v>
      </c>
      <c r="G18" s="112">
        <f>D18-'[5]Aprīlis'!D18</f>
        <v>320411</v>
      </c>
      <c r="H18" s="197" t="s">
        <v>246</v>
      </c>
      <c r="I18" s="112">
        <f>ROUND(B18/1000,0)</f>
        <v>3713</v>
      </c>
      <c r="J18" s="112">
        <f aca="true" t="shared" si="6" ref="I18:K19">ROUND(C18/1000,0)</f>
        <v>1504</v>
      </c>
      <c r="K18" s="112">
        <f t="shared" si="6"/>
        <v>1442</v>
      </c>
      <c r="L18" s="176">
        <f t="shared" si="2"/>
        <v>0.38836520333961755</v>
      </c>
      <c r="M18" s="176">
        <f t="shared" si="3"/>
        <v>0.9587765957446809</v>
      </c>
      <c r="N18" s="112">
        <f>K18-'[5]Aprīlis'!K18</f>
        <v>320</v>
      </c>
      <c r="O18" s="28"/>
      <c r="P18" s="28"/>
      <c r="Q18" s="28"/>
      <c r="R18" s="28"/>
      <c r="S18" s="28"/>
      <c r="T18" s="28"/>
      <c r="U18" s="28"/>
      <c r="V18" s="28"/>
      <c r="W18" s="28"/>
      <c r="X18" s="28"/>
    </row>
    <row r="19" spans="1:24" s="130" customFormat="1" ht="12.75">
      <c r="A19" s="197" t="s">
        <v>247</v>
      </c>
      <c r="B19" s="112">
        <v>227723</v>
      </c>
      <c r="C19" s="112">
        <v>88979</v>
      </c>
      <c r="D19" s="112">
        <v>85768</v>
      </c>
      <c r="E19" s="69">
        <f t="shared" si="0"/>
        <v>0.37663301467133314</v>
      </c>
      <c r="F19" s="69">
        <f t="shared" si="1"/>
        <v>0.9639128333651761</v>
      </c>
      <c r="G19" s="112">
        <f>D19-'[5]Aprīlis'!D19</f>
        <v>32432</v>
      </c>
      <c r="H19" s="197" t="s">
        <v>247</v>
      </c>
      <c r="I19" s="112">
        <f t="shared" si="6"/>
        <v>228</v>
      </c>
      <c r="J19" s="112">
        <f t="shared" si="6"/>
        <v>89</v>
      </c>
      <c r="K19" s="112">
        <f t="shared" si="6"/>
        <v>86</v>
      </c>
      <c r="L19" s="176">
        <f t="shared" si="2"/>
        <v>0.37719298245614036</v>
      </c>
      <c r="M19" s="176">
        <f t="shared" si="3"/>
        <v>0.9662921348314607</v>
      </c>
      <c r="N19" s="112">
        <f>K19-'[5]Aprīlis'!K19</f>
        <v>33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</row>
    <row r="20" spans="1:24" s="130" customFormat="1" ht="15" customHeight="1">
      <c r="A20" s="198" t="s">
        <v>251</v>
      </c>
      <c r="B20" s="16">
        <f>SUM(B21:B22)</f>
        <v>35413803</v>
      </c>
      <c r="C20" s="16">
        <f>SUM(C21:C22)</f>
        <v>10073599</v>
      </c>
      <c r="D20" s="16">
        <f>SUM(D21:D22)</f>
        <v>9428548</v>
      </c>
      <c r="E20" s="55">
        <f t="shared" si="0"/>
        <v>0.2662393530567728</v>
      </c>
      <c r="F20" s="55">
        <f t="shared" si="1"/>
        <v>0.9359661824934663</v>
      </c>
      <c r="G20" s="16">
        <f>SUM(G21:G22)</f>
        <v>2092031</v>
      </c>
      <c r="H20" s="198" t="s">
        <v>251</v>
      </c>
      <c r="I20" s="131">
        <f>SUM(I21:I22)</f>
        <v>35413</v>
      </c>
      <c r="J20" s="131">
        <f>SUM(J21:J22)</f>
        <v>10073</v>
      </c>
      <c r="K20" s="131">
        <f>SUM(K21:K22)</f>
        <v>9429</v>
      </c>
      <c r="L20" s="175">
        <f t="shared" si="2"/>
        <v>0.2662581537853331</v>
      </c>
      <c r="M20" s="175">
        <f t="shared" si="3"/>
        <v>0.9360667129951356</v>
      </c>
      <c r="N20" s="131">
        <f>SUM(N21:N22)</f>
        <v>2092</v>
      </c>
      <c r="O20" s="28"/>
      <c r="P20" s="28"/>
      <c r="Q20" s="28"/>
      <c r="R20" s="28"/>
      <c r="S20" s="28"/>
      <c r="T20" s="28"/>
      <c r="U20" s="28"/>
      <c r="V20" s="28"/>
      <c r="W20" s="28"/>
      <c r="X20" s="28"/>
    </row>
    <row r="21" spans="1:24" s="130" customFormat="1" ht="12.75">
      <c r="A21" s="197" t="s">
        <v>246</v>
      </c>
      <c r="B21" s="112">
        <v>30347352</v>
      </c>
      <c r="C21" s="112">
        <v>9654475</v>
      </c>
      <c r="D21" s="112">
        <f>9428548-190621</f>
        <v>9237927</v>
      </c>
      <c r="E21" s="69">
        <f t="shared" si="0"/>
        <v>0.304406361385336</v>
      </c>
      <c r="F21" s="69">
        <f t="shared" si="1"/>
        <v>0.9568544120731578</v>
      </c>
      <c r="G21" s="112">
        <f>D21-'[5]Aprīlis'!D21</f>
        <v>1970936</v>
      </c>
      <c r="H21" s="197" t="s">
        <v>246</v>
      </c>
      <c r="I21" s="112">
        <f aca="true" t="shared" si="7" ref="I21:K22">ROUND(B21/1000,0)</f>
        <v>30347</v>
      </c>
      <c r="J21" s="112">
        <f>ROUND(C21/1000,0)</f>
        <v>9654</v>
      </c>
      <c r="K21" s="112">
        <f t="shared" si="7"/>
        <v>9238</v>
      </c>
      <c r="L21" s="176">
        <f t="shared" si="2"/>
        <v>0.30441229775595613</v>
      </c>
      <c r="M21" s="176">
        <f t="shared" si="3"/>
        <v>0.9569090532421795</v>
      </c>
      <c r="N21" s="112">
        <f>K21-'[5]Aprīlis'!K21</f>
        <v>1971</v>
      </c>
      <c r="O21" s="28"/>
      <c r="P21" s="28"/>
      <c r="Q21" s="28"/>
      <c r="R21" s="28"/>
      <c r="S21" s="28"/>
      <c r="T21" s="28"/>
      <c r="U21" s="28"/>
      <c r="V21" s="28"/>
      <c r="W21" s="28"/>
      <c r="X21" s="28"/>
    </row>
    <row r="22" spans="1:24" s="130" customFormat="1" ht="12.75">
      <c r="A22" s="197" t="s">
        <v>247</v>
      </c>
      <c r="B22" s="112">
        <v>5066451</v>
      </c>
      <c r="C22" s="112">
        <v>419124</v>
      </c>
      <c r="D22" s="112">
        <f>14383+477+175761</f>
        <v>190621</v>
      </c>
      <c r="E22" s="69">
        <f t="shared" si="0"/>
        <v>0.03762416729185775</v>
      </c>
      <c r="F22" s="69">
        <f t="shared" si="1"/>
        <v>0.4548081236101965</v>
      </c>
      <c r="G22" s="112">
        <f>D22-'[5]Aprīlis'!D22</f>
        <v>121095</v>
      </c>
      <c r="H22" s="197" t="s">
        <v>247</v>
      </c>
      <c r="I22" s="112">
        <f t="shared" si="7"/>
        <v>5066</v>
      </c>
      <c r="J22" s="112">
        <f t="shared" si="7"/>
        <v>419</v>
      </c>
      <c r="K22" s="112">
        <f t="shared" si="7"/>
        <v>191</v>
      </c>
      <c r="L22" s="176">
        <f t="shared" si="2"/>
        <v>0.03770232925384919</v>
      </c>
      <c r="M22" s="176">
        <f t="shared" si="3"/>
        <v>0.45584725536992843</v>
      </c>
      <c r="N22" s="112">
        <f>K22-'[5]Aprīlis'!K22</f>
        <v>121</v>
      </c>
      <c r="O22" s="28"/>
      <c r="P22" s="28"/>
      <c r="Q22" s="28"/>
      <c r="R22" s="28"/>
      <c r="S22" s="28"/>
      <c r="T22" s="28"/>
      <c r="U22" s="28"/>
      <c r="V22" s="28"/>
      <c r="W22" s="28"/>
      <c r="X22" s="28"/>
    </row>
    <row r="23" spans="1:24" s="130" customFormat="1" ht="16.5" customHeight="1">
      <c r="A23" s="198" t="s">
        <v>252</v>
      </c>
      <c r="B23" s="16">
        <f>SUM(B24:B25)</f>
        <v>10961663</v>
      </c>
      <c r="C23" s="16">
        <f>SUM(C24:C25)</f>
        <v>4894142</v>
      </c>
      <c r="D23" s="16">
        <f>SUM(D24:D25)</f>
        <v>4364986</v>
      </c>
      <c r="E23" s="55">
        <f t="shared" si="0"/>
        <v>0.39820472495824766</v>
      </c>
      <c r="F23" s="55">
        <f t="shared" si="1"/>
        <v>0.891879720694659</v>
      </c>
      <c r="G23" s="16">
        <f>SUM(G24:G25)</f>
        <v>767652</v>
      </c>
      <c r="H23" s="198" t="s">
        <v>252</v>
      </c>
      <c r="I23" s="131">
        <f>SUM(I24:I25)</f>
        <v>10962</v>
      </c>
      <c r="J23" s="131">
        <f>SUM(J24:J25)</f>
        <v>4894</v>
      </c>
      <c r="K23" s="131">
        <f>SUM(K24:K25)</f>
        <v>4365</v>
      </c>
      <c r="L23" s="175">
        <f t="shared" si="2"/>
        <v>0.3981937602627258</v>
      </c>
      <c r="M23" s="175">
        <f t="shared" si="3"/>
        <v>0.8919084593379648</v>
      </c>
      <c r="N23" s="131">
        <f>SUM(N24:N25)</f>
        <v>767</v>
      </c>
      <c r="O23" s="28"/>
      <c r="P23" s="28"/>
      <c r="Q23" s="28"/>
      <c r="R23" s="28"/>
      <c r="S23" s="28"/>
      <c r="T23" s="28"/>
      <c r="U23" s="28"/>
      <c r="V23" s="28"/>
      <c r="W23" s="28"/>
      <c r="X23" s="28"/>
    </row>
    <row r="24" spans="1:24" s="130" customFormat="1" ht="12.75">
      <c r="A24" s="197" t="s">
        <v>246</v>
      </c>
      <c r="B24" s="112">
        <v>10549064</v>
      </c>
      <c r="C24" s="112">
        <v>4635142</v>
      </c>
      <c r="D24" s="112">
        <f>4364986-162724</f>
        <v>4202262</v>
      </c>
      <c r="E24" s="69">
        <f t="shared" si="0"/>
        <v>0.3983540151050368</v>
      </c>
      <c r="F24" s="69">
        <f t="shared" si="1"/>
        <v>0.9066091179083619</v>
      </c>
      <c r="G24" s="112">
        <f>D24-'[5]Aprīlis'!D24</f>
        <v>716549</v>
      </c>
      <c r="H24" s="197" t="s">
        <v>246</v>
      </c>
      <c r="I24" s="112">
        <f aca="true" t="shared" si="8" ref="I24:K25">ROUND(B24/1000,0)</f>
        <v>10549</v>
      </c>
      <c r="J24" s="112">
        <f t="shared" si="8"/>
        <v>4635</v>
      </c>
      <c r="K24" s="112">
        <f t="shared" si="8"/>
        <v>4202</v>
      </c>
      <c r="L24" s="176">
        <f t="shared" si="2"/>
        <v>0.3983315954118874</v>
      </c>
      <c r="M24" s="176">
        <f t="shared" si="3"/>
        <v>0.9065803667745416</v>
      </c>
      <c r="N24" s="112">
        <f>K24-'[5]Aprīlis'!K24</f>
        <v>716</v>
      </c>
      <c r="O24" s="28"/>
      <c r="P24" s="28"/>
      <c r="Q24" s="28"/>
      <c r="R24" s="28"/>
      <c r="S24" s="28"/>
      <c r="T24" s="28"/>
      <c r="U24" s="28"/>
      <c r="V24" s="28"/>
      <c r="W24" s="28"/>
      <c r="X24" s="28"/>
    </row>
    <row r="25" spans="1:24" s="130" customFormat="1" ht="12.75">
      <c r="A25" s="197" t="s">
        <v>247</v>
      </c>
      <c r="B25" s="112">
        <v>412599</v>
      </c>
      <c r="C25" s="112">
        <v>259000</v>
      </c>
      <c r="D25" s="112">
        <f>71367+91357</f>
        <v>162724</v>
      </c>
      <c r="E25" s="69">
        <f t="shared" si="0"/>
        <v>0.3943877711773417</v>
      </c>
      <c r="F25" s="69">
        <f t="shared" si="1"/>
        <v>0.6282779922779923</v>
      </c>
      <c r="G25" s="112">
        <f>D25-'[5]Aprīlis'!D25</f>
        <v>51103</v>
      </c>
      <c r="H25" s="197" t="s">
        <v>247</v>
      </c>
      <c r="I25" s="112">
        <f>ROUND(B25/1000,0)</f>
        <v>413</v>
      </c>
      <c r="J25" s="112">
        <f t="shared" si="8"/>
        <v>259</v>
      </c>
      <c r="K25" s="112">
        <f t="shared" si="8"/>
        <v>163</v>
      </c>
      <c r="L25" s="176">
        <f t="shared" si="2"/>
        <v>0.3946731234866828</v>
      </c>
      <c r="M25" s="176">
        <f t="shared" si="3"/>
        <v>0.6293436293436293</v>
      </c>
      <c r="N25" s="112">
        <f>K25-'[5]Aprīlis'!K25</f>
        <v>51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</row>
    <row r="26" spans="1:24" s="130" customFormat="1" ht="14.25" customHeight="1">
      <c r="A26" s="198" t="s">
        <v>137</v>
      </c>
      <c r="B26" s="16">
        <f>SUM(B27:B28)</f>
        <v>4419091</v>
      </c>
      <c r="C26" s="16">
        <f>SUM(C27:C28)</f>
        <v>1550714</v>
      </c>
      <c r="D26" s="16">
        <f>SUM(D27:D28)</f>
        <v>1671573</v>
      </c>
      <c r="E26" s="55">
        <f t="shared" si="0"/>
        <v>0.3782617284866956</v>
      </c>
      <c r="F26" s="55">
        <f t="shared" si="1"/>
        <v>1.077937646787222</v>
      </c>
      <c r="G26" s="16">
        <f>SUM(G27:G28)</f>
        <v>375943</v>
      </c>
      <c r="H26" s="198" t="s">
        <v>137</v>
      </c>
      <c r="I26" s="131">
        <f>SUM(I27:I28)</f>
        <v>4419</v>
      </c>
      <c r="J26" s="131">
        <f>SUM(J27:J28)</f>
        <v>1551</v>
      </c>
      <c r="K26" s="131">
        <f>SUM(K27:K28)</f>
        <v>1671</v>
      </c>
      <c r="L26" s="175">
        <f t="shared" si="2"/>
        <v>0.3781398506449423</v>
      </c>
      <c r="M26" s="175">
        <f t="shared" si="3"/>
        <v>1.0773694390715667</v>
      </c>
      <c r="N26" s="131">
        <f>SUM(N27:N28)</f>
        <v>376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</row>
    <row r="27" spans="1:24" s="130" customFormat="1" ht="12.75">
      <c r="A27" s="197" t="s">
        <v>246</v>
      </c>
      <c r="B27" s="112">
        <v>4140751</v>
      </c>
      <c r="C27" s="112">
        <v>1467634</v>
      </c>
      <c r="D27" s="112">
        <f>1671573-80372</f>
        <v>1591201</v>
      </c>
      <c r="E27" s="69">
        <f t="shared" si="0"/>
        <v>0.38427835916721387</v>
      </c>
      <c r="F27" s="69">
        <f t="shared" si="1"/>
        <v>1.0841946970429956</v>
      </c>
      <c r="G27" s="112">
        <f>D27-'[5]Aprīlis'!D27</f>
        <v>328865</v>
      </c>
      <c r="H27" s="197" t="s">
        <v>246</v>
      </c>
      <c r="I27" s="112">
        <f aca="true" t="shared" si="9" ref="I27:K28">ROUND(B27/1000,0)</f>
        <v>4141</v>
      </c>
      <c r="J27" s="112">
        <f t="shared" si="9"/>
        <v>1468</v>
      </c>
      <c r="K27" s="112">
        <f t="shared" si="9"/>
        <v>1591</v>
      </c>
      <c r="L27" s="176">
        <f t="shared" si="2"/>
        <v>0.38420671335426226</v>
      </c>
      <c r="M27" s="176">
        <f t="shared" si="3"/>
        <v>1.0837874659400546</v>
      </c>
      <c r="N27" s="112">
        <f>K27-'[5]Aprīlis'!K27</f>
        <v>329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</row>
    <row r="28" spans="1:24" s="130" customFormat="1" ht="12.75">
      <c r="A28" s="197" t="s">
        <v>247</v>
      </c>
      <c r="B28" s="112">
        <v>278340</v>
      </c>
      <c r="C28" s="112">
        <v>83080</v>
      </c>
      <c r="D28" s="112">
        <f>18705+34797+26870</f>
        <v>80372</v>
      </c>
      <c r="E28" s="69">
        <f t="shared" si="0"/>
        <v>0.2887547603650212</v>
      </c>
      <c r="F28" s="69">
        <f t="shared" si="1"/>
        <v>0.9674049109292249</v>
      </c>
      <c r="G28" s="112">
        <f>D28-'[5]Aprīlis'!D28</f>
        <v>47078</v>
      </c>
      <c r="H28" s="197" t="s">
        <v>247</v>
      </c>
      <c r="I28" s="112">
        <f t="shared" si="9"/>
        <v>278</v>
      </c>
      <c r="J28" s="112">
        <f t="shared" si="9"/>
        <v>83</v>
      </c>
      <c r="K28" s="112">
        <f t="shared" si="9"/>
        <v>80</v>
      </c>
      <c r="L28" s="176">
        <f t="shared" si="2"/>
        <v>0.28776978417266186</v>
      </c>
      <c r="M28" s="176">
        <f t="shared" si="3"/>
        <v>0.963855421686747</v>
      </c>
      <c r="N28" s="112">
        <f>K28-'[5]Aprīlis'!K28</f>
        <v>47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</row>
    <row r="29" spans="1:24" s="130" customFormat="1" ht="14.25" customHeight="1">
      <c r="A29" s="198" t="s">
        <v>143</v>
      </c>
      <c r="B29" s="16">
        <f>SUM(B30:B31)</f>
        <v>105652273</v>
      </c>
      <c r="C29" s="16">
        <f>SUM(C30:C31)</f>
        <v>40416773</v>
      </c>
      <c r="D29" s="16">
        <f>SUM(D30:D31)</f>
        <v>32756003</v>
      </c>
      <c r="E29" s="55">
        <f t="shared" si="0"/>
        <v>0.31003595161648817</v>
      </c>
      <c r="F29" s="55">
        <f t="shared" si="1"/>
        <v>0.8104556739351754</v>
      </c>
      <c r="G29" s="16">
        <f>SUM(G30:G31)</f>
        <v>7981092</v>
      </c>
      <c r="H29" s="198" t="s">
        <v>143</v>
      </c>
      <c r="I29" s="131">
        <f>SUM(I30:I31)</f>
        <v>105652</v>
      </c>
      <c r="J29" s="131">
        <f>SUM(J30:J31)</f>
        <v>40417</v>
      </c>
      <c r="K29" s="131">
        <f>SUM(K30:K31)</f>
        <v>32756</v>
      </c>
      <c r="L29" s="175">
        <f t="shared" si="2"/>
        <v>0.310036724340287</v>
      </c>
      <c r="M29" s="175">
        <f t="shared" si="3"/>
        <v>0.8104510478264096</v>
      </c>
      <c r="N29" s="131">
        <f>SUM(N30:N31)</f>
        <v>7981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</row>
    <row r="30" spans="1:24" s="130" customFormat="1" ht="12.75">
      <c r="A30" s="197" t="s">
        <v>246</v>
      </c>
      <c r="B30" s="112">
        <v>92953898</v>
      </c>
      <c r="C30" s="112">
        <v>36119659</v>
      </c>
      <c r="D30" s="112">
        <f>32747274-3559851+8729</f>
        <v>29196152</v>
      </c>
      <c r="E30" s="69">
        <f t="shared" si="0"/>
        <v>0.31409282050764564</v>
      </c>
      <c r="F30" s="69">
        <f t="shared" si="1"/>
        <v>0.808317487161216</v>
      </c>
      <c r="G30" s="112">
        <f>D30-'[5]Aprīlis'!D30</f>
        <v>7112036</v>
      </c>
      <c r="H30" s="197" t="s">
        <v>246</v>
      </c>
      <c r="I30" s="112">
        <f aca="true" t="shared" si="10" ref="I30:K31">ROUND(B30/1000,0)</f>
        <v>92954</v>
      </c>
      <c r="J30" s="112">
        <f t="shared" si="10"/>
        <v>36120</v>
      </c>
      <c r="K30" s="112">
        <f t="shared" si="10"/>
        <v>29196</v>
      </c>
      <c r="L30" s="176">
        <f t="shared" si="2"/>
        <v>0.3140908406308497</v>
      </c>
      <c r="M30" s="176">
        <f t="shared" si="3"/>
        <v>0.8083056478405316</v>
      </c>
      <c r="N30" s="112">
        <f>K30-'[5]Aprīlis'!K30</f>
        <v>7112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s="130" customFormat="1" ht="12.75">
      <c r="A31" s="197" t="s">
        <v>247</v>
      </c>
      <c r="B31" s="112">
        <v>12698375</v>
      </c>
      <c r="C31" s="112">
        <v>4297114</v>
      </c>
      <c r="D31" s="112">
        <f>138510+29469+3391872</f>
        <v>3559851</v>
      </c>
      <c r="E31" s="69">
        <f t="shared" si="0"/>
        <v>0.2803390985066987</v>
      </c>
      <c r="F31" s="69">
        <f t="shared" si="1"/>
        <v>0.8284283358551809</v>
      </c>
      <c r="G31" s="112">
        <f>D31-'[5]Aprīlis'!D31</f>
        <v>869056</v>
      </c>
      <c r="H31" s="197" t="s">
        <v>247</v>
      </c>
      <c r="I31" s="112">
        <f t="shared" si="10"/>
        <v>12698</v>
      </c>
      <c r="J31" s="112">
        <f t="shared" si="10"/>
        <v>4297</v>
      </c>
      <c r="K31" s="112">
        <f t="shared" si="10"/>
        <v>3560</v>
      </c>
      <c r="L31" s="176">
        <f t="shared" si="2"/>
        <v>0.2803591116711293</v>
      </c>
      <c r="M31" s="176">
        <f t="shared" si="3"/>
        <v>0.8284849895275774</v>
      </c>
      <c r="N31" s="112">
        <f>K31-'[5]Aprīlis'!K31</f>
        <v>869</v>
      </c>
      <c r="O31" s="28"/>
      <c r="P31" s="28"/>
      <c r="Q31" s="28"/>
      <c r="R31" s="28"/>
      <c r="S31" s="28"/>
      <c r="T31" s="28"/>
      <c r="U31" s="28"/>
      <c r="V31" s="28"/>
      <c r="W31" s="28"/>
      <c r="X31" s="28"/>
    </row>
    <row r="32" spans="1:24" s="130" customFormat="1" ht="18" customHeight="1">
      <c r="A32" s="198" t="s">
        <v>253</v>
      </c>
      <c r="B32" s="16">
        <f>SUM(B33:B34)</f>
        <v>98512404</v>
      </c>
      <c r="C32" s="16">
        <f>SUM(C33:C34)</f>
        <v>39522483</v>
      </c>
      <c r="D32" s="16">
        <f>SUM(D33:D34)</f>
        <v>38032730</v>
      </c>
      <c r="E32" s="55">
        <f t="shared" si="0"/>
        <v>0.38607046885182095</v>
      </c>
      <c r="F32" s="55">
        <f t="shared" si="1"/>
        <v>0.9623061891126627</v>
      </c>
      <c r="G32" s="16">
        <f>SUM(G33:G34)</f>
        <v>8393293</v>
      </c>
      <c r="H32" s="198" t="s">
        <v>253</v>
      </c>
      <c r="I32" s="131">
        <f>SUM(I33:I34)</f>
        <v>98513</v>
      </c>
      <c r="J32" s="131">
        <f>SUM(J33:J34)</f>
        <v>39522</v>
      </c>
      <c r="K32" s="131">
        <f>SUM(K33:K34)</f>
        <v>38033</v>
      </c>
      <c r="L32" s="175">
        <f t="shared" si="2"/>
        <v>0.3860708738948159</v>
      </c>
      <c r="M32" s="175">
        <f t="shared" si="3"/>
        <v>0.962324781134558</v>
      </c>
      <c r="N32" s="131">
        <f>SUM(N33:N34)</f>
        <v>8394</v>
      </c>
      <c r="O32" s="28"/>
      <c r="P32" s="28"/>
      <c r="Q32" s="28"/>
      <c r="R32" s="28"/>
      <c r="S32" s="28"/>
      <c r="T32" s="28"/>
      <c r="U32" s="28"/>
      <c r="V32" s="28"/>
      <c r="W32" s="28"/>
      <c r="X32" s="28"/>
    </row>
    <row r="33" spans="1:24" s="130" customFormat="1" ht="12.75">
      <c r="A33" s="197" t="s">
        <v>246</v>
      </c>
      <c r="B33" s="112">
        <v>83945620</v>
      </c>
      <c r="C33" s="112">
        <v>35684420</v>
      </c>
      <c r="D33" s="112">
        <f>38032730-3380043</f>
        <v>34652687</v>
      </c>
      <c r="E33" s="69">
        <f t="shared" si="0"/>
        <v>0.41279922645160044</v>
      </c>
      <c r="F33" s="69">
        <f t="shared" si="1"/>
        <v>0.9710872980421147</v>
      </c>
      <c r="G33" s="112">
        <f>D33-'[5]Aprīlis'!D33</f>
        <v>6891417</v>
      </c>
      <c r="H33" s="197" t="s">
        <v>246</v>
      </c>
      <c r="I33" s="112">
        <f aca="true" t="shared" si="11" ref="I33:K34">ROUND(B33/1000,0)</f>
        <v>83946</v>
      </c>
      <c r="J33" s="112">
        <f t="shared" si="11"/>
        <v>35684</v>
      </c>
      <c r="K33" s="112">
        <f t="shared" si="11"/>
        <v>34653</v>
      </c>
      <c r="L33" s="176">
        <f t="shared" si="2"/>
        <v>0.41280108641269386</v>
      </c>
      <c r="M33" s="176">
        <f t="shared" si="3"/>
        <v>0.9711074991592871</v>
      </c>
      <c r="N33" s="112">
        <f>K33-'[5]Aprīlis'!K33</f>
        <v>6892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s="130" customFormat="1" ht="12.75">
      <c r="A34" s="197" t="s">
        <v>247</v>
      </c>
      <c r="B34" s="112">
        <v>14566784</v>
      </c>
      <c r="C34" s="112">
        <v>3838063</v>
      </c>
      <c r="D34" s="112">
        <f>341875+24407+136192+8736+2868833</f>
        <v>3380043</v>
      </c>
      <c r="E34" s="69">
        <f t="shared" si="0"/>
        <v>0.23203769617233289</v>
      </c>
      <c r="F34" s="69">
        <f t="shared" si="1"/>
        <v>0.880663761902814</v>
      </c>
      <c r="G34" s="112">
        <f>D34-'[5]Aprīlis'!D34</f>
        <v>1501876</v>
      </c>
      <c r="H34" s="197" t="s">
        <v>247</v>
      </c>
      <c r="I34" s="112">
        <f t="shared" si="11"/>
        <v>14567</v>
      </c>
      <c r="J34" s="112">
        <f t="shared" si="11"/>
        <v>3838</v>
      </c>
      <c r="K34" s="112">
        <f>ROUND(D34/1000,0)</f>
        <v>3380</v>
      </c>
      <c r="L34" s="176">
        <f t="shared" si="2"/>
        <v>0.23203130363149585</v>
      </c>
      <c r="M34" s="176">
        <f t="shared" si="3"/>
        <v>0.8806670140698281</v>
      </c>
      <c r="N34" s="112">
        <f>K34-'[5]Aprīlis'!K34</f>
        <v>1502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s="130" customFormat="1" ht="12.75" customHeight="1">
      <c r="A35" s="127" t="s">
        <v>153</v>
      </c>
      <c r="B35" s="16">
        <f>SUM(B36:B37)</f>
        <v>63958464</v>
      </c>
      <c r="C35" s="16">
        <f>SUM(C36:C37)</f>
        <v>26641660</v>
      </c>
      <c r="D35" s="16">
        <f>SUM(D36:D37)</f>
        <v>22939890</v>
      </c>
      <c r="E35" s="55">
        <f t="shared" si="0"/>
        <v>0.3586685571435862</v>
      </c>
      <c r="F35" s="55">
        <f t="shared" si="1"/>
        <v>0.8610533277581052</v>
      </c>
      <c r="G35" s="16">
        <f>SUM(G36:G37)</f>
        <v>4709437</v>
      </c>
      <c r="H35" s="127" t="s">
        <v>153</v>
      </c>
      <c r="I35" s="131">
        <f>SUM(I36:I37)</f>
        <v>63959</v>
      </c>
      <c r="J35" s="131">
        <f>SUM(J36:J37)</f>
        <v>26642</v>
      </c>
      <c r="K35" s="131">
        <f>SUM(K36:K37)</f>
        <v>22940</v>
      </c>
      <c r="L35" s="175">
        <f t="shared" si="2"/>
        <v>0.3586672712206257</v>
      </c>
      <c r="M35" s="175">
        <f t="shared" si="3"/>
        <v>0.8610464679828842</v>
      </c>
      <c r="N35" s="131">
        <f>SUM(N36:N37)</f>
        <v>4709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s="130" customFormat="1" ht="14.25" customHeight="1">
      <c r="A36" s="197" t="s">
        <v>246</v>
      </c>
      <c r="B36" s="112">
        <v>59036008</v>
      </c>
      <c r="C36" s="112">
        <v>25077489</v>
      </c>
      <c r="D36" s="112">
        <f>22922595-785864+17295</f>
        <v>22154026</v>
      </c>
      <c r="E36" s="69">
        <f t="shared" si="0"/>
        <v>0.37526294122055137</v>
      </c>
      <c r="F36" s="69">
        <f t="shared" si="1"/>
        <v>0.8834228179703318</v>
      </c>
      <c r="G36" s="112">
        <f>D36-'[5]Aprīlis'!D36</f>
        <v>4431409</v>
      </c>
      <c r="H36" s="197" t="s">
        <v>246</v>
      </c>
      <c r="I36" s="112">
        <f aca="true" t="shared" si="12" ref="I36:K37">ROUND(B36/1000,0)</f>
        <v>59036</v>
      </c>
      <c r="J36" s="112">
        <f>ROUND(C36/1000,0)+1</f>
        <v>25078</v>
      </c>
      <c r="K36" s="112">
        <f t="shared" si="12"/>
        <v>22154</v>
      </c>
      <c r="L36" s="176">
        <f t="shared" si="2"/>
        <v>0.37526255166339184</v>
      </c>
      <c r="M36" s="176">
        <f t="shared" si="3"/>
        <v>0.883403780205758</v>
      </c>
      <c r="N36" s="112">
        <f>K36-'[5]Aprīlis'!K36</f>
        <v>4431</v>
      </c>
      <c r="O36" s="28"/>
      <c r="P36" s="28"/>
      <c r="Q36" s="28"/>
      <c r="R36" s="28"/>
      <c r="S36" s="28"/>
      <c r="T36" s="28"/>
      <c r="U36" s="28"/>
      <c r="V36" s="28"/>
      <c r="W36" s="28"/>
      <c r="X36" s="28"/>
    </row>
    <row r="37" spans="1:24" s="130" customFormat="1" ht="12.75" customHeight="1">
      <c r="A37" s="197" t="s">
        <v>247</v>
      </c>
      <c r="B37" s="112">
        <v>4922456</v>
      </c>
      <c r="C37" s="112">
        <v>1564171</v>
      </c>
      <c r="D37" s="112">
        <f>468563+45603+271698</f>
        <v>785864</v>
      </c>
      <c r="E37" s="69">
        <f t="shared" si="0"/>
        <v>0.15964876069994327</v>
      </c>
      <c r="F37" s="69">
        <f t="shared" si="1"/>
        <v>0.5024156566002055</v>
      </c>
      <c r="G37" s="112">
        <f>D37-'[5]Aprīlis'!D37</f>
        <v>278028</v>
      </c>
      <c r="H37" s="197" t="s">
        <v>247</v>
      </c>
      <c r="I37" s="112">
        <f>ROUND(B37/1000,0)+1</f>
        <v>4923</v>
      </c>
      <c r="J37" s="112">
        <f t="shared" si="12"/>
        <v>1564</v>
      </c>
      <c r="K37" s="112">
        <f t="shared" si="12"/>
        <v>786</v>
      </c>
      <c r="L37" s="176">
        <f t="shared" si="2"/>
        <v>0.15965874466788543</v>
      </c>
      <c r="M37" s="176">
        <f t="shared" si="3"/>
        <v>0.5025575447570333</v>
      </c>
      <c r="N37" s="112">
        <f>K37-'[5]Aprīlis'!K37</f>
        <v>278</v>
      </c>
      <c r="O37" s="28"/>
      <c r="P37" s="28"/>
      <c r="Q37" s="28"/>
      <c r="R37" s="28"/>
      <c r="S37" s="28"/>
      <c r="T37" s="28"/>
      <c r="U37" s="28"/>
      <c r="V37" s="28"/>
      <c r="W37" s="28"/>
      <c r="X37" s="28"/>
    </row>
    <row r="38" spans="1:24" ht="15" customHeight="1">
      <c r="A38" s="198" t="s">
        <v>158</v>
      </c>
      <c r="B38" s="16">
        <f>SUM(B39:B40)</f>
        <v>48564873</v>
      </c>
      <c r="C38" s="16">
        <f>SUM(C39:C40)</f>
        <v>19437611</v>
      </c>
      <c r="D38" s="16">
        <f>SUM(D39:D40)</f>
        <v>17709382</v>
      </c>
      <c r="E38" s="55">
        <f t="shared" si="0"/>
        <v>0.3646541400406833</v>
      </c>
      <c r="F38" s="55">
        <f t="shared" si="1"/>
        <v>0.9110884048456367</v>
      </c>
      <c r="G38" s="16">
        <f>SUM(G39:G40)</f>
        <v>3792144</v>
      </c>
      <c r="H38" s="198" t="s">
        <v>158</v>
      </c>
      <c r="I38" s="131">
        <f>SUM(I39:I40)</f>
        <v>48565</v>
      </c>
      <c r="J38" s="131">
        <f>SUM(J39:J40)</f>
        <v>19437</v>
      </c>
      <c r="K38" s="131">
        <f>SUM(K39:K40)</f>
        <v>17710</v>
      </c>
      <c r="L38" s="175">
        <f t="shared" si="2"/>
        <v>0.3646659116647792</v>
      </c>
      <c r="M38" s="175">
        <f t="shared" si="3"/>
        <v>0.9111488398415394</v>
      </c>
      <c r="N38" s="131">
        <f>SUM(N39:N40)</f>
        <v>3793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97" t="s">
        <v>246</v>
      </c>
      <c r="B39" s="112">
        <v>45158922</v>
      </c>
      <c r="C39" s="112">
        <v>18087348</v>
      </c>
      <c r="D39" s="112">
        <f>17709382-1140663</f>
        <v>16568719</v>
      </c>
      <c r="E39" s="69">
        <f t="shared" si="0"/>
        <v>0.3668980185133737</v>
      </c>
      <c r="F39" s="69">
        <f t="shared" si="1"/>
        <v>0.9160391562101863</v>
      </c>
      <c r="G39" s="112">
        <f>D39-'[5]Aprīlis'!D39</f>
        <v>3349125</v>
      </c>
      <c r="H39" s="197" t="s">
        <v>246</v>
      </c>
      <c r="I39" s="112">
        <f aca="true" t="shared" si="13" ref="I39:K40">ROUND(B39/1000,0)</f>
        <v>45159</v>
      </c>
      <c r="J39" s="112">
        <f t="shared" si="13"/>
        <v>18087</v>
      </c>
      <c r="K39" s="112">
        <f t="shared" si="13"/>
        <v>16569</v>
      </c>
      <c r="L39" s="176">
        <f t="shared" si="2"/>
        <v>0.3669036072543679</v>
      </c>
      <c r="M39" s="176">
        <f t="shared" si="3"/>
        <v>0.9160723171338531</v>
      </c>
      <c r="N39" s="112">
        <f>K39-'[5]Aprīlis'!K39</f>
        <v>3350</v>
      </c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97" t="s">
        <v>247</v>
      </c>
      <c r="B40" s="112">
        <v>3405951</v>
      </c>
      <c r="C40" s="112">
        <v>1350263</v>
      </c>
      <c r="D40" s="112">
        <f>344527+100+109247+686789</f>
        <v>1140663</v>
      </c>
      <c r="E40" s="69">
        <f t="shared" si="0"/>
        <v>0.33490293900293927</v>
      </c>
      <c r="F40" s="69">
        <f t="shared" si="1"/>
        <v>0.8447709816532039</v>
      </c>
      <c r="G40" s="112">
        <f>D40-'[5]Aprīlis'!D40</f>
        <v>443019</v>
      </c>
      <c r="H40" s="197" t="s">
        <v>247</v>
      </c>
      <c r="I40" s="112">
        <f t="shared" si="13"/>
        <v>3406</v>
      </c>
      <c r="J40" s="112">
        <f t="shared" si="13"/>
        <v>1350</v>
      </c>
      <c r="K40" s="112">
        <f t="shared" si="13"/>
        <v>1141</v>
      </c>
      <c r="L40" s="176">
        <f t="shared" si="2"/>
        <v>0.3349970640046976</v>
      </c>
      <c r="M40" s="176">
        <f t="shared" si="3"/>
        <v>0.8451851851851852</v>
      </c>
      <c r="N40" s="112">
        <f>K40-'[5]Aprīlis'!K40</f>
        <v>443</v>
      </c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customHeight="1">
      <c r="A41" s="198" t="s">
        <v>164</v>
      </c>
      <c r="B41" s="16">
        <f>SUM(B42:B43)</f>
        <v>8419312</v>
      </c>
      <c r="C41" s="16">
        <f>SUM(C42:C43)</f>
        <v>3190114</v>
      </c>
      <c r="D41" s="16">
        <f>SUM(D42:D43)</f>
        <v>2956109</v>
      </c>
      <c r="E41" s="55">
        <f t="shared" si="0"/>
        <v>0.3511105182941314</v>
      </c>
      <c r="F41" s="55">
        <f t="shared" si="1"/>
        <v>0.926646822025796</v>
      </c>
      <c r="G41" s="16">
        <f>SUM(G42:G43)</f>
        <v>972408</v>
      </c>
      <c r="H41" s="198" t="s">
        <v>164</v>
      </c>
      <c r="I41" s="131">
        <f>SUM(I42:I43)</f>
        <v>8419</v>
      </c>
      <c r="J41" s="131">
        <f>SUM(J42:J43)</f>
        <v>3190</v>
      </c>
      <c r="K41" s="131">
        <f>SUM(K42:K43)</f>
        <v>2956</v>
      </c>
      <c r="L41" s="175">
        <f t="shared" si="2"/>
        <v>0.35111058320465616</v>
      </c>
      <c r="M41" s="175">
        <f t="shared" si="3"/>
        <v>0.9266457680250784</v>
      </c>
      <c r="N41" s="131">
        <f>SUM(N42:N43)</f>
        <v>972</v>
      </c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97" t="s">
        <v>246</v>
      </c>
      <c r="B42" s="112">
        <v>5038312</v>
      </c>
      <c r="C42" s="112">
        <v>2161078</v>
      </c>
      <c r="D42" s="112">
        <f>2956109-876171-6534</f>
        <v>2073404</v>
      </c>
      <c r="E42" s="69">
        <f t="shared" si="0"/>
        <v>0.4115275115951533</v>
      </c>
      <c r="F42" s="69">
        <f t="shared" si="1"/>
        <v>0.9594304324045685</v>
      </c>
      <c r="G42" s="112">
        <f>D42-'[5]Aprīlis'!D42</f>
        <v>617582</v>
      </c>
      <c r="H42" s="197" t="s">
        <v>246</v>
      </c>
      <c r="I42" s="112">
        <f>ROUND(B42/1000,0)</f>
        <v>5038</v>
      </c>
      <c r="J42" s="112">
        <f aca="true" t="shared" si="14" ref="I42:K43">ROUND(C42/1000,0)</f>
        <v>2161</v>
      </c>
      <c r="K42" s="112">
        <f t="shared" si="14"/>
        <v>2073</v>
      </c>
      <c r="L42" s="176">
        <f t="shared" si="2"/>
        <v>0.41147280666931324</v>
      </c>
      <c r="M42" s="176">
        <f t="shared" si="3"/>
        <v>0.9592781119851921</v>
      </c>
      <c r="N42" s="112">
        <f>K42-'[5]Aprīlis'!K42</f>
        <v>617</v>
      </c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97" t="s">
        <v>247</v>
      </c>
      <c r="B43" s="112">
        <v>3381000</v>
      </c>
      <c r="C43" s="112">
        <v>1029036</v>
      </c>
      <c r="D43" s="112">
        <f>6534+876171</f>
        <v>882705</v>
      </c>
      <c r="E43" s="69">
        <f t="shared" si="0"/>
        <v>0.26107808340727595</v>
      </c>
      <c r="F43" s="69">
        <f t="shared" si="1"/>
        <v>0.8577979779133091</v>
      </c>
      <c r="G43" s="112">
        <f>D43-'[5]Aprīlis'!D43</f>
        <v>354826</v>
      </c>
      <c r="H43" s="197" t="s">
        <v>247</v>
      </c>
      <c r="I43" s="112">
        <f t="shared" si="14"/>
        <v>3381</v>
      </c>
      <c r="J43" s="112">
        <f t="shared" si="14"/>
        <v>1029</v>
      </c>
      <c r="K43" s="112">
        <f t="shared" si="14"/>
        <v>883</v>
      </c>
      <c r="L43" s="176">
        <f t="shared" si="2"/>
        <v>0.2611653356994972</v>
      </c>
      <c r="M43" s="176">
        <f t="shared" si="3"/>
        <v>0.858114674441205</v>
      </c>
      <c r="N43" s="112">
        <f>K43-'[5]Aprīlis'!K43</f>
        <v>355</v>
      </c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>
      <c r="A44" s="198" t="s">
        <v>176</v>
      </c>
      <c r="B44" s="16">
        <f>SUM(B45:B46)</f>
        <v>162977723</v>
      </c>
      <c r="C44" s="16">
        <f>SUM(C45:C46)</f>
        <v>64912085</v>
      </c>
      <c r="D44" s="16">
        <f>SUM(D45:D46)</f>
        <v>71793487</v>
      </c>
      <c r="E44" s="55">
        <f t="shared" si="0"/>
        <v>0.44051104456772905</v>
      </c>
      <c r="F44" s="55">
        <f t="shared" si="1"/>
        <v>1.1060111071767298</v>
      </c>
      <c r="G44" s="16">
        <f>SUM(G45:G46)</f>
        <v>14292189</v>
      </c>
      <c r="H44" s="198" t="s">
        <v>176</v>
      </c>
      <c r="I44" s="131">
        <f>SUM(I45:I46)</f>
        <v>162977</v>
      </c>
      <c r="J44" s="131">
        <f>SUM(J45:J46)</f>
        <v>64912</v>
      </c>
      <c r="K44" s="131">
        <f>SUM(K45:K46)</f>
        <v>71793</v>
      </c>
      <c r="L44" s="175">
        <f t="shared" si="2"/>
        <v>0.44051001061499473</v>
      </c>
      <c r="M44" s="175">
        <f t="shared" si="3"/>
        <v>1.1060050529948238</v>
      </c>
      <c r="N44" s="131">
        <f>SUM(N45:N46)</f>
        <v>14292</v>
      </c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97" t="s">
        <v>246</v>
      </c>
      <c r="B45" s="112">
        <v>158099256</v>
      </c>
      <c r="C45" s="112">
        <v>63178297</v>
      </c>
      <c r="D45" s="112">
        <f>71793487-1345199</f>
        <v>70448288</v>
      </c>
      <c r="E45" s="69">
        <f t="shared" si="0"/>
        <v>0.44559531640047695</v>
      </c>
      <c r="F45" s="69">
        <f t="shared" si="1"/>
        <v>1.115071018770892</v>
      </c>
      <c r="G45" s="112">
        <f>D45-'[5]Aprīlis'!D45</f>
        <v>13664015</v>
      </c>
      <c r="H45" s="197" t="s">
        <v>246</v>
      </c>
      <c r="I45" s="112">
        <f aca="true" t="shared" si="15" ref="I45:K46">ROUND(B45/1000,0)</f>
        <v>158099</v>
      </c>
      <c r="J45" s="112">
        <f t="shared" si="15"/>
        <v>63178</v>
      </c>
      <c r="K45" s="112">
        <f t="shared" si="15"/>
        <v>70448</v>
      </c>
      <c r="L45" s="176">
        <f t="shared" si="2"/>
        <v>0.4455942162822029</v>
      </c>
      <c r="M45" s="176">
        <f t="shared" si="3"/>
        <v>1.1150717021748078</v>
      </c>
      <c r="N45" s="112">
        <f>K45-'[5]Aprīlis'!K45</f>
        <v>13664</v>
      </c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97" t="s">
        <v>247</v>
      </c>
      <c r="B46" s="112">
        <v>4878467</v>
      </c>
      <c r="C46" s="112">
        <v>1733788</v>
      </c>
      <c r="D46" s="112">
        <f>269835+854+128419+29834+916257</f>
        <v>1345199</v>
      </c>
      <c r="E46" s="69">
        <f t="shared" si="0"/>
        <v>0.2757421542464057</v>
      </c>
      <c r="F46" s="69">
        <f t="shared" si="1"/>
        <v>0.7758728287426144</v>
      </c>
      <c r="G46" s="112">
        <f>D46-'[5]Aprīlis'!D46</f>
        <v>628174</v>
      </c>
      <c r="H46" s="197" t="s">
        <v>247</v>
      </c>
      <c r="I46" s="112">
        <f t="shared" si="15"/>
        <v>4878</v>
      </c>
      <c r="J46" s="112">
        <f t="shared" si="15"/>
        <v>1734</v>
      </c>
      <c r="K46" s="112">
        <f t="shared" si="15"/>
        <v>1345</v>
      </c>
      <c r="L46" s="176">
        <f t="shared" si="2"/>
        <v>0.27572775727757276</v>
      </c>
      <c r="M46" s="176">
        <f t="shared" si="3"/>
        <v>0.7756632064590542</v>
      </c>
      <c r="N46" s="112">
        <f>K46-'[5]Aprīlis'!K46</f>
        <v>628</v>
      </c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198" t="s">
        <v>254</v>
      </c>
      <c r="B47" s="16">
        <f>SUM(B48:B49)</f>
        <v>13496058</v>
      </c>
      <c r="C47" s="16">
        <f>SUM(C48:C49)</f>
        <v>5370139</v>
      </c>
      <c r="D47" s="16">
        <f>SUM(D48:D49)</f>
        <v>4888567</v>
      </c>
      <c r="E47" s="55">
        <f t="shared" si="0"/>
        <v>0.3622218428521869</v>
      </c>
      <c r="F47" s="55">
        <f t="shared" si="1"/>
        <v>0.910324108929024</v>
      </c>
      <c r="G47" s="16">
        <f>SUM(G48:G49)</f>
        <v>1175925</v>
      </c>
      <c r="H47" s="198" t="s">
        <v>254</v>
      </c>
      <c r="I47" s="131">
        <f>SUM(I48:I49)</f>
        <v>13496</v>
      </c>
      <c r="J47" s="131">
        <f>SUM(J48:J49)</f>
        <v>5370</v>
      </c>
      <c r="K47" s="131">
        <f>SUM(K48:K49)</f>
        <v>4889</v>
      </c>
      <c r="L47" s="175">
        <f t="shared" si="2"/>
        <v>0.3622554831061055</v>
      </c>
      <c r="M47" s="175">
        <f t="shared" si="3"/>
        <v>0.9104283054003725</v>
      </c>
      <c r="N47" s="131">
        <f>SUM(N48:N49)</f>
        <v>1176</v>
      </c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97" t="s">
        <v>246</v>
      </c>
      <c r="B48" s="112">
        <v>12344655</v>
      </c>
      <c r="C48" s="112">
        <v>5045510</v>
      </c>
      <c r="D48" s="112">
        <f>4867388-267998+21179</f>
        <v>4620569</v>
      </c>
      <c r="E48" s="69">
        <f t="shared" si="0"/>
        <v>0.37429713507586887</v>
      </c>
      <c r="F48" s="69">
        <f t="shared" si="1"/>
        <v>0.9157783851384697</v>
      </c>
      <c r="G48" s="112">
        <f>D48-'[5]Aprīlis'!D48</f>
        <v>984708</v>
      </c>
      <c r="H48" s="197" t="s">
        <v>246</v>
      </c>
      <c r="I48" s="112">
        <f aca="true" t="shared" si="16" ref="I48:K49">ROUND(B48/1000,0)</f>
        <v>12345</v>
      </c>
      <c r="J48" s="112">
        <f>ROUND(C48/1000,0)-1</f>
        <v>5045</v>
      </c>
      <c r="K48" s="112">
        <f t="shared" si="16"/>
        <v>4621</v>
      </c>
      <c r="L48" s="176">
        <f t="shared" si="2"/>
        <v>0.3743215876873228</v>
      </c>
      <c r="M48" s="176">
        <f t="shared" si="3"/>
        <v>0.9159563924677899</v>
      </c>
      <c r="N48" s="112">
        <f>K48-'[5]Aprīlis'!K48</f>
        <v>985</v>
      </c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6.5" customHeight="1">
      <c r="A49" s="197" t="s">
        <v>247</v>
      </c>
      <c r="B49" s="112">
        <v>1151403</v>
      </c>
      <c r="C49" s="112">
        <v>324629</v>
      </c>
      <c r="D49" s="112">
        <f>106535+15000+2923+143540</f>
        <v>267998</v>
      </c>
      <c r="E49" s="69">
        <f t="shared" si="0"/>
        <v>0.23275777464536743</v>
      </c>
      <c r="F49" s="69">
        <f t="shared" si="1"/>
        <v>0.8255516297065265</v>
      </c>
      <c r="G49" s="112">
        <f>D49-'[5]Aprīlis'!D49</f>
        <v>191217</v>
      </c>
      <c r="H49" s="197" t="s">
        <v>247</v>
      </c>
      <c r="I49" s="112">
        <f t="shared" si="16"/>
        <v>1151</v>
      </c>
      <c r="J49" s="112">
        <f t="shared" si="16"/>
        <v>325</v>
      </c>
      <c r="K49" s="112">
        <f t="shared" si="16"/>
        <v>268</v>
      </c>
      <c r="L49" s="176">
        <f t="shared" si="2"/>
        <v>0.23284100781928757</v>
      </c>
      <c r="M49" s="176">
        <f t="shared" si="3"/>
        <v>0.8246153846153846</v>
      </c>
      <c r="N49" s="112">
        <f>K49-'[5]Aprīlis'!K49</f>
        <v>191</v>
      </c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69.75" customHeight="1">
      <c r="A50" s="12" t="s">
        <v>7</v>
      </c>
      <c r="B50" s="12" t="s">
        <v>9</v>
      </c>
      <c r="C50" s="12" t="s">
        <v>240</v>
      </c>
      <c r="D50" s="12" t="s">
        <v>10</v>
      </c>
      <c r="E50" s="12" t="s">
        <v>241</v>
      </c>
      <c r="F50" s="12" t="s">
        <v>242</v>
      </c>
      <c r="G50" s="12" t="s">
        <v>129</v>
      </c>
      <c r="H50" s="12" t="s">
        <v>7</v>
      </c>
      <c r="I50" s="12" t="s">
        <v>9</v>
      </c>
      <c r="J50" s="12" t="s">
        <v>240</v>
      </c>
      <c r="K50" s="12" t="s">
        <v>10</v>
      </c>
      <c r="L50" s="12" t="s">
        <v>241</v>
      </c>
      <c r="M50" s="12" t="s">
        <v>242</v>
      </c>
      <c r="N50" s="12" t="s">
        <v>96</v>
      </c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2">
        <v>1</v>
      </c>
      <c r="B51" s="12">
        <v>2</v>
      </c>
      <c r="C51" s="12">
        <v>3</v>
      </c>
      <c r="D51" s="12">
        <v>4</v>
      </c>
      <c r="E51" s="12">
        <v>5</v>
      </c>
      <c r="F51" s="12">
        <v>6</v>
      </c>
      <c r="G51" s="147">
        <v>7</v>
      </c>
      <c r="H51" s="12">
        <v>1</v>
      </c>
      <c r="I51" s="12">
        <v>2</v>
      </c>
      <c r="J51" s="12">
        <v>3</v>
      </c>
      <c r="K51" s="12">
        <v>4</v>
      </c>
      <c r="L51" s="12">
        <v>5</v>
      </c>
      <c r="M51" s="12">
        <v>6</v>
      </c>
      <c r="N51" s="147">
        <v>7</v>
      </c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29.25" customHeight="1">
      <c r="A52" s="127" t="s">
        <v>191</v>
      </c>
      <c r="B52" s="16">
        <f>SUM(B53:B54)</f>
        <v>8329939</v>
      </c>
      <c r="C52" s="16">
        <f>SUM(C53:C54)</f>
        <v>3601898</v>
      </c>
      <c r="D52" s="16">
        <f>SUM(D53:D54)</f>
        <v>3021432</v>
      </c>
      <c r="E52" s="55">
        <f t="shared" si="0"/>
        <v>0.3627195829405233</v>
      </c>
      <c r="F52" s="55">
        <f t="shared" si="1"/>
        <v>0.8388444092531215</v>
      </c>
      <c r="G52" s="16">
        <f>SUM(G53:G54)</f>
        <v>755533</v>
      </c>
      <c r="H52" s="127" t="s">
        <v>191</v>
      </c>
      <c r="I52" s="131">
        <f>SUM(I53:I54)</f>
        <v>8330</v>
      </c>
      <c r="J52" s="131">
        <f>SUM(J53:J54)</f>
        <v>3602</v>
      </c>
      <c r="K52" s="131">
        <f>SUM(K53:K54)</f>
        <v>3022</v>
      </c>
      <c r="L52" s="175">
        <f aca="true" t="shared" si="17" ref="L52:L92">IF(ISERROR(ROUND(K52,0)/ROUND(I52,0))," ",(ROUND(K52,)/ROUND(I52,)))</f>
        <v>0.36278511404561825</v>
      </c>
      <c r="M52" s="175">
        <f aca="true" t="shared" si="18" ref="M52:M92">IF(ISERROR(ROUND(K52,0)/ROUND(J52,0))," ",(ROUND(K52,)/ROUND(J52,)))</f>
        <v>0.8389783453636869</v>
      </c>
      <c r="N52" s="131">
        <f>SUM(N53:N54)</f>
        <v>756</v>
      </c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97" t="s">
        <v>246</v>
      </c>
      <c r="B53" s="112">
        <v>7032019</v>
      </c>
      <c r="C53" s="112">
        <v>2909052</v>
      </c>
      <c r="D53" s="112">
        <f>3021432-565576</f>
        <v>2455856</v>
      </c>
      <c r="E53" s="55">
        <f t="shared" si="0"/>
        <v>0.34923910188524804</v>
      </c>
      <c r="F53" s="55">
        <f t="shared" si="1"/>
        <v>0.8442117913327091</v>
      </c>
      <c r="G53" s="112">
        <f>D53-'[5]Aprīlis'!D53</f>
        <v>563040</v>
      </c>
      <c r="H53" s="197" t="s">
        <v>246</v>
      </c>
      <c r="I53" s="112">
        <f aca="true" t="shared" si="19" ref="I53:K54">ROUND(B53/1000,0)</f>
        <v>7032</v>
      </c>
      <c r="J53" s="112">
        <f>ROUND(C53/1000,0)</f>
        <v>2909</v>
      </c>
      <c r="K53" s="112">
        <f>ROUND(D53/1000,0)</f>
        <v>2456</v>
      </c>
      <c r="L53" s="176">
        <f t="shared" si="17"/>
        <v>0.3492605233219568</v>
      </c>
      <c r="M53" s="176">
        <f t="shared" si="18"/>
        <v>0.8442763836369886</v>
      </c>
      <c r="N53" s="112">
        <f>K53-'[5]Aprīlis'!K53</f>
        <v>563</v>
      </c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customHeight="1">
      <c r="A54" s="84" t="s">
        <v>247</v>
      </c>
      <c r="B54" s="112">
        <v>1297920</v>
      </c>
      <c r="C54" s="112">
        <v>692846</v>
      </c>
      <c r="D54" s="112">
        <f>80489+485087</f>
        <v>565576</v>
      </c>
      <c r="E54" s="55">
        <f t="shared" si="0"/>
        <v>0.4357556706114398</v>
      </c>
      <c r="F54" s="55">
        <f t="shared" si="1"/>
        <v>0.8163083859905376</v>
      </c>
      <c r="G54" s="112">
        <f>D54-'[5]Aprīlis'!D54</f>
        <v>192493</v>
      </c>
      <c r="H54" s="84" t="s">
        <v>247</v>
      </c>
      <c r="I54" s="112">
        <f t="shared" si="19"/>
        <v>1298</v>
      </c>
      <c r="J54" s="112">
        <f t="shared" si="19"/>
        <v>693</v>
      </c>
      <c r="K54" s="112">
        <f t="shared" si="19"/>
        <v>566</v>
      </c>
      <c r="L54" s="176">
        <f t="shared" si="17"/>
        <v>0.43605546995377503</v>
      </c>
      <c r="M54" s="176">
        <f t="shared" si="18"/>
        <v>0.8167388167388168</v>
      </c>
      <c r="N54" s="112">
        <f>K54-'[5]Aprīlis'!K54</f>
        <v>193</v>
      </c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3.5" customHeight="1">
      <c r="A55" s="198" t="s">
        <v>196</v>
      </c>
      <c r="B55" s="16">
        <f>SUM(B56:B57)</f>
        <v>17001479</v>
      </c>
      <c r="C55" s="16">
        <f>SUM(C56:C57)</f>
        <v>6639609</v>
      </c>
      <c r="D55" s="16">
        <f>SUM(D56:D57)</f>
        <v>6211241</v>
      </c>
      <c r="E55" s="55">
        <f t="shared" si="0"/>
        <v>0.36533533347304664</v>
      </c>
      <c r="F55" s="55">
        <f t="shared" si="1"/>
        <v>0.9354829478663578</v>
      </c>
      <c r="G55" s="16">
        <f>SUM(G56:G57)</f>
        <v>1604417</v>
      </c>
      <c r="H55" s="198" t="s">
        <v>196</v>
      </c>
      <c r="I55" s="131">
        <f>SUM(I56:I57)</f>
        <v>17002</v>
      </c>
      <c r="J55" s="131">
        <f>SUM(J56:J57)</f>
        <v>6640</v>
      </c>
      <c r="K55" s="131">
        <f>SUM(K56:K57)</f>
        <v>6211</v>
      </c>
      <c r="L55" s="175">
        <f t="shared" si="17"/>
        <v>0.36530996353370193</v>
      </c>
      <c r="M55" s="175">
        <f t="shared" si="18"/>
        <v>0.9353915662650603</v>
      </c>
      <c r="N55" s="131">
        <f>SUM(N56:N57)</f>
        <v>1604</v>
      </c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97" t="s">
        <v>246</v>
      </c>
      <c r="B56" s="112">
        <v>14652729</v>
      </c>
      <c r="C56" s="112">
        <v>5835043</v>
      </c>
      <c r="D56" s="112">
        <f>6211052-700456+189</f>
        <v>5510785</v>
      </c>
      <c r="E56" s="69">
        <f t="shared" si="0"/>
        <v>0.3760927401305245</v>
      </c>
      <c r="F56" s="69">
        <f t="shared" si="1"/>
        <v>0.9444292012929467</v>
      </c>
      <c r="G56" s="112">
        <f>D56-'[5]Aprīlis'!D56</f>
        <v>1351839</v>
      </c>
      <c r="H56" s="197" t="s">
        <v>246</v>
      </c>
      <c r="I56" s="112">
        <f aca="true" t="shared" si="20" ref="I56:K57">ROUND(B56/1000,0)</f>
        <v>14653</v>
      </c>
      <c r="J56" s="112">
        <f>ROUND(C56/1000,0)</f>
        <v>5835</v>
      </c>
      <c r="K56" s="112">
        <f t="shared" si="20"/>
        <v>5511</v>
      </c>
      <c r="L56" s="176">
        <f t="shared" si="17"/>
        <v>0.37610045724425034</v>
      </c>
      <c r="M56" s="176">
        <f t="shared" si="18"/>
        <v>0.9444730077120823</v>
      </c>
      <c r="N56" s="112">
        <f>K56-'[5]Aprīlis'!K56</f>
        <v>1352</v>
      </c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97" t="s">
        <v>247</v>
      </c>
      <c r="B57" s="112">
        <v>2348750</v>
      </c>
      <c r="C57" s="112">
        <v>804566</v>
      </c>
      <c r="D57" s="112">
        <f>19886+18683+121622+22501+517764</f>
        <v>700456</v>
      </c>
      <c r="E57" s="69">
        <f t="shared" si="0"/>
        <v>0.29822501330494944</v>
      </c>
      <c r="F57" s="69">
        <f t="shared" si="1"/>
        <v>0.8706010445382977</v>
      </c>
      <c r="G57" s="112">
        <f>D57-'[5]Aprīlis'!D57</f>
        <v>252578</v>
      </c>
      <c r="H57" s="197" t="s">
        <v>247</v>
      </c>
      <c r="I57" s="112">
        <f t="shared" si="20"/>
        <v>2349</v>
      </c>
      <c r="J57" s="112">
        <f>ROUND(C57/1000,0)</f>
        <v>805</v>
      </c>
      <c r="K57" s="112">
        <f t="shared" si="20"/>
        <v>700</v>
      </c>
      <c r="L57" s="176">
        <f t="shared" si="17"/>
        <v>0.29799914857386123</v>
      </c>
      <c r="M57" s="176">
        <f t="shared" si="18"/>
        <v>0.8695652173913043</v>
      </c>
      <c r="N57" s="112">
        <f>K57-'[5]Aprīlis'!K57</f>
        <v>252</v>
      </c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98" t="s">
        <v>255</v>
      </c>
      <c r="B58" s="16">
        <f>SUM(B59:B60)</f>
        <v>13962751</v>
      </c>
      <c r="C58" s="16">
        <f>SUM(C59:C60)</f>
        <v>6092715</v>
      </c>
      <c r="D58" s="16">
        <f>SUM(D59:D60)</f>
        <v>5005871</v>
      </c>
      <c r="E58" s="55">
        <f t="shared" si="0"/>
        <v>0.358516097579911</v>
      </c>
      <c r="F58" s="55">
        <f t="shared" si="1"/>
        <v>0.8216158149527756</v>
      </c>
      <c r="G58" s="16">
        <f>SUM(G59:G60)</f>
        <v>1119679</v>
      </c>
      <c r="H58" s="198" t="s">
        <v>255</v>
      </c>
      <c r="I58" s="131">
        <f>SUM(I59:I60)</f>
        <v>13963</v>
      </c>
      <c r="J58" s="131">
        <f>SUM(J59:J60)</f>
        <v>6093</v>
      </c>
      <c r="K58" s="131">
        <f>SUM(K59:K60)</f>
        <v>5006</v>
      </c>
      <c r="L58" s="175">
        <f t="shared" si="17"/>
        <v>0.3585189429205758</v>
      </c>
      <c r="M58" s="175">
        <f t="shared" si="18"/>
        <v>0.8215985557196783</v>
      </c>
      <c r="N58" s="131">
        <f>SUM(N59:N60)</f>
        <v>1120</v>
      </c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97" t="s">
        <v>246</v>
      </c>
      <c r="B59" s="112">
        <v>12200953</v>
      </c>
      <c r="C59" s="112">
        <v>5288017</v>
      </c>
      <c r="D59" s="112">
        <f>5005871-526360</f>
        <v>4479511</v>
      </c>
      <c r="E59" s="69">
        <f t="shared" si="0"/>
        <v>0.3671443533960011</v>
      </c>
      <c r="F59" s="69">
        <f t="shared" si="1"/>
        <v>0.8471060134640263</v>
      </c>
      <c r="G59" s="112">
        <f>D59-'[5]Aprīlis'!D59</f>
        <v>978495</v>
      </c>
      <c r="H59" s="197" t="s">
        <v>246</v>
      </c>
      <c r="I59" s="112">
        <f aca="true" t="shared" si="21" ref="I59:K60">ROUND(B59/1000,0)</f>
        <v>12201</v>
      </c>
      <c r="J59" s="112">
        <f t="shared" si="21"/>
        <v>5288</v>
      </c>
      <c r="K59" s="112">
        <f t="shared" si="21"/>
        <v>4480</v>
      </c>
      <c r="L59" s="176">
        <f t="shared" si="17"/>
        <v>0.36718301778542745</v>
      </c>
      <c r="M59" s="176">
        <f t="shared" si="18"/>
        <v>0.8472012102874432</v>
      </c>
      <c r="N59" s="112">
        <f>K59-'[5]Aprīlis'!K59</f>
        <v>979</v>
      </c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97" t="s">
        <v>247</v>
      </c>
      <c r="B60" s="112">
        <v>1761798</v>
      </c>
      <c r="C60" s="112">
        <v>804698</v>
      </c>
      <c r="D60" s="112">
        <f>279698+20662+226000</f>
        <v>526360</v>
      </c>
      <c r="E60" s="69">
        <f t="shared" si="0"/>
        <v>0.298762968285808</v>
      </c>
      <c r="F60" s="69">
        <f t="shared" si="1"/>
        <v>0.6541087463868432</v>
      </c>
      <c r="G60" s="112">
        <f>D60-'[5]Aprīlis'!D60</f>
        <v>141184</v>
      </c>
      <c r="H60" s="197" t="s">
        <v>247</v>
      </c>
      <c r="I60" s="112">
        <f t="shared" si="21"/>
        <v>1762</v>
      </c>
      <c r="J60" s="112">
        <f t="shared" si="21"/>
        <v>805</v>
      </c>
      <c r="K60" s="112">
        <f t="shared" si="21"/>
        <v>526</v>
      </c>
      <c r="L60" s="176">
        <f t="shared" si="17"/>
        <v>0.2985244040862656</v>
      </c>
      <c r="M60" s="176">
        <f t="shared" si="18"/>
        <v>0.653416149068323</v>
      </c>
      <c r="N60" s="112">
        <f>K60-'[5]Aprīlis'!K60</f>
        <v>141</v>
      </c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98" t="s">
        <v>256</v>
      </c>
      <c r="B61" s="16">
        <f>SUM(B62:B63)</f>
        <v>1265070</v>
      </c>
      <c r="C61" s="16">
        <f>SUM(C62:C63)</f>
        <v>525022</v>
      </c>
      <c r="D61" s="16">
        <f>SUM(D62:D63)</f>
        <v>484152</v>
      </c>
      <c r="E61" s="55">
        <f t="shared" si="0"/>
        <v>0.3827076762550689</v>
      </c>
      <c r="F61" s="55">
        <f t="shared" si="1"/>
        <v>0.9221556430016266</v>
      </c>
      <c r="G61" s="16">
        <f>SUM(G62:G63)</f>
        <v>75032</v>
      </c>
      <c r="H61" s="198" t="s">
        <v>256</v>
      </c>
      <c r="I61" s="131">
        <f>SUM(I62:I63)</f>
        <v>1265</v>
      </c>
      <c r="J61" s="131">
        <f>SUM(J62:J63)</f>
        <v>525</v>
      </c>
      <c r="K61" s="131">
        <f>SUM(K62:K63)</f>
        <v>484</v>
      </c>
      <c r="L61" s="175">
        <f t="shared" si="17"/>
        <v>0.3826086956521739</v>
      </c>
      <c r="M61" s="175">
        <f t="shared" si="18"/>
        <v>0.9219047619047619</v>
      </c>
      <c r="N61" s="131">
        <f>SUM(N62:N63)</f>
        <v>75</v>
      </c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97" t="s">
        <v>246</v>
      </c>
      <c r="B62" s="112">
        <v>1222912</v>
      </c>
      <c r="C62" s="112">
        <v>489464</v>
      </c>
      <c r="D62" s="112">
        <f>484152-32313</f>
        <v>451839</v>
      </c>
      <c r="E62" s="69">
        <f t="shared" si="0"/>
        <v>0.36947793463470796</v>
      </c>
      <c r="F62" s="69">
        <f t="shared" si="1"/>
        <v>0.9231301995652387</v>
      </c>
      <c r="G62" s="112">
        <f>D62-'[5]Aprīlis'!D62</f>
        <v>71385</v>
      </c>
      <c r="H62" s="197" t="s">
        <v>246</v>
      </c>
      <c r="I62" s="112">
        <f aca="true" t="shared" si="22" ref="I62:K63">ROUND(B62/1000,0)</f>
        <v>1223</v>
      </c>
      <c r="J62" s="112">
        <f>ROUND(C62/1000,0)</f>
        <v>489</v>
      </c>
      <c r="K62" s="112">
        <f t="shared" si="22"/>
        <v>452</v>
      </c>
      <c r="L62" s="176">
        <f t="shared" si="17"/>
        <v>0.3695829926410466</v>
      </c>
      <c r="M62" s="176">
        <f t="shared" si="18"/>
        <v>0.9243353783231084</v>
      </c>
      <c r="N62" s="112">
        <f>K62-'[5]Aprīlis'!K62</f>
        <v>72</v>
      </c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97" t="s">
        <v>247</v>
      </c>
      <c r="B63" s="112">
        <v>42158</v>
      </c>
      <c r="C63" s="112">
        <v>35558</v>
      </c>
      <c r="D63" s="112">
        <v>32313</v>
      </c>
      <c r="E63" s="69">
        <f t="shared" si="0"/>
        <v>0.7664737416385976</v>
      </c>
      <c r="F63" s="69">
        <f t="shared" si="1"/>
        <v>0.9087406490803758</v>
      </c>
      <c r="G63" s="112">
        <f>D63-'[5]Aprīlis'!D63</f>
        <v>3647</v>
      </c>
      <c r="H63" s="197" t="s">
        <v>247</v>
      </c>
      <c r="I63" s="112">
        <f t="shared" si="22"/>
        <v>42</v>
      </c>
      <c r="J63" s="112">
        <f t="shared" si="22"/>
        <v>36</v>
      </c>
      <c r="K63" s="112">
        <f t="shared" si="22"/>
        <v>32</v>
      </c>
      <c r="L63" s="176">
        <f t="shared" si="17"/>
        <v>0.7619047619047619</v>
      </c>
      <c r="M63" s="176">
        <f t="shared" si="18"/>
        <v>0.8888888888888888</v>
      </c>
      <c r="N63" s="112">
        <f>K63-'[5]Aprīlis'!K63</f>
        <v>3</v>
      </c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98" t="s">
        <v>257</v>
      </c>
      <c r="B64" s="16">
        <f>SUM(B65:B66)</f>
        <v>749995</v>
      </c>
      <c r="C64" s="16">
        <f>SUM(C65:C66)</f>
        <v>290299</v>
      </c>
      <c r="D64" s="16">
        <f>SUM(D65:D66)</f>
        <v>290219</v>
      </c>
      <c r="E64" s="55">
        <f t="shared" si="0"/>
        <v>0.38696124640830937</v>
      </c>
      <c r="F64" s="55">
        <f t="shared" si="1"/>
        <v>0.9997244220613919</v>
      </c>
      <c r="G64" s="16">
        <f>SUM(G65:G66)</f>
        <v>41046</v>
      </c>
      <c r="H64" s="198" t="s">
        <v>257</v>
      </c>
      <c r="I64" s="131">
        <f>SUM(I65:I66)</f>
        <v>750</v>
      </c>
      <c r="J64" s="131">
        <f>SUM(J65:J66)</f>
        <v>290</v>
      </c>
      <c r="K64" s="131">
        <f>SUM(K65:K66)</f>
        <v>290</v>
      </c>
      <c r="L64" s="175">
        <f t="shared" si="17"/>
        <v>0.38666666666666666</v>
      </c>
      <c r="M64" s="175">
        <f t="shared" si="18"/>
        <v>1</v>
      </c>
      <c r="N64" s="131">
        <f>SUM(N65:N66)</f>
        <v>41</v>
      </c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97" t="s">
        <v>246</v>
      </c>
      <c r="B65" s="112">
        <v>749995</v>
      </c>
      <c r="C65" s="112">
        <v>290299</v>
      </c>
      <c r="D65" s="112">
        <v>290219</v>
      </c>
      <c r="E65" s="69">
        <f t="shared" si="0"/>
        <v>0.38696124640830937</v>
      </c>
      <c r="F65" s="69">
        <f t="shared" si="1"/>
        <v>0.9997244220613919</v>
      </c>
      <c r="G65" s="112">
        <f>D65-'[5]Aprīlis'!D65</f>
        <v>41046</v>
      </c>
      <c r="H65" s="197" t="s">
        <v>246</v>
      </c>
      <c r="I65" s="112">
        <f>ROUND(B65/1000,0)</f>
        <v>750</v>
      </c>
      <c r="J65" s="112">
        <f>ROUND(C65/1000,0)</f>
        <v>290</v>
      </c>
      <c r="K65" s="112">
        <f>ROUND(D65/1000,0)</f>
        <v>290</v>
      </c>
      <c r="L65" s="176">
        <f t="shared" si="17"/>
        <v>0.38666666666666666</v>
      </c>
      <c r="M65" s="176">
        <f t="shared" si="18"/>
        <v>1</v>
      </c>
      <c r="N65" s="112">
        <f>K65-'[5]Aprīlis'!K65</f>
        <v>41</v>
      </c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hidden="1">
      <c r="A66" s="197"/>
      <c r="B66" s="112"/>
      <c r="C66" s="112"/>
      <c r="D66" s="112"/>
      <c r="E66" s="69"/>
      <c r="F66" s="69" t="str">
        <f t="shared" si="1"/>
        <v> </v>
      </c>
      <c r="G66" s="112"/>
      <c r="H66" s="197"/>
      <c r="I66" s="112"/>
      <c r="J66" s="112"/>
      <c r="K66" s="112"/>
      <c r="L66" s="176" t="str">
        <f t="shared" si="17"/>
        <v> </v>
      </c>
      <c r="M66" s="176" t="str">
        <f t="shared" si="18"/>
        <v> </v>
      </c>
      <c r="N66" s="112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98" t="s">
        <v>258</v>
      </c>
      <c r="B67" s="16">
        <f>SUM(B68:B69)</f>
        <v>372243</v>
      </c>
      <c r="C67" s="16">
        <f>SUM(C68:C69)</f>
        <v>132273</v>
      </c>
      <c r="D67" s="16">
        <f>SUM(D68:D69)</f>
        <v>126536</v>
      </c>
      <c r="E67" s="55">
        <f t="shared" si="0"/>
        <v>0.3399284875739772</v>
      </c>
      <c r="F67" s="55">
        <f t="shared" si="1"/>
        <v>0.956627580836603</v>
      </c>
      <c r="G67" s="16">
        <f>SUM(G68:G69)</f>
        <v>36691</v>
      </c>
      <c r="H67" s="198" t="s">
        <v>258</v>
      </c>
      <c r="I67" s="131">
        <f>SUM(I68:I69)</f>
        <v>373</v>
      </c>
      <c r="J67" s="131">
        <f>SUM(J68:J69)</f>
        <v>132</v>
      </c>
      <c r="K67" s="131">
        <f>SUM(K68:K69)</f>
        <v>127</v>
      </c>
      <c r="L67" s="175">
        <f t="shared" si="17"/>
        <v>0.34048257372654156</v>
      </c>
      <c r="M67" s="175">
        <f t="shared" si="18"/>
        <v>0.9621212121212122</v>
      </c>
      <c r="N67" s="131">
        <f>SUM(N68:N69)</f>
        <v>37</v>
      </c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97" t="s">
        <v>246</v>
      </c>
      <c r="B68" s="112">
        <v>326743</v>
      </c>
      <c r="C68" s="112">
        <v>123273</v>
      </c>
      <c r="D68" s="112">
        <f>126536-8860</f>
        <v>117676</v>
      </c>
      <c r="E68" s="69">
        <f t="shared" si="0"/>
        <v>0.36014849591268977</v>
      </c>
      <c r="F68" s="69">
        <f t="shared" si="1"/>
        <v>0.9545967081193774</v>
      </c>
      <c r="G68" s="112">
        <f>D68-'[5]Aprīlis'!D68</f>
        <v>27831</v>
      </c>
      <c r="H68" s="197" t="s">
        <v>246</v>
      </c>
      <c r="I68" s="112">
        <f aca="true" t="shared" si="23" ref="I68:K69">ROUND(B68/1000,0)</f>
        <v>327</v>
      </c>
      <c r="J68" s="112">
        <f t="shared" si="23"/>
        <v>123</v>
      </c>
      <c r="K68" s="112">
        <f t="shared" si="23"/>
        <v>118</v>
      </c>
      <c r="L68" s="176">
        <f t="shared" si="17"/>
        <v>0.36085626911314983</v>
      </c>
      <c r="M68" s="176">
        <f t="shared" si="18"/>
        <v>0.959349593495935</v>
      </c>
      <c r="N68" s="112">
        <f>K68-'[5]Aprīlis'!K68</f>
        <v>28</v>
      </c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>
      <c r="A69" s="197" t="s">
        <v>247</v>
      </c>
      <c r="B69" s="112">
        <v>45500</v>
      </c>
      <c r="C69" s="112">
        <v>9000</v>
      </c>
      <c r="D69" s="112">
        <f>1360+7500</f>
        <v>8860</v>
      </c>
      <c r="E69" s="69">
        <f t="shared" si="0"/>
        <v>0.19472527472527473</v>
      </c>
      <c r="F69" s="69">
        <f t="shared" si="1"/>
        <v>0.9844444444444445</v>
      </c>
      <c r="G69" s="112">
        <f>D69-'[5]Aprīlis'!D69</f>
        <v>8860</v>
      </c>
      <c r="H69" s="197" t="s">
        <v>247</v>
      </c>
      <c r="I69" s="112">
        <f t="shared" si="23"/>
        <v>46</v>
      </c>
      <c r="J69" s="112">
        <f t="shared" si="23"/>
        <v>9</v>
      </c>
      <c r="K69" s="112">
        <f t="shared" si="23"/>
        <v>9</v>
      </c>
      <c r="L69" s="176">
        <f t="shared" si="17"/>
        <v>0.1956521739130435</v>
      </c>
      <c r="M69" s="176">
        <f t="shared" si="18"/>
        <v>1</v>
      </c>
      <c r="N69" s="112">
        <f>K69-'[5]Aprīlis'!K69</f>
        <v>9</v>
      </c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>
      <c r="A70" s="198" t="s">
        <v>259</v>
      </c>
      <c r="B70" s="16">
        <f>SUM(B71:B72)</f>
        <v>6627804</v>
      </c>
      <c r="C70" s="16">
        <f>SUM(C71:C72)</f>
        <v>2671165</v>
      </c>
      <c r="D70" s="16">
        <f>SUM(D71:D72)</f>
        <v>2656363</v>
      </c>
      <c r="E70" s="55">
        <f t="shared" si="0"/>
        <v>0.4007908200061438</v>
      </c>
      <c r="F70" s="55">
        <f t="shared" si="1"/>
        <v>0.994458597653084</v>
      </c>
      <c r="G70" s="16">
        <f>SUM(G71:G72)</f>
        <v>656271</v>
      </c>
      <c r="H70" s="198" t="s">
        <v>259</v>
      </c>
      <c r="I70" s="131">
        <f>SUM(I71:I72)</f>
        <v>6628</v>
      </c>
      <c r="J70" s="131">
        <f>SUM(J71:J72)</f>
        <v>2671</v>
      </c>
      <c r="K70" s="131">
        <f>SUM(K71:K72)</f>
        <v>2656</v>
      </c>
      <c r="L70" s="175">
        <f t="shared" si="17"/>
        <v>0.40072420036210016</v>
      </c>
      <c r="M70" s="175">
        <f t="shared" si="18"/>
        <v>0.9943841257955822</v>
      </c>
      <c r="N70" s="131">
        <f>SUM(N71:N72)</f>
        <v>656</v>
      </c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>
      <c r="A71" s="197" t="s">
        <v>246</v>
      </c>
      <c r="B71" s="112">
        <v>6094502</v>
      </c>
      <c r="C71" s="112">
        <v>2462205</v>
      </c>
      <c r="D71" s="112">
        <f>2656363-200032</f>
        <v>2456331</v>
      </c>
      <c r="E71" s="69">
        <f t="shared" si="0"/>
        <v>0.4030404781227408</v>
      </c>
      <c r="F71" s="69">
        <f t="shared" si="1"/>
        <v>0.9976143334937586</v>
      </c>
      <c r="G71" s="112">
        <f>D71-'[5]Aprīlis'!D71</f>
        <v>542059</v>
      </c>
      <c r="H71" s="197" t="s">
        <v>246</v>
      </c>
      <c r="I71" s="112">
        <f aca="true" t="shared" si="24" ref="I71:K72">ROUND(B71/1000,0)</f>
        <v>6095</v>
      </c>
      <c r="J71" s="112">
        <f t="shared" si="24"/>
        <v>2462</v>
      </c>
      <c r="K71" s="112">
        <f t="shared" si="24"/>
        <v>2456</v>
      </c>
      <c r="L71" s="176">
        <f t="shared" si="17"/>
        <v>0.4029532403609516</v>
      </c>
      <c r="M71" s="176">
        <f t="shared" si="18"/>
        <v>0.9975629569455727</v>
      </c>
      <c r="N71" s="112">
        <f>K71-'[5]Aprīlis'!K71</f>
        <v>542</v>
      </c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>
      <c r="A72" s="197" t="s">
        <v>247</v>
      </c>
      <c r="B72" s="112">
        <v>533302</v>
      </c>
      <c r="C72" s="112">
        <v>208960</v>
      </c>
      <c r="D72" s="112">
        <f>65680+134352</f>
        <v>200032</v>
      </c>
      <c r="E72" s="69">
        <f t="shared" si="0"/>
        <v>0.3750820360696191</v>
      </c>
      <c r="F72" s="69">
        <f t="shared" si="1"/>
        <v>0.9572741194486983</v>
      </c>
      <c r="G72" s="112">
        <f>D72-'[5]Aprīlis'!D72</f>
        <v>114212</v>
      </c>
      <c r="H72" s="197" t="s">
        <v>247</v>
      </c>
      <c r="I72" s="112">
        <f t="shared" si="24"/>
        <v>533</v>
      </c>
      <c r="J72" s="112">
        <f t="shared" si="24"/>
        <v>209</v>
      </c>
      <c r="K72" s="112">
        <f t="shared" si="24"/>
        <v>200</v>
      </c>
      <c r="L72" s="176">
        <f t="shared" si="17"/>
        <v>0.37523452157598497</v>
      </c>
      <c r="M72" s="176">
        <f t="shared" si="18"/>
        <v>0.9569377990430622</v>
      </c>
      <c r="N72" s="112">
        <f>K72-'[5]Aprīlis'!K72</f>
        <v>114</v>
      </c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customHeight="1">
      <c r="A73" s="199" t="s">
        <v>260</v>
      </c>
      <c r="B73" s="16">
        <f>SUM(B74:B75)</f>
        <v>77805</v>
      </c>
      <c r="C73" s="16">
        <f>SUM(C74:C75)</f>
        <v>31675</v>
      </c>
      <c r="D73" s="16">
        <f>SUM(D74:D75)</f>
        <v>27907</v>
      </c>
      <c r="E73" s="55">
        <f aca="true" t="shared" si="25" ref="E73:E92">IF(ISERROR(D73/B73)," ",(D73/B73))</f>
        <v>0.35867874815243234</v>
      </c>
      <c r="F73" s="55">
        <f aca="true" t="shared" si="26" ref="F73:F85">IF(ISERROR(D73/C73)," ",(D73/C73))</f>
        <v>0.8810418310970797</v>
      </c>
      <c r="G73" s="16">
        <f>SUM(G74:G75)</f>
        <v>4702</v>
      </c>
      <c r="H73" s="199" t="s">
        <v>260</v>
      </c>
      <c r="I73" s="131">
        <f>SUM(I74:I75)</f>
        <v>78</v>
      </c>
      <c r="J73" s="131">
        <f>SUM(J74:J75)</f>
        <v>32</v>
      </c>
      <c r="K73" s="131">
        <f>SUM(K74:K75)</f>
        <v>28</v>
      </c>
      <c r="L73" s="175">
        <f t="shared" si="17"/>
        <v>0.358974358974359</v>
      </c>
      <c r="M73" s="175">
        <f t="shared" si="18"/>
        <v>0.875</v>
      </c>
      <c r="N73" s="131">
        <f>SUM(N74:N75)</f>
        <v>5</v>
      </c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>
      <c r="A74" s="197" t="s">
        <v>246</v>
      </c>
      <c r="B74" s="112">
        <v>75305</v>
      </c>
      <c r="C74" s="112">
        <v>31375</v>
      </c>
      <c r="D74" s="112">
        <f>27907-96</f>
        <v>27811</v>
      </c>
      <c r="E74" s="69">
        <f t="shared" si="25"/>
        <v>0.3693114667020782</v>
      </c>
      <c r="F74" s="69">
        <f t="shared" si="26"/>
        <v>0.886406374501992</v>
      </c>
      <c r="G74" s="112">
        <f>D74-'[5]Aprīlis'!D74</f>
        <v>4606</v>
      </c>
      <c r="H74" s="197" t="s">
        <v>246</v>
      </c>
      <c r="I74" s="112">
        <f aca="true" t="shared" si="27" ref="I74:K75">ROUND(B74/1000,0)</f>
        <v>75</v>
      </c>
      <c r="J74" s="112">
        <f>ROUND(C74/1000,0)+1</f>
        <v>32</v>
      </c>
      <c r="K74" s="112">
        <f t="shared" si="27"/>
        <v>28</v>
      </c>
      <c r="L74" s="176">
        <f t="shared" si="17"/>
        <v>0.37333333333333335</v>
      </c>
      <c r="M74" s="176">
        <f t="shared" si="18"/>
        <v>0.875</v>
      </c>
      <c r="N74" s="112">
        <f>K74-'[5]Aprīlis'!K74</f>
        <v>5</v>
      </c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>
      <c r="A75" s="197" t="s">
        <v>247</v>
      </c>
      <c r="B75" s="112">
        <v>2500</v>
      </c>
      <c r="C75" s="112">
        <v>300</v>
      </c>
      <c r="D75" s="112">
        <v>96</v>
      </c>
      <c r="E75" s="69">
        <f t="shared" si="25"/>
        <v>0.0384</v>
      </c>
      <c r="F75" s="69">
        <f t="shared" si="26"/>
        <v>0.32</v>
      </c>
      <c r="G75" s="112">
        <f>D75-'[5]Aprīlis'!D75</f>
        <v>96</v>
      </c>
      <c r="H75" s="197" t="s">
        <v>247</v>
      </c>
      <c r="I75" s="112">
        <f t="shared" si="27"/>
        <v>3</v>
      </c>
      <c r="J75" s="112">
        <f t="shared" si="27"/>
        <v>0</v>
      </c>
      <c r="K75" s="112">
        <f t="shared" si="27"/>
        <v>0</v>
      </c>
      <c r="L75" s="176">
        <f t="shared" si="17"/>
        <v>0</v>
      </c>
      <c r="M75" s="176" t="str">
        <f t="shared" si="18"/>
        <v> </v>
      </c>
      <c r="N75" s="112">
        <f>K75-'[5]Aprīlis'!K75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3.5" customHeight="1">
      <c r="A76" s="127" t="s">
        <v>261</v>
      </c>
      <c r="B76" s="16">
        <f>SUM(B77)</f>
        <v>52453</v>
      </c>
      <c r="C76" s="16">
        <f>SUM(C77)</f>
        <v>21000</v>
      </c>
      <c r="D76" s="16">
        <f>SUM(D77)</f>
        <v>18675</v>
      </c>
      <c r="E76" s="55">
        <f t="shared" si="25"/>
        <v>0.3560330200369855</v>
      </c>
      <c r="F76" s="55">
        <f t="shared" si="26"/>
        <v>0.8892857142857142</v>
      </c>
      <c r="G76" s="16">
        <f>SUM(G77)</f>
        <v>4008</v>
      </c>
      <c r="H76" s="127" t="s">
        <v>261</v>
      </c>
      <c r="I76" s="131">
        <f>SUM(I77)</f>
        <v>52</v>
      </c>
      <c r="J76" s="131">
        <f>SUM(J77)</f>
        <v>21</v>
      </c>
      <c r="K76" s="131">
        <f>SUM(K77)</f>
        <v>19</v>
      </c>
      <c r="L76" s="175">
        <f t="shared" si="17"/>
        <v>0.36538461538461536</v>
      </c>
      <c r="M76" s="175">
        <f t="shared" si="18"/>
        <v>0.9047619047619048</v>
      </c>
      <c r="N76" s="131">
        <f>SUM(N77)</f>
        <v>4</v>
      </c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>
      <c r="A77" s="197" t="s">
        <v>246</v>
      </c>
      <c r="B77" s="112">
        <v>52453</v>
      </c>
      <c r="C77" s="112">
        <v>21000</v>
      </c>
      <c r="D77" s="112">
        <v>18675</v>
      </c>
      <c r="E77" s="69">
        <f t="shared" si="25"/>
        <v>0.3560330200369855</v>
      </c>
      <c r="F77" s="69">
        <f t="shared" si="26"/>
        <v>0.8892857142857142</v>
      </c>
      <c r="G77" s="112">
        <f>D77-'[5]Aprīlis'!D77</f>
        <v>4008</v>
      </c>
      <c r="H77" s="197" t="s">
        <v>246</v>
      </c>
      <c r="I77" s="112">
        <f>ROUND(B77/1000,0)</f>
        <v>52</v>
      </c>
      <c r="J77" s="112">
        <f>ROUND(C77/1000,0)</f>
        <v>21</v>
      </c>
      <c r="K77" s="112">
        <f>ROUND(D77/1000,0)</f>
        <v>19</v>
      </c>
      <c r="L77" s="176">
        <f t="shared" si="17"/>
        <v>0.36538461538461536</v>
      </c>
      <c r="M77" s="176">
        <f t="shared" si="18"/>
        <v>0.9047619047619048</v>
      </c>
      <c r="N77" s="112">
        <f>K77-'[5]Aprīlis'!K77</f>
        <v>4</v>
      </c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6.5" customHeight="1">
      <c r="A78" s="127" t="s">
        <v>262</v>
      </c>
      <c r="B78" s="16">
        <f>SUM(B79)</f>
        <v>789573</v>
      </c>
      <c r="C78" s="16">
        <f>SUM(C79)</f>
        <v>328494</v>
      </c>
      <c r="D78" s="16">
        <f>SUM(D79)</f>
        <v>328494</v>
      </c>
      <c r="E78" s="55">
        <f t="shared" si="25"/>
        <v>0.41604006216018025</v>
      </c>
      <c r="F78" s="55">
        <f t="shared" si="26"/>
        <v>1</v>
      </c>
      <c r="G78" s="16">
        <f>SUM(G79)</f>
        <v>65600</v>
      </c>
      <c r="H78" s="127" t="s">
        <v>262</v>
      </c>
      <c r="I78" s="131">
        <f>SUM(I79)</f>
        <v>790</v>
      </c>
      <c r="J78" s="131">
        <f>SUM(J79)</f>
        <v>328</v>
      </c>
      <c r="K78" s="131">
        <f>SUM(K79)</f>
        <v>328</v>
      </c>
      <c r="L78" s="175">
        <f t="shared" si="17"/>
        <v>0.4151898734177215</v>
      </c>
      <c r="M78" s="175">
        <f t="shared" si="18"/>
        <v>1</v>
      </c>
      <c r="N78" s="131">
        <f>SUM(N79)</f>
        <v>65</v>
      </c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>
      <c r="A79" s="197" t="s">
        <v>246</v>
      </c>
      <c r="B79" s="112">
        <v>789573</v>
      </c>
      <c r="C79" s="112">
        <v>328494</v>
      </c>
      <c r="D79" s="112">
        <v>328494</v>
      </c>
      <c r="E79" s="69">
        <f t="shared" si="25"/>
        <v>0.41604006216018025</v>
      </c>
      <c r="F79" s="69">
        <f t="shared" si="26"/>
        <v>1</v>
      </c>
      <c r="G79" s="112">
        <f>D79-'[5]Aprīlis'!D79</f>
        <v>65600</v>
      </c>
      <c r="H79" s="197" t="s">
        <v>246</v>
      </c>
      <c r="I79" s="112">
        <f>ROUND(B79/1000,0)</f>
        <v>790</v>
      </c>
      <c r="J79" s="112">
        <f>ROUND(C79/1000,0)</f>
        <v>328</v>
      </c>
      <c r="K79" s="112">
        <f>ROUND(D79/1000,0)</f>
        <v>328</v>
      </c>
      <c r="L79" s="176">
        <f t="shared" si="17"/>
        <v>0.4151898734177215</v>
      </c>
      <c r="M79" s="176">
        <f t="shared" si="18"/>
        <v>1</v>
      </c>
      <c r="N79" s="112">
        <f>K79-'[5]Aprīlis'!K79</f>
        <v>65</v>
      </c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>
      <c r="A80" s="198" t="s">
        <v>199</v>
      </c>
      <c r="B80" s="16">
        <f>SUM(B81:B82)</f>
        <v>6551838</v>
      </c>
      <c r="C80" s="16">
        <f>SUM(C81:C82)</f>
        <v>2716338</v>
      </c>
      <c r="D80" s="16">
        <f>SUM(D81:D82)</f>
        <v>2708152</v>
      </c>
      <c r="E80" s="55">
        <f t="shared" si="25"/>
        <v>0.4133423323348349</v>
      </c>
      <c r="F80" s="55">
        <f t="shared" si="26"/>
        <v>0.9969863838741718</v>
      </c>
      <c r="G80" s="16">
        <f>SUM(G81:G82)</f>
        <v>559421</v>
      </c>
      <c r="H80" s="198" t="s">
        <v>199</v>
      </c>
      <c r="I80" s="131">
        <f>SUM(I81:I82)</f>
        <v>6552</v>
      </c>
      <c r="J80" s="131">
        <f>SUM(J81:J82)</f>
        <v>2717</v>
      </c>
      <c r="K80" s="131">
        <f>SUM(K81:K82)</f>
        <v>2708</v>
      </c>
      <c r="L80" s="175">
        <f t="shared" si="17"/>
        <v>0.4133089133089133</v>
      </c>
      <c r="M80" s="175">
        <f t="shared" si="18"/>
        <v>0.9966875230033124</v>
      </c>
      <c r="N80" s="131">
        <f>SUM(N81:N82)</f>
        <v>559</v>
      </c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>
      <c r="A81" s="197" t="s">
        <v>246</v>
      </c>
      <c r="B81" s="112">
        <v>6543838</v>
      </c>
      <c r="C81" s="112">
        <v>2710838</v>
      </c>
      <c r="D81" s="112">
        <f>2708152-4338</f>
        <v>2703814</v>
      </c>
      <c r="E81" s="69">
        <f t="shared" si="25"/>
        <v>0.4131847395977712</v>
      </c>
      <c r="F81" s="69">
        <f t="shared" si="26"/>
        <v>0.9974089193083467</v>
      </c>
      <c r="G81" s="112">
        <f>D81-'[5]Aprīlis'!D81</f>
        <v>559082</v>
      </c>
      <c r="H81" s="197" t="s">
        <v>246</v>
      </c>
      <c r="I81" s="112">
        <f aca="true" t="shared" si="28" ref="I81:K82">ROUND(B81/1000,0)</f>
        <v>6544</v>
      </c>
      <c r="J81" s="112">
        <f t="shared" si="28"/>
        <v>2711</v>
      </c>
      <c r="K81" s="112">
        <f t="shared" si="28"/>
        <v>2704</v>
      </c>
      <c r="L81" s="176">
        <f t="shared" si="17"/>
        <v>0.4132029339853301</v>
      </c>
      <c r="M81" s="176">
        <f t="shared" si="18"/>
        <v>0.9974179269642198</v>
      </c>
      <c r="N81" s="112">
        <f>K81-'[5]Aprīlis'!K81</f>
        <v>559</v>
      </c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>
      <c r="A82" s="197" t="s">
        <v>247</v>
      </c>
      <c r="B82" s="112">
        <v>8000</v>
      </c>
      <c r="C82" s="112">
        <v>5500</v>
      </c>
      <c r="D82" s="112">
        <v>4338</v>
      </c>
      <c r="E82" s="69">
        <f t="shared" si="25"/>
        <v>0.54225</v>
      </c>
      <c r="F82" s="69">
        <f t="shared" si="26"/>
        <v>0.7887272727272727</v>
      </c>
      <c r="G82" s="112">
        <f>D82-'[5]Aprīlis'!D82</f>
        <v>339</v>
      </c>
      <c r="H82" s="197" t="s">
        <v>247</v>
      </c>
      <c r="I82" s="112">
        <f t="shared" si="28"/>
        <v>8</v>
      </c>
      <c r="J82" s="112">
        <f t="shared" si="28"/>
        <v>6</v>
      </c>
      <c r="K82" s="112">
        <f t="shared" si="28"/>
        <v>4</v>
      </c>
      <c r="L82" s="176">
        <f t="shared" si="17"/>
        <v>0.5</v>
      </c>
      <c r="M82" s="176">
        <f t="shared" si="18"/>
        <v>0.6666666666666666</v>
      </c>
      <c r="N82" s="112">
        <f>K82-'[5]Aprīlis'!K82</f>
        <v>0</v>
      </c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3.5" customHeight="1">
      <c r="A83" s="127" t="s">
        <v>263</v>
      </c>
      <c r="B83" s="16">
        <f>SUM(B84)</f>
        <v>97907</v>
      </c>
      <c r="C83" s="16">
        <f>SUM(C84)</f>
        <v>32407</v>
      </c>
      <c r="D83" s="16">
        <f>SUM(D84)</f>
        <v>32407</v>
      </c>
      <c r="E83" s="55">
        <f t="shared" si="25"/>
        <v>0.33099778361097776</v>
      </c>
      <c r="F83" s="55">
        <f t="shared" si="26"/>
        <v>1</v>
      </c>
      <c r="G83" s="16">
        <f>SUM(G84)</f>
        <v>7234</v>
      </c>
      <c r="H83" s="127" t="s">
        <v>263</v>
      </c>
      <c r="I83" s="131">
        <f>SUM(I84)</f>
        <v>98</v>
      </c>
      <c r="J83" s="131">
        <f>SUM(J84)</f>
        <v>32</v>
      </c>
      <c r="K83" s="131">
        <f>SUM(K84)</f>
        <v>32</v>
      </c>
      <c r="L83" s="175">
        <f t="shared" si="17"/>
        <v>0.32653061224489793</v>
      </c>
      <c r="M83" s="175">
        <f t="shared" si="18"/>
        <v>1</v>
      </c>
      <c r="N83" s="131">
        <f>SUM(N84)</f>
        <v>7</v>
      </c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>
      <c r="A84" s="197" t="s">
        <v>246</v>
      </c>
      <c r="B84" s="112">
        <v>97907</v>
      </c>
      <c r="C84" s="112">
        <v>32407</v>
      </c>
      <c r="D84" s="112">
        <v>32407</v>
      </c>
      <c r="E84" s="69">
        <f t="shared" si="25"/>
        <v>0.33099778361097776</v>
      </c>
      <c r="F84" s="69">
        <f t="shared" si="26"/>
        <v>1</v>
      </c>
      <c r="G84" s="112">
        <f>D84-'[5]Aprīlis'!D84</f>
        <v>7234</v>
      </c>
      <c r="H84" s="197" t="s">
        <v>246</v>
      </c>
      <c r="I84" s="112">
        <f>ROUND(B84/1000,0)</f>
        <v>98</v>
      </c>
      <c r="J84" s="112">
        <f>ROUND(C84/1000,0)</f>
        <v>32</v>
      </c>
      <c r="K84" s="112">
        <f>ROUND(D84/1000,0)</f>
        <v>32</v>
      </c>
      <c r="L84" s="176">
        <f t="shared" si="17"/>
        <v>0.32653061224489793</v>
      </c>
      <c r="M84" s="176">
        <f t="shared" si="18"/>
        <v>1</v>
      </c>
      <c r="N84" s="112">
        <f>K84-'[5]Aprīlis'!K84</f>
        <v>7</v>
      </c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39.75" customHeight="1">
      <c r="A85" s="79" t="s">
        <v>264</v>
      </c>
      <c r="B85" s="16">
        <f>SUM(B86:B87)</f>
        <v>651209</v>
      </c>
      <c r="C85" s="16">
        <f>SUM(C86:C87)</f>
        <v>178790</v>
      </c>
      <c r="D85" s="16">
        <f>SUM(D86:D87)</f>
        <v>159532</v>
      </c>
      <c r="E85" s="55">
        <f>IF(ISERROR(D85/B85)," ",(D85/B85))</f>
        <v>0.2449781867265348</v>
      </c>
      <c r="F85" s="55">
        <f t="shared" si="26"/>
        <v>0.8922870406622294</v>
      </c>
      <c r="G85" s="16">
        <f>SUM(G86:G87)</f>
        <v>61270</v>
      </c>
      <c r="H85" s="79" t="s">
        <v>264</v>
      </c>
      <c r="I85" s="131">
        <f>SUM(I86:I87)</f>
        <v>651</v>
      </c>
      <c r="J85" s="131">
        <f>SUM(J86:J87)</f>
        <v>179</v>
      </c>
      <c r="K85" s="131">
        <f>SUM(K86:K87)</f>
        <v>159</v>
      </c>
      <c r="L85" s="175">
        <f>IF(ISERROR(ROUND(K85,0)/ROUND(I85,0))," ",(ROUND(K85,)/ROUND(I85,)))</f>
        <v>0.24423963133640553</v>
      </c>
      <c r="M85" s="175">
        <f>IF(ISERROR(ROUND(K85,0)/ROUND(J85,0))," ",(ROUND(K85,)/ROUND(J85,)))</f>
        <v>0.888268156424581</v>
      </c>
      <c r="N85" s="131">
        <f>SUM(N86:N87)</f>
        <v>61</v>
      </c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>
      <c r="A86" s="197" t="s">
        <v>246</v>
      </c>
      <c r="B86" s="112">
        <v>641109</v>
      </c>
      <c r="C86" s="112">
        <v>174598</v>
      </c>
      <c r="D86" s="112">
        <f>159532-4192</f>
        <v>155340</v>
      </c>
      <c r="E86" s="69"/>
      <c r="F86" s="69"/>
      <c r="G86" s="112">
        <f>D86-'[5]Aprīlis'!D86</f>
        <v>59525</v>
      </c>
      <c r="H86" s="197" t="s">
        <v>246</v>
      </c>
      <c r="I86" s="112">
        <f aca="true" t="shared" si="29" ref="I86:K87">ROUND(B86/1000,0)</f>
        <v>641</v>
      </c>
      <c r="J86" s="112">
        <f t="shared" si="29"/>
        <v>175</v>
      </c>
      <c r="K86" s="112">
        <f t="shared" si="29"/>
        <v>155</v>
      </c>
      <c r="L86" s="176">
        <f>IF(ISERROR(ROUND(K86,0)/ROUND(I86,0))," ",(ROUND(K86,)/ROUND(I86,)))</f>
        <v>0.24180967238689546</v>
      </c>
      <c r="M86" s="176">
        <f>IF(ISERROR(ROUND(K86,0)/ROUND(J86,0))," ",(ROUND(K86,)/ROUND(J86,)))</f>
        <v>0.8857142857142857</v>
      </c>
      <c r="N86" s="112">
        <f>K86-'[5]Aprīlis'!K86</f>
        <v>59</v>
      </c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>
      <c r="A87" s="197" t="s">
        <v>247</v>
      </c>
      <c r="B87" s="112">
        <v>10100</v>
      </c>
      <c r="C87" s="112">
        <v>4192</v>
      </c>
      <c r="D87" s="112">
        <v>4192</v>
      </c>
      <c r="E87" s="69"/>
      <c r="F87" s="69"/>
      <c r="G87" s="112">
        <f>D87-'[5]Aprīlis'!D87</f>
        <v>1745</v>
      </c>
      <c r="H87" s="197" t="s">
        <v>247</v>
      </c>
      <c r="I87" s="112">
        <f t="shared" si="29"/>
        <v>10</v>
      </c>
      <c r="J87" s="112">
        <f t="shared" si="29"/>
        <v>4</v>
      </c>
      <c r="K87" s="112">
        <f t="shared" si="29"/>
        <v>4</v>
      </c>
      <c r="L87" s="176">
        <f>IF(ISERROR(ROUND(K87,0)/ROUND(I87,0))," ",(ROUND(K87,)/ROUND(I87,)))</f>
        <v>0.4</v>
      </c>
      <c r="M87" s="176">
        <f>IF(ISERROR(ROUND(K87,0)/ROUND(J87,0))," ",(ROUND(K87,)/ROUND(J87,)))</f>
        <v>1</v>
      </c>
      <c r="N87" s="112">
        <f>K87-'[5]Aprīlis'!K87</f>
        <v>2</v>
      </c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customHeight="1">
      <c r="A88" s="127" t="s">
        <v>265</v>
      </c>
      <c r="B88" s="16">
        <f>SUM(B89:B90)</f>
        <v>93876258</v>
      </c>
      <c r="C88" s="16">
        <f>SUM(C89:C90)</f>
        <v>37205651</v>
      </c>
      <c r="D88" s="16">
        <f>SUM(D89:D90)</f>
        <v>36805651</v>
      </c>
      <c r="E88" s="55">
        <f t="shared" si="25"/>
        <v>0.39206559554173964</v>
      </c>
      <c r="F88" s="55">
        <f>IF(ISERROR(D88/C88)," ",(D88/C88))</f>
        <v>0.9892489450056928</v>
      </c>
      <c r="G88" s="16">
        <f>SUM(G89:G90)</f>
        <v>8008788</v>
      </c>
      <c r="H88" s="127" t="s">
        <v>265</v>
      </c>
      <c r="I88" s="131">
        <f>SUM(I89:I90)</f>
        <v>93876</v>
      </c>
      <c r="J88" s="131">
        <f>SUM(J89:J90)</f>
        <v>37206</v>
      </c>
      <c r="K88" s="131">
        <f>SUM(K89:K90)</f>
        <v>36806</v>
      </c>
      <c r="L88" s="175">
        <f t="shared" si="17"/>
        <v>0.39207039072819466</v>
      </c>
      <c r="M88" s="175">
        <f t="shared" si="18"/>
        <v>0.9892490458528195</v>
      </c>
      <c r="N88" s="131">
        <f>SUM(N89:N90)</f>
        <v>8009</v>
      </c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>
      <c r="A89" s="197" t="s">
        <v>246</v>
      </c>
      <c r="B89" s="112">
        <v>84753258</v>
      </c>
      <c r="C89" s="112">
        <v>35210651</v>
      </c>
      <c r="D89" s="112">
        <f>36805651-1995000</f>
        <v>34810651</v>
      </c>
      <c r="E89" s="69">
        <f t="shared" si="25"/>
        <v>0.4107293550886268</v>
      </c>
      <c r="F89" s="69">
        <f>IF(ISERROR(D89/C89)," ",(D89/C89))</f>
        <v>0.9886398010647404</v>
      </c>
      <c r="G89" s="112">
        <f>D89-'[5]Aprīlis'!D89</f>
        <v>6963788</v>
      </c>
      <c r="H89" s="197" t="s">
        <v>246</v>
      </c>
      <c r="I89" s="112">
        <f aca="true" t="shared" si="30" ref="I89:K90">ROUND(B89/1000,0)</f>
        <v>84753</v>
      </c>
      <c r="J89" s="112">
        <f t="shared" si="30"/>
        <v>35211</v>
      </c>
      <c r="K89" s="112">
        <f t="shared" si="30"/>
        <v>34811</v>
      </c>
      <c r="L89" s="176">
        <f t="shared" si="17"/>
        <v>0.41073472325463406</v>
      </c>
      <c r="M89" s="176">
        <f t="shared" si="18"/>
        <v>0.9886399136633438</v>
      </c>
      <c r="N89" s="112">
        <f>K89-'[5]Aprīlis'!K89</f>
        <v>6964</v>
      </c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>
      <c r="A90" s="197" t="s">
        <v>247</v>
      </c>
      <c r="B90" s="112">
        <v>9123000</v>
      </c>
      <c r="C90" s="112">
        <v>1995000</v>
      </c>
      <c r="D90" s="112">
        <v>1995000</v>
      </c>
      <c r="E90" s="69">
        <f t="shared" si="25"/>
        <v>0.21867806642551793</v>
      </c>
      <c r="F90" s="69">
        <f>IF(ISERROR(D90/C90)," ",(D90/C90))</f>
        <v>1</v>
      </c>
      <c r="G90" s="112">
        <f>D90-'[5]Aprīlis'!D90</f>
        <v>1045000</v>
      </c>
      <c r="H90" s="197" t="s">
        <v>247</v>
      </c>
      <c r="I90" s="112">
        <f t="shared" si="30"/>
        <v>9123</v>
      </c>
      <c r="J90" s="112">
        <f t="shared" si="30"/>
        <v>1995</v>
      </c>
      <c r="K90" s="112">
        <f t="shared" si="30"/>
        <v>1995</v>
      </c>
      <c r="L90" s="176">
        <f t="shared" si="17"/>
        <v>0.21867806642551793</v>
      </c>
      <c r="M90" s="176">
        <f t="shared" si="18"/>
        <v>1</v>
      </c>
      <c r="N90" s="112">
        <f>K90-'[5]Aprīlis'!K90</f>
        <v>1045</v>
      </c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customHeight="1">
      <c r="A91" s="127" t="s">
        <v>266</v>
      </c>
      <c r="B91" s="16">
        <f>SUM(B92)</f>
        <v>6903010</v>
      </c>
      <c r="C91" s="16">
        <f>SUM(C92)</f>
        <v>2542922</v>
      </c>
      <c r="D91" s="16">
        <f>SUM(D92)</f>
        <v>2542922</v>
      </c>
      <c r="E91" s="55">
        <f t="shared" si="25"/>
        <v>0.36837872174602093</v>
      </c>
      <c r="F91" s="55">
        <f>IF(ISERROR(D91/C91)," ",(D91/C91))</f>
        <v>1</v>
      </c>
      <c r="G91" s="16">
        <f>SUM(G92)</f>
        <v>508584</v>
      </c>
      <c r="H91" s="127" t="s">
        <v>266</v>
      </c>
      <c r="I91" s="131">
        <f>SUM(I92)</f>
        <v>6903</v>
      </c>
      <c r="J91" s="131">
        <f>SUM(J92)</f>
        <v>2543</v>
      </c>
      <c r="K91" s="131">
        <f>SUM(K92)</f>
        <v>2543</v>
      </c>
      <c r="L91" s="175">
        <f t="shared" si="17"/>
        <v>0.3683905548312328</v>
      </c>
      <c r="M91" s="175">
        <f t="shared" si="18"/>
        <v>1</v>
      </c>
      <c r="N91" s="131">
        <f>SUM(N92)</f>
        <v>509</v>
      </c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>
      <c r="A92" s="31" t="s">
        <v>246</v>
      </c>
      <c r="B92" s="112">
        <v>6903010</v>
      </c>
      <c r="C92" s="112">
        <v>2542922</v>
      </c>
      <c r="D92" s="112">
        <v>2542922</v>
      </c>
      <c r="E92" s="69">
        <f t="shared" si="25"/>
        <v>0.36837872174602093</v>
      </c>
      <c r="F92" s="69">
        <f>IF(ISERROR(D92/C92)," ",(D92/C92))</f>
        <v>1</v>
      </c>
      <c r="G92" s="112">
        <f>D92-'[5]Aprīlis'!D92</f>
        <v>508584</v>
      </c>
      <c r="H92" s="31" t="s">
        <v>246</v>
      </c>
      <c r="I92" s="112">
        <f>ROUND(B92/1000,0)</f>
        <v>6903</v>
      </c>
      <c r="J92" s="112">
        <f>ROUND(C92/1000,0)</f>
        <v>2543</v>
      </c>
      <c r="K92" s="112">
        <f>ROUND(D92/1000,0)</f>
        <v>2543</v>
      </c>
      <c r="L92" s="176">
        <f t="shared" si="17"/>
        <v>0.3683905548312328</v>
      </c>
      <c r="M92" s="176">
        <f t="shared" si="18"/>
        <v>1</v>
      </c>
      <c r="N92" s="112">
        <f>K92-'[5]Aprīlis'!K92</f>
        <v>509</v>
      </c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>
      <c r="A93" s="132"/>
      <c r="B93" s="200"/>
      <c r="C93" s="200"/>
      <c r="D93" s="200"/>
      <c r="E93" s="201"/>
      <c r="F93" s="201"/>
      <c r="G93" s="1"/>
      <c r="H93" s="132"/>
      <c r="I93" s="200"/>
      <c r="J93" s="200"/>
      <c r="K93" s="200"/>
      <c r="L93" s="201"/>
      <c r="M93" s="20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>
      <c r="A94" s="132"/>
      <c r="B94" s="200"/>
      <c r="C94" s="200"/>
      <c r="D94" s="200"/>
      <c r="E94" s="201"/>
      <c r="F94" s="201"/>
      <c r="G94" s="1"/>
      <c r="H94" s="132"/>
      <c r="I94" s="200"/>
      <c r="J94" s="200"/>
      <c r="K94" s="200"/>
      <c r="L94" s="201"/>
      <c r="M94" s="20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>
      <c r="A95" s="132"/>
      <c r="B95" s="200"/>
      <c r="C95" s="200"/>
      <c r="D95" s="200"/>
      <c r="E95" s="201"/>
      <c r="F95" s="201"/>
      <c r="G95" s="1"/>
      <c r="H95" s="132"/>
      <c r="I95" s="200"/>
      <c r="J95" s="200"/>
      <c r="K95" s="200"/>
      <c r="L95" s="201"/>
      <c r="M95" s="20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>
      <c r="A96" s="132"/>
      <c r="B96" s="200"/>
      <c r="C96" s="200"/>
      <c r="D96" s="200"/>
      <c r="E96" s="201"/>
      <c r="F96" s="201"/>
      <c r="G96" s="1"/>
      <c r="H96" s="132"/>
      <c r="I96" s="200"/>
      <c r="J96" s="200"/>
      <c r="K96" s="200"/>
      <c r="L96" s="201"/>
      <c r="M96" s="20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4.25">
      <c r="A97" s="202"/>
      <c r="B97" s="134"/>
      <c r="C97" s="134"/>
      <c r="D97" s="134"/>
      <c r="E97" s="203"/>
      <c r="F97" s="204"/>
      <c r="G97" s="1"/>
      <c r="H97" s="202"/>
      <c r="I97" s="134"/>
      <c r="J97" s="134"/>
      <c r="K97" s="134"/>
      <c r="L97" s="203"/>
      <c r="M97" s="20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>
      <c r="A98" s="172" t="s">
        <v>267</v>
      </c>
      <c r="B98" s="205"/>
      <c r="C98" s="96"/>
      <c r="D98" s="142"/>
      <c r="E98" s="142"/>
      <c r="F98" s="206"/>
      <c r="G98" s="1"/>
      <c r="H98" s="7" t="s">
        <v>267</v>
      </c>
      <c r="I98" s="205"/>
      <c r="J98" s="96"/>
      <c r="K98" s="142"/>
      <c r="L98" s="142"/>
      <c r="M98" s="206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22.5" customHeight="1">
      <c r="A99" s="101"/>
      <c r="B99" s="207"/>
      <c r="C99" s="37" t="s">
        <v>268</v>
      </c>
      <c r="D99" s="191"/>
      <c r="E99" s="208"/>
      <c r="F99" s="192"/>
      <c r="G99" s="1"/>
      <c r="H99" s="101"/>
      <c r="I99" s="207"/>
      <c r="J99" s="37"/>
      <c r="K99" s="191"/>
      <c r="L99" s="208"/>
      <c r="M99" s="19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>
      <c r="A100" s="1"/>
      <c r="B100" s="190"/>
      <c r="C100" s="37"/>
      <c r="D100" s="37"/>
      <c r="E100" s="209"/>
      <c r="F100" s="189"/>
      <c r="G100" s="1"/>
      <c r="H100" s="1" t="s">
        <v>87</v>
      </c>
      <c r="I100" s="190"/>
      <c r="J100" s="37"/>
      <c r="K100" s="37"/>
      <c r="L100" s="209"/>
      <c r="M100" s="189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1"/>
      <c r="B101" s="190"/>
      <c r="C101" s="37"/>
      <c r="D101" s="37"/>
      <c r="E101" s="209"/>
      <c r="F101" s="189"/>
      <c r="G101" s="1"/>
      <c r="H101" s="1" t="s">
        <v>35</v>
      </c>
      <c r="I101" s="190"/>
      <c r="J101" s="37"/>
      <c r="K101" s="37"/>
      <c r="L101" s="209"/>
      <c r="M101" s="189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>
      <c r="A102" s="1" t="s">
        <v>87</v>
      </c>
      <c r="B102" s="190"/>
      <c r="C102" s="37"/>
      <c r="D102" s="37"/>
      <c r="E102" s="209"/>
      <c r="F102" s="189"/>
      <c r="G102" s="1"/>
      <c r="I102" s="190"/>
      <c r="J102" s="37"/>
      <c r="K102" s="37"/>
      <c r="L102" s="209"/>
      <c r="M102" s="189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>
      <c r="A103" s="1" t="s">
        <v>269</v>
      </c>
      <c r="B103" s="207"/>
      <c r="C103" s="37"/>
      <c r="D103" s="191"/>
      <c r="E103" s="208"/>
      <c r="F103" s="192"/>
      <c r="G103" s="1"/>
      <c r="I103" s="207"/>
      <c r="J103" s="37"/>
      <c r="K103" s="191"/>
      <c r="L103" s="208"/>
      <c r="M103" s="19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>
      <c r="A104" s="1"/>
      <c r="B104" s="101"/>
      <c r="C104" s="191"/>
      <c r="D104" s="191"/>
      <c r="E104" s="101"/>
      <c r="F104" s="101"/>
      <c r="G104" s="1"/>
      <c r="H104" s="1"/>
      <c r="I104" s="101"/>
      <c r="J104" s="191"/>
      <c r="K104" s="191"/>
      <c r="L104" s="101"/>
      <c r="M104" s="10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7:24" ht="12.75">
      <c r="G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7:24" ht="12.7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7:24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7:24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7:24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7:24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7:25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7:25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2.75">
      <c r="A113" s="1" t="s">
        <v>87</v>
      </c>
      <c r="B113" s="101"/>
      <c r="C113" s="191"/>
      <c r="D113" s="191"/>
      <c r="E113" s="101"/>
      <c r="F113" s="10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2.75">
      <c r="A114" s="1" t="s">
        <v>270</v>
      </c>
      <c r="B114" s="101"/>
      <c r="C114" s="191"/>
      <c r="D114" s="191"/>
      <c r="E114" s="101"/>
      <c r="F114" s="10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7:25" ht="12.7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7:25" ht="12.7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7:25" ht="12.7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7:25" ht="12.7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7:25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7:25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7:25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7:25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7:25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7:25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7:25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7:25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7:25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7:25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7:25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7:25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7:25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7:25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7:25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7:25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7:25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7:25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7:25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7:25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7:25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7:25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7:25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7:25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7:25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7:25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7:25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7:25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7:25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7:25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7:25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7:25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7:25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7:25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7:25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7:25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7:25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7:25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7:25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7:25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7:25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7:25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7:25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7:25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7:25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7:25" ht="12.7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7:25" ht="12.7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7:25" ht="12.7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7:25" ht="12.7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7:25" ht="12.7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7:25" ht="12.7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7:25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7:25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7:25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7:25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7:25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7:25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7:25" ht="12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7:25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7:25" ht="12.7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7:25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7:25" ht="12.7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7:25" ht="12.7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7:25" ht="12.7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7:25" ht="12.7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7:25" ht="12.7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7:25" ht="12.7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7:25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7:25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7:25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7:25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7:25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7:25" ht="12.7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7:25" ht="12.7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7:25" ht="12.7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7:25" ht="12.7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7:25" ht="12.7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7:25" ht="12.7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7:25" ht="12.7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7:25" ht="12.7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H1">
      <selection activeCell="B8" sqref="B8"/>
    </sheetView>
  </sheetViews>
  <sheetFormatPr defaultColWidth="9.140625" defaultRowHeight="12.75"/>
  <cols>
    <col min="1" max="1" width="33.57421875" style="2" hidden="1" customWidth="1"/>
    <col min="2" max="2" width="12.140625" style="2" hidden="1" customWidth="1"/>
    <col min="3" max="3" width="12.421875" style="2" hidden="1" customWidth="1"/>
    <col min="4" max="4" width="12.28125" style="2" hidden="1" customWidth="1"/>
    <col min="5" max="5" width="10.00390625" style="2" hidden="1" customWidth="1"/>
    <col min="6" max="6" width="9.28125" style="2" hidden="1" customWidth="1"/>
    <col min="7" max="7" width="10.28125" style="2" hidden="1" customWidth="1"/>
    <col min="8" max="8" width="38.140625" style="2" customWidth="1"/>
    <col min="9" max="9" width="9.8515625" style="2" customWidth="1"/>
    <col min="10" max="10" width="11.00390625" style="2" customWidth="1"/>
    <col min="11" max="11" width="9.28125" style="2" customWidth="1"/>
    <col min="12" max="12" width="6.8515625" style="2" customWidth="1"/>
    <col min="13" max="13" width="10.421875" style="2" customWidth="1"/>
    <col min="14" max="16384" width="9.140625" style="2" customWidth="1"/>
  </cols>
  <sheetData>
    <row r="1" spans="7:14" ht="12.75">
      <c r="G1" s="2" t="s">
        <v>206</v>
      </c>
      <c r="N1" s="2" t="s">
        <v>206</v>
      </c>
    </row>
    <row r="2" spans="1:14" ht="16.5" customHeight="1">
      <c r="A2" s="44" t="s">
        <v>207</v>
      </c>
      <c r="B2" s="44"/>
      <c r="C2" s="172"/>
      <c r="D2" s="172"/>
      <c r="E2" s="44"/>
      <c r="F2" s="172"/>
      <c r="G2" s="1"/>
      <c r="H2" s="44" t="s">
        <v>207</v>
      </c>
      <c r="I2" s="44"/>
      <c r="J2" s="172"/>
      <c r="K2" s="172"/>
      <c r="L2" s="44"/>
      <c r="M2" s="172"/>
      <c r="N2" s="1"/>
    </row>
    <row r="3" spans="1:14" ht="4.5" customHeight="1" hidden="1">
      <c r="A3" s="157"/>
      <c r="B3" s="1"/>
      <c r="C3" s="1"/>
      <c r="D3" s="1"/>
      <c r="E3" s="1"/>
      <c r="F3" s="1"/>
      <c r="G3" s="1"/>
      <c r="H3" s="157"/>
      <c r="I3" s="1"/>
      <c r="J3" s="1"/>
      <c r="K3" s="1"/>
      <c r="L3" s="1"/>
      <c r="M3" s="1"/>
      <c r="N3" s="1"/>
    </row>
    <row r="4" spans="1:14" ht="12" customHeight="1">
      <c r="A4" s="157"/>
      <c r="B4" s="1"/>
      <c r="C4" s="1"/>
      <c r="D4" s="1"/>
      <c r="E4" s="1"/>
      <c r="F4" s="1"/>
      <c r="G4" s="1"/>
      <c r="H4" s="157"/>
      <c r="I4" s="1"/>
      <c r="J4" s="1"/>
      <c r="K4" s="1"/>
      <c r="L4" s="1"/>
      <c r="M4" s="1"/>
      <c r="N4" s="1"/>
    </row>
    <row r="5" spans="1:14" ht="15.75">
      <c r="A5" s="48" t="s">
        <v>208</v>
      </c>
      <c r="B5" s="172"/>
      <c r="C5" s="172"/>
      <c r="D5" s="172"/>
      <c r="E5" s="172"/>
      <c r="F5" s="172"/>
      <c r="G5" s="1"/>
      <c r="H5" s="48" t="s">
        <v>208</v>
      </c>
      <c r="I5" s="172"/>
      <c r="J5" s="172"/>
      <c r="K5" s="172"/>
      <c r="L5" s="172"/>
      <c r="M5" s="172"/>
      <c r="N5" s="1"/>
    </row>
    <row r="6" spans="1:14" ht="15.75">
      <c r="A6" s="48" t="s">
        <v>91</v>
      </c>
      <c r="B6" s="172"/>
      <c r="C6" s="172"/>
      <c r="D6" s="172"/>
      <c r="E6" s="172"/>
      <c r="F6" s="172"/>
      <c r="G6" s="1"/>
      <c r="H6" s="48" t="s">
        <v>91</v>
      </c>
      <c r="I6" s="172"/>
      <c r="J6" s="172"/>
      <c r="K6" s="172"/>
      <c r="L6" s="172"/>
      <c r="M6" s="172"/>
      <c r="N6" s="1"/>
    </row>
    <row r="7" spans="1:14" ht="19.5" customHeight="1">
      <c r="A7" s="48" t="s">
        <v>209</v>
      </c>
      <c r="B7" s="172"/>
      <c r="C7" s="172"/>
      <c r="D7" s="172"/>
      <c r="E7" s="172"/>
      <c r="F7" s="172"/>
      <c r="G7" s="1"/>
      <c r="H7" s="48" t="s">
        <v>93</v>
      </c>
      <c r="I7" s="172"/>
      <c r="J7" s="172"/>
      <c r="K7" s="172"/>
      <c r="L7" s="172"/>
      <c r="M7" s="172"/>
      <c r="N7" s="1"/>
    </row>
    <row r="8" spans="1:14" s="174" customFormat="1" ht="18.75" customHeight="1">
      <c r="A8" s="1"/>
      <c r="B8" s="1"/>
      <c r="C8" s="1"/>
      <c r="D8" s="1"/>
      <c r="E8" s="2"/>
      <c r="F8" s="1"/>
      <c r="G8" s="101" t="s">
        <v>6</v>
      </c>
      <c r="H8" s="1"/>
      <c r="I8" s="1"/>
      <c r="J8" s="1"/>
      <c r="K8" s="1"/>
      <c r="L8" s="2"/>
      <c r="M8" s="1"/>
      <c r="N8" s="101" t="s">
        <v>6</v>
      </c>
    </row>
    <row r="9" spans="1:14" s="130" customFormat="1" ht="72.75" customHeight="1">
      <c r="A9" s="12" t="s">
        <v>7</v>
      </c>
      <c r="B9" s="12" t="s">
        <v>9</v>
      </c>
      <c r="C9" s="12" t="s">
        <v>53</v>
      </c>
      <c r="D9" s="12" t="s">
        <v>10</v>
      </c>
      <c r="E9" s="12" t="s">
        <v>94</v>
      </c>
      <c r="F9" s="12" t="s">
        <v>210</v>
      </c>
      <c r="G9" s="12" t="s">
        <v>96</v>
      </c>
      <c r="H9" s="12" t="s">
        <v>7</v>
      </c>
      <c r="I9" s="12" t="s">
        <v>9</v>
      </c>
      <c r="J9" s="12" t="s">
        <v>53</v>
      </c>
      <c r="K9" s="12" t="s">
        <v>10</v>
      </c>
      <c r="L9" s="12" t="s">
        <v>94</v>
      </c>
      <c r="M9" s="12" t="s">
        <v>210</v>
      </c>
      <c r="N9" s="12" t="s">
        <v>96</v>
      </c>
    </row>
    <row r="10" spans="1:14" s="130" customFormat="1" ht="9.7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1</v>
      </c>
      <c r="I10" s="12">
        <v>2</v>
      </c>
      <c r="J10" s="12">
        <v>3</v>
      </c>
      <c r="K10" s="12">
        <v>4</v>
      </c>
      <c r="L10" s="12">
        <v>5</v>
      </c>
      <c r="M10" s="12">
        <v>6</v>
      </c>
      <c r="N10" s="12">
        <v>7</v>
      </c>
    </row>
    <row r="11" spans="1:14" s="130" customFormat="1" ht="21.75" customHeight="1">
      <c r="A11" s="127" t="s">
        <v>211</v>
      </c>
      <c r="B11" s="150">
        <f>SUM(B12:B14)</f>
        <v>720918773</v>
      </c>
      <c r="C11" s="150">
        <f>SUM(C12:C14)</f>
        <v>281259192</v>
      </c>
      <c r="D11" s="150">
        <f>SUM(D12:D14)</f>
        <v>275957482</v>
      </c>
      <c r="E11" s="55">
        <f>IF(ISERROR(D11/B11)," ",(D11/B11))</f>
        <v>0.382785817674913</v>
      </c>
      <c r="F11" s="55">
        <f>IF(ISERROR(D11/C11)," ",(D11/C11))</f>
        <v>0.9811500916208278</v>
      </c>
      <c r="G11" s="150">
        <f>SUM(G12:G14)</f>
        <v>59884635</v>
      </c>
      <c r="H11" s="127" t="s">
        <v>211</v>
      </c>
      <c r="I11" s="128">
        <f>SUM(I12:I14)</f>
        <v>720919</v>
      </c>
      <c r="J11" s="128">
        <f>SUM(J12:J14)</f>
        <v>281259</v>
      </c>
      <c r="K11" s="128">
        <f>SUM(K12:K14)</f>
        <v>275957</v>
      </c>
      <c r="L11" s="175">
        <f>IF(ISERROR(ROUND(K11,0)/ROUND(I11,0))," ",(ROUND(K11,)/ROUND(I11,)))</f>
        <v>0.382785028553832</v>
      </c>
      <c r="M11" s="175">
        <f aca="true" t="shared" si="0" ref="M11:M18">IF(ISERROR(ROUND(K11,0)/ROUND(J11,0))," ",(ROUND(K11,)/ROUND(J11,)))</f>
        <v>0.9811490476749188</v>
      </c>
      <c r="N11" s="151">
        <f>SUM(N12:N14)</f>
        <v>59884</v>
      </c>
    </row>
    <row r="12" spans="1:14" s="130" customFormat="1" ht="23.25" customHeight="1">
      <c r="A12" s="31" t="s">
        <v>212</v>
      </c>
      <c r="B12" s="24">
        <v>656600030</v>
      </c>
      <c r="C12" s="24">
        <v>252673312</v>
      </c>
      <c r="D12" s="24">
        <v>252673312</v>
      </c>
      <c r="E12" s="55">
        <f aca="true" t="shared" si="1" ref="E12:E18">IF(ISERROR(D12/B12)," ",(D12/B12))</f>
        <v>0.38482074391620114</v>
      </c>
      <c r="F12" s="55">
        <f aca="true" t="shared" si="2" ref="F12:F18">IF(ISERROR(D12/C12)," ",(D12/C12))</f>
        <v>1</v>
      </c>
      <c r="G12" s="112">
        <f>D12-'[4]Aprīlis'!D12</f>
        <v>55357953</v>
      </c>
      <c r="H12" s="31" t="s">
        <v>212</v>
      </c>
      <c r="I12" s="105">
        <f aca="true" t="shared" si="3" ref="I12:K14">ROUND(B12/1000,0)</f>
        <v>656600</v>
      </c>
      <c r="J12" s="105">
        <f t="shared" si="3"/>
        <v>252673</v>
      </c>
      <c r="K12" s="105">
        <f t="shared" si="3"/>
        <v>252673</v>
      </c>
      <c r="L12" s="176">
        <f aca="true" t="shared" si="4" ref="L12:L18">IF(ISERROR(ROUND(K12,0)/ROUND(I12,0))," ",(ROUND(K12,)/ROUND(I12,)))</f>
        <v>0.38482028632348464</v>
      </c>
      <c r="M12" s="176">
        <f t="shared" si="0"/>
        <v>1</v>
      </c>
      <c r="N12" s="112">
        <f>K12-'[4]Aprīlis'!K12</f>
        <v>55358</v>
      </c>
    </row>
    <row r="13" spans="1:14" s="130" customFormat="1" ht="19.5" customHeight="1">
      <c r="A13" s="31" t="s">
        <v>213</v>
      </c>
      <c r="B13" s="24">
        <v>1092020</v>
      </c>
      <c r="C13" s="24">
        <v>212845</v>
      </c>
      <c r="D13" s="24"/>
      <c r="E13" s="55">
        <f t="shared" si="1"/>
        <v>0</v>
      </c>
      <c r="F13" s="55">
        <f t="shared" si="2"/>
        <v>0</v>
      </c>
      <c r="G13" s="112">
        <f>D13-'[4]Aprīlis'!D13</f>
        <v>0</v>
      </c>
      <c r="H13" s="31" t="s">
        <v>213</v>
      </c>
      <c r="I13" s="105">
        <f t="shared" si="3"/>
        <v>1092</v>
      </c>
      <c r="J13" s="105">
        <f t="shared" si="3"/>
        <v>213</v>
      </c>
      <c r="K13" s="105">
        <f t="shared" si="3"/>
        <v>0</v>
      </c>
      <c r="L13" s="176">
        <f t="shared" si="4"/>
        <v>0</v>
      </c>
      <c r="M13" s="176">
        <f t="shared" si="0"/>
        <v>0</v>
      </c>
      <c r="N13" s="112">
        <f>K13-'[4]Aprīlis'!K13</f>
        <v>0</v>
      </c>
    </row>
    <row r="14" spans="1:14" s="130" customFormat="1" ht="18.75" customHeight="1">
      <c r="A14" s="31" t="s">
        <v>171</v>
      </c>
      <c r="B14" s="24">
        <v>63226723</v>
      </c>
      <c r="C14" s="24">
        <v>28373035</v>
      </c>
      <c r="D14" s="24">
        <v>23284170</v>
      </c>
      <c r="E14" s="55">
        <f t="shared" si="1"/>
        <v>0.3682646971914075</v>
      </c>
      <c r="F14" s="55">
        <f t="shared" si="2"/>
        <v>0.8206443195097035</v>
      </c>
      <c r="G14" s="112">
        <f>D14-'[4]Aprīlis'!D14</f>
        <v>4526682</v>
      </c>
      <c r="H14" s="31" t="s">
        <v>171</v>
      </c>
      <c r="I14" s="105">
        <f t="shared" si="3"/>
        <v>63227</v>
      </c>
      <c r="J14" s="105">
        <f t="shared" si="3"/>
        <v>28373</v>
      </c>
      <c r="K14" s="105">
        <f>ROUND(D14/1000,0)</f>
        <v>23284</v>
      </c>
      <c r="L14" s="176">
        <f t="shared" si="4"/>
        <v>0.3682603950843785</v>
      </c>
      <c r="M14" s="176">
        <f t="shared" si="0"/>
        <v>0.8206393402178127</v>
      </c>
      <c r="N14" s="112">
        <f>K14-'[4]Aprīlis'!K14</f>
        <v>4526</v>
      </c>
    </row>
    <row r="15" spans="1:14" s="130" customFormat="1" ht="24" customHeight="1">
      <c r="A15" s="127" t="s">
        <v>100</v>
      </c>
      <c r="B15" s="62">
        <f>SUM(B16,B41)</f>
        <v>720918773</v>
      </c>
      <c r="C15" s="62">
        <f>SUM(C16,C41)</f>
        <v>283498414</v>
      </c>
      <c r="D15" s="62">
        <f>SUM(D16,D41)</f>
        <v>270977178</v>
      </c>
      <c r="E15" s="55">
        <f t="shared" si="1"/>
        <v>0.37587754425143816</v>
      </c>
      <c r="F15" s="55">
        <f t="shared" si="2"/>
        <v>0.9558331356308751</v>
      </c>
      <c r="G15" s="62">
        <f>SUM(G16,G41)</f>
        <v>58938222</v>
      </c>
      <c r="H15" s="127" t="s">
        <v>100</v>
      </c>
      <c r="I15" s="151">
        <f>SUM(I16,I41)</f>
        <v>720919</v>
      </c>
      <c r="J15" s="151">
        <f>SUM(J16,J41)</f>
        <v>283498</v>
      </c>
      <c r="K15" s="151">
        <f>SUM(K16,K41)</f>
        <v>270977</v>
      </c>
      <c r="L15" s="175">
        <f t="shared" si="4"/>
        <v>0.3758771789895952</v>
      </c>
      <c r="M15" s="175">
        <f t="shared" si="0"/>
        <v>0.9558339035901487</v>
      </c>
      <c r="N15" s="151">
        <f>SUM(N16,N41)</f>
        <v>58938</v>
      </c>
    </row>
    <row r="16" spans="1:14" s="130" customFormat="1" ht="18.75" customHeight="1">
      <c r="A16" s="15" t="s">
        <v>214</v>
      </c>
      <c r="B16" s="16">
        <v>653325305</v>
      </c>
      <c r="C16" s="16">
        <v>263471517</v>
      </c>
      <c r="D16" s="16">
        <f>SUM(D17,D24,D28)</f>
        <v>254781971</v>
      </c>
      <c r="E16" s="55">
        <f t="shared" si="1"/>
        <v>0.38997719673509357</v>
      </c>
      <c r="F16" s="55">
        <f t="shared" si="2"/>
        <v>0.9670190307516239</v>
      </c>
      <c r="G16" s="16">
        <f>SUM(G17,G24,G28)</f>
        <v>52545866</v>
      </c>
      <c r="H16" s="15" t="s">
        <v>214</v>
      </c>
      <c r="I16" s="128">
        <f>ROUND(B16/1000,0)+1</f>
        <v>653326</v>
      </c>
      <c r="J16" s="128">
        <f>ROUND(C16/1000,0)-1</f>
        <v>263471</v>
      </c>
      <c r="K16" s="177">
        <f>SUM(K17,K24,K28)</f>
        <v>254782</v>
      </c>
      <c r="L16" s="175">
        <f t="shared" si="4"/>
        <v>0.38997682627049896</v>
      </c>
      <c r="M16" s="175">
        <f t="shared" si="0"/>
        <v>0.9670210383685491</v>
      </c>
      <c r="N16" s="177">
        <f>SUM(N17,N24,N28)</f>
        <v>52546</v>
      </c>
    </row>
    <row r="17" spans="1:14" s="130" customFormat="1" ht="22.5" customHeight="1">
      <c r="A17" s="64" t="s">
        <v>63</v>
      </c>
      <c r="B17" s="108">
        <v>322671779</v>
      </c>
      <c r="C17" s="108">
        <v>131122980</v>
      </c>
      <c r="D17" s="108">
        <f>SUM(D18,D19,D20,D23)</f>
        <v>125231645</v>
      </c>
      <c r="E17" s="55">
        <f t="shared" si="1"/>
        <v>0.3881084530791892</v>
      </c>
      <c r="F17" s="55">
        <f t="shared" si="2"/>
        <v>0.955070156276192</v>
      </c>
      <c r="G17" s="108">
        <f>SUM(G18,G19,G20,G23)</f>
        <v>25325896</v>
      </c>
      <c r="H17" s="64" t="s">
        <v>63</v>
      </c>
      <c r="I17" s="109">
        <f>ROUND(B17/1000,0)</f>
        <v>322672</v>
      </c>
      <c r="J17" s="109">
        <f>ROUND(C17/1000,0)</f>
        <v>131123</v>
      </c>
      <c r="K17" s="111">
        <f>SUM(K18,K19,K20,K23)</f>
        <v>125232</v>
      </c>
      <c r="L17" s="178">
        <f t="shared" si="4"/>
        <v>0.3881092874497942</v>
      </c>
      <c r="M17" s="178">
        <f t="shared" si="0"/>
        <v>0.9550727179823525</v>
      </c>
      <c r="N17" s="111">
        <f>SUM(N18,N19,N20,N23)</f>
        <v>25327</v>
      </c>
    </row>
    <row r="18" spans="1:14" s="130" customFormat="1" ht="18" customHeight="1">
      <c r="A18" s="29" t="s">
        <v>64</v>
      </c>
      <c r="B18" s="112">
        <v>151014228</v>
      </c>
      <c r="C18" s="112">
        <v>59589646</v>
      </c>
      <c r="D18" s="112">
        <f>58153998</f>
        <v>58153998</v>
      </c>
      <c r="E18" s="69">
        <f t="shared" si="1"/>
        <v>0.38508952944486796</v>
      </c>
      <c r="F18" s="69">
        <f t="shared" si="2"/>
        <v>0.9759077608885275</v>
      </c>
      <c r="G18" s="112">
        <f>D18-'[4]Aprīlis'!D18</f>
        <v>11920740</v>
      </c>
      <c r="H18" s="29" t="s">
        <v>64</v>
      </c>
      <c r="I18" s="105">
        <f>ROUND(B18/1000,0)</f>
        <v>151014</v>
      </c>
      <c r="J18" s="105">
        <f>ROUND(C18/1000,0)</f>
        <v>59590</v>
      </c>
      <c r="K18" s="105">
        <f>ROUND(D18/1000,0)</f>
        <v>58154</v>
      </c>
      <c r="L18" s="176">
        <f t="shared" si="4"/>
        <v>0.3850901240944548</v>
      </c>
      <c r="M18" s="176">
        <f t="shared" si="0"/>
        <v>0.975901996979359</v>
      </c>
      <c r="N18" s="112">
        <f>K18-'[4]Aprīlis'!K18</f>
        <v>11921</v>
      </c>
    </row>
    <row r="19" spans="1:14" s="130" customFormat="1" ht="24" customHeight="1">
      <c r="A19" s="31" t="s">
        <v>101</v>
      </c>
      <c r="B19" s="70" t="s">
        <v>59</v>
      </c>
      <c r="C19" s="70" t="s">
        <v>59</v>
      </c>
      <c r="D19" s="112">
        <v>15716859</v>
      </c>
      <c r="E19" s="114" t="s">
        <v>59</v>
      </c>
      <c r="F19" s="179" t="s">
        <v>59</v>
      </c>
      <c r="G19" s="112">
        <f>D19-'[4]Aprīlis'!D19</f>
        <v>3179508</v>
      </c>
      <c r="H19" s="31" t="s">
        <v>101</v>
      </c>
      <c r="I19" s="115" t="s">
        <v>59</v>
      </c>
      <c r="J19" s="115" t="s">
        <v>59</v>
      </c>
      <c r="K19" s="105">
        <f>ROUND(D19/1000,0)</f>
        <v>15717</v>
      </c>
      <c r="L19" s="114" t="s">
        <v>59</v>
      </c>
      <c r="M19" s="179" t="s">
        <v>59</v>
      </c>
      <c r="N19" s="112">
        <f>K19-'[4]Aprīlis'!K19</f>
        <v>3180</v>
      </c>
    </row>
    <row r="20" spans="1:14" s="130" customFormat="1" ht="19.5" customHeight="1">
      <c r="A20" s="31" t="s">
        <v>66</v>
      </c>
      <c r="B20" s="70" t="s">
        <v>59</v>
      </c>
      <c r="C20" s="70" t="s">
        <v>59</v>
      </c>
      <c r="D20" s="112">
        <f>SUM(D21:D22)</f>
        <v>51308909</v>
      </c>
      <c r="E20" s="114" t="s">
        <v>59</v>
      </c>
      <c r="F20" s="179" t="s">
        <v>59</v>
      </c>
      <c r="G20" s="112">
        <f>SUM(G21:G22)</f>
        <v>10276803</v>
      </c>
      <c r="H20" s="31" t="s">
        <v>66</v>
      </c>
      <c r="I20" s="115" t="s">
        <v>59</v>
      </c>
      <c r="J20" s="115" t="s">
        <v>59</v>
      </c>
      <c r="K20" s="155">
        <f>SUM(K21:K22)</f>
        <v>51309</v>
      </c>
      <c r="L20" s="114" t="s">
        <v>59</v>
      </c>
      <c r="M20" s="179" t="s">
        <v>59</v>
      </c>
      <c r="N20" s="155">
        <f>SUM(N21:N22)</f>
        <v>10277</v>
      </c>
    </row>
    <row r="21" spans="1:14" s="181" customFormat="1" ht="17.25" customHeight="1">
      <c r="A21" s="72" t="s">
        <v>215</v>
      </c>
      <c r="B21" s="73" t="s">
        <v>59</v>
      </c>
      <c r="C21" s="73" t="s">
        <v>59</v>
      </c>
      <c r="D21" s="116">
        <f>19530954+26865999+8400+504</f>
        <v>46405857</v>
      </c>
      <c r="E21" s="117" t="s">
        <v>59</v>
      </c>
      <c r="F21" s="180" t="s">
        <v>59</v>
      </c>
      <c r="G21" s="112">
        <f>D21-'[4]Aprīlis'!D21</f>
        <v>9125677</v>
      </c>
      <c r="H21" s="72" t="s">
        <v>216</v>
      </c>
      <c r="I21" s="118" t="s">
        <v>59</v>
      </c>
      <c r="J21" s="118" t="s">
        <v>59</v>
      </c>
      <c r="K21" s="119">
        <f>ROUND(D21/1000,0)</f>
        <v>46406</v>
      </c>
      <c r="L21" s="117" t="s">
        <v>59</v>
      </c>
      <c r="M21" s="180" t="s">
        <v>59</v>
      </c>
      <c r="N21" s="116">
        <f>K21-'[4]Aprīlis'!K21</f>
        <v>9126</v>
      </c>
    </row>
    <row r="22" spans="1:14" s="181" customFormat="1" ht="17.25" customHeight="1">
      <c r="A22" s="72" t="s">
        <v>104</v>
      </c>
      <c r="B22" s="73" t="s">
        <v>59</v>
      </c>
      <c r="C22" s="73" t="s">
        <v>59</v>
      </c>
      <c r="D22" s="116">
        <f>2383913+457673-5857+2036529+29944+850</f>
        <v>4903052</v>
      </c>
      <c r="E22" s="117" t="s">
        <v>59</v>
      </c>
      <c r="F22" s="180" t="s">
        <v>59</v>
      </c>
      <c r="G22" s="112">
        <f>D22-'[4]Aprīlis'!D22</f>
        <v>1151126</v>
      </c>
      <c r="H22" s="182" t="s">
        <v>217</v>
      </c>
      <c r="I22" s="118" t="s">
        <v>59</v>
      </c>
      <c r="J22" s="118" t="s">
        <v>59</v>
      </c>
      <c r="K22" s="119">
        <f>ROUND(D22/1000,0)</f>
        <v>4903</v>
      </c>
      <c r="L22" s="117" t="s">
        <v>59</v>
      </c>
      <c r="M22" s="180" t="s">
        <v>59</v>
      </c>
      <c r="N22" s="116">
        <f>K22-'[4]Aprīlis'!K22</f>
        <v>1151</v>
      </c>
    </row>
    <row r="23" spans="1:14" s="130" customFormat="1" ht="20.25" customHeight="1">
      <c r="A23" s="31" t="s">
        <v>218</v>
      </c>
      <c r="B23" s="70" t="s">
        <v>59</v>
      </c>
      <c r="C23" s="70" t="s">
        <v>59</v>
      </c>
      <c r="D23" s="112">
        <v>51879</v>
      </c>
      <c r="E23" s="114" t="s">
        <v>59</v>
      </c>
      <c r="F23" s="179" t="s">
        <v>59</v>
      </c>
      <c r="G23" s="112">
        <f>D23-'[4]Aprīlis'!D23</f>
        <v>-51155</v>
      </c>
      <c r="H23" s="31" t="s">
        <v>218</v>
      </c>
      <c r="I23" s="115" t="s">
        <v>59</v>
      </c>
      <c r="J23" s="115" t="s">
        <v>59</v>
      </c>
      <c r="K23" s="105">
        <f>ROUND(D23/1000,0)</f>
        <v>52</v>
      </c>
      <c r="L23" s="114" t="s">
        <v>59</v>
      </c>
      <c r="M23" s="179" t="s">
        <v>59</v>
      </c>
      <c r="N23" s="112">
        <f>K23-'[4]Aprīlis'!K23</f>
        <v>-51</v>
      </c>
    </row>
    <row r="24" spans="1:14" s="130" customFormat="1" ht="26.25" customHeight="1">
      <c r="A24" s="77" t="s">
        <v>70</v>
      </c>
      <c r="B24" s="108">
        <v>41515750</v>
      </c>
      <c r="C24" s="108">
        <v>14567881</v>
      </c>
      <c r="D24" s="108">
        <f>SUM(D25,D26,D27)</f>
        <v>11460312</v>
      </c>
      <c r="E24" s="55">
        <f>IF(ISERROR(D24/B24)," ",(D24/B24))</f>
        <v>0.2760473314344556</v>
      </c>
      <c r="F24" s="55">
        <f>IF(ISERROR(D24/C24)," ",(D24/C24))</f>
        <v>0.7866835265883899</v>
      </c>
      <c r="G24" s="108">
        <f>SUM(G25,G26,G27)</f>
        <v>3035295</v>
      </c>
      <c r="H24" s="77" t="s">
        <v>70</v>
      </c>
      <c r="I24" s="183">
        <f>ROUND(B24/1000,0)</f>
        <v>41516</v>
      </c>
      <c r="J24" s="183">
        <f>ROUND(C24/1000,0)</f>
        <v>14568</v>
      </c>
      <c r="K24" s="111">
        <f>SUM(K25,K26,K27)</f>
        <v>11460</v>
      </c>
      <c r="L24" s="178">
        <f>IF(ISERROR(ROUND(K24,0)/ROUND(I24,0))," ",(ROUND(K24,)/ROUND(I24,)))</f>
        <v>0.27603815396473647</v>
      </c>
      <c r="M24" s="178">
        <f>IF(ISERROR(ROUND(K24,0)/ROUND(J24,0))," ",(ROUND(K24,)/ROUND(J24,)))</f>
        <v>0.78665568369028</v>
      </c>
      <c r="N24" s="111">
        <f>SUM(N25,N26,N27)</f>
        <v>3035</v>
      </c>
    </row>
    <row r="25" spans="1:14" s="130" customFormat="1" ht="16.5" customHeight="1">
      <c r="A25" s="31" t="s">
        <v>219</v>
      </c>
      <c r="B25" s="70" t="s">
        <v>59</v>
      </c>
      <c r="C25" s="70" t="s">
        <v>59</v>
      </c>
      <c r="D25" s="112">
        <v>5842959</v>
      </c>
      <c r="E25" s="114" t="s">
        <v>59</v>
      </c>
      <c r="F25" s="179" t="s">
        <v>59</v>
      </c>
      <c r="G25" s="112">
        <f>D25-'[4]Aprīlis'!D25</f>
        <v>1837543</v>
      </c>
      <c r="H25" s="31" t="s">
        <v>219</v>
      </c>
      <c r="I25" s="115" t="s">
        <v>59</v>
      </c>
      <c r="J25" s="115" t="s">
        <v>59</v>
      </c>
      <c r="K25" s="105">
        <f>ROUND(D25/1000,0)</f>
        <v>5843</v>
      </c>
      <c r="L25" s="114" t="s">
        <v>59</v>
      </c>
      <c r="M25" s="179" t="s">
        <v>59</v>
      </c>
      <c r="N25" s="112">
        <f>K25-'[4]Aprīlis'!K25</f>
        <v>1838</v>
      </c>
    </row>
    <row r="26" spans="1:14" s="130" customFormat="1" ht="17.25" customHeight="1">
      <c r="A26" s="31" t="s">
        <v>220</v>
      </c>
      <c r="B26" s="70" t="s">
        <v>59</v>
      </c>
      <c r="C26" s="70" t="s">
        <v>59</v>
      </c>
      <c r="D26" s="112">
        <v>5553507</v>
      </c>
      <c r="E26" s="114" t="s">
        <v>59</v>
      </c>
      <c r="F26" s="179" t="s">
        <v>59</v>
      </c>
      <c r="G26" s="112">
        <f>D26-'[4]Aprīlis'!D26</f>
        <v>1179666</v>
      </c>
      <c r="H26" s="31" t="s">
        <v>220</v>
      </c>
      <c r="I26" s="115" t="s">
        <v>59</v>
      </c>
      <c r="J26" s="115" t="s">
        <v>59</v>
      </c>
      <c r="K26" s="105">
        <f>ROUND(D26/1000,0)-1</f>
        <v>5553</v>
      </c>
      <c r="L26" s="114" t="s">
        <v>59</v>
      </c>
      <c r="M26" s="179" t="s">
        <v>59</v>
      </c>
      <c r="N26" s="112">
        <f>K26-'[4]Aprīlis'!K26</f>
        <v>1179</v>
      </c>
    </row>
    <row r="27" spans="1:14" s="130" customFormat="1" ht="24" customHeight="1">
      <c r="A27" s="31" t="s">
        <v>221</v>
      </c>
      <c r="B27" s="70" t="s">
        <v>59</v>
      </c>
      <c r="C27" s="70" t="s">
        <v>59</v>
      </c>
      <c r="D27" s="112">
        <v>63846</v>
      </c>
      <c r="E27" s="114" t="s">
        <v>59</v>
      </c>
      <c r="F27" s="179" t="s">
        <v>59</v>
      </c>
      <c r="G27" s="112">
        <f>D27-'[4]Aprīlis'!D27</f>
        <v>18086</v>
      </c>
      <c r="H27" s="31" t="s">
        <v>221</v>
      </c>
      <c r="I27" s="115" t="s">
        <v>59</v>
      </c>
      <c r="J27" s="115" t="s">
        <v>59</v>
      </c>
      <c r="K27" s="105">
        <f>ROUND(D27/1000,0)</f>
        <v>64</v>
      </c>
      <c r="L27" s="114" t="s">
        <v>59</v>
      </c>
      <c r="M27" s="179" t="s">
        <v>59</v>
      </c>
      <c r="N27" s="112">
        <f>K27-'[4]Aprīlis'!K27</f>
        <v>18</v>
      </c>
    </row>
    <row r="28" spans="1:14" s="130" customFormat="1" ht="23.25" customHeight="1">
      <c r="A28" s="184" t="s">
        <v>73</v>
      </c>
      <c r="B28" s="108">
        <v>289137776</v>
      </c>
      <c r="C28" s="108">
        <v>117780656</v>
      </c>
      <c r="D28" s="108">
        <f>SUM(D29,D30,D31,D32,D35,D40)</f>
        <v>118090014</v>
      </c>
      <c r="E28" s="55">
        <f>IF(ISERROR(D28/B28)," ",(D28/B28))</f>
        <v>0.4084212572763235</v>
      </c>
      <c r="F28" s="55">
        <f>IF(ISERROR(D28/C28)," ",(D28/C28))</f>
        <v>1.002626560341114</v>
      </c>
      <c r="G28" s="108">
        <f>SUM(G29,G30,G31,G32,G35,G40)</f>
        <v>24184675</v>
      </c>
      <c r="H28" s="184" t="s">
        <v>73</v>
      </c>
      <c r="I28" s="183">
        <f>ROUND(B28/1000,0)</f>
        <v>289138</v>
      </c>
      <c r="J28" s="183">
        <f>ROUND(C28/1000,0)</f>
        <v>117781</v>
      </c>
      <c r="K28" s="111">
        <f>SUM(K29,K30,K31,K32,K35,K40)</f>
        <v>118090</v>
      </c>
      <c r="L28" s="178">
        <f>IF(ISERROR(ROUND(K28,0)/ROUND(I28,0))," ",(ROUND(K28,)/ROUND(I28,)))</f>
        <v>0.4084208924458217</v>
      </c>
      <c r="M28" s="178">
        <f>IF(ISERROR(ROUND(K28,0)/ROUND(J28,0))," ",(ROUND(K28,)/ROUND(J28,)))</f>
        <v>1.0026235131303012</v>
      </c>
      <c r="N28" s="111">
        <f>SUM(N29,N30,N31,N32,N35,N40)</f>
        <v>24184</v>
      </c>
    </row>
    <row r="29" spans="1:14" s="130" customFormat="1" ht="12.75">
      <c r="A29" s="29" t="s">
        <v>74</v>
      </c>
      <c r="B29" s="70" t="s">
        <v>59</v>
      </c>
      <c r="C29" s="70" t="s">
        <v>59</v>
      </c>
      <c r="D29" s="112">
        <f>6625126+7693</f>
        <v>6632819</v>
      </c>
      <c r="E29" s="114" t="s">
        <v>59</v>
      </c>
      <c r="F29" s="179" t="s">
        <v>59</v>
      </c>
      <c r="G29" s="112">
        <f>D29-'[4]Aprīlis'!D29</f>
        <v>1351169</v>
      </c>
      <c r="H29" s="29" t="s">
        <v>74</v>
      </c>
      <c r="I29" s="115" t="s">
        <v>59</v>
      </c>
      <c r="J29" s="115" t="s">
        <v>59</v>
      </c>
      <c r="K29" s="113">
        <f>ROUND(D29/1000,0)</f>
        <v>6633</v>
      </c>
      <c r="L29" s="114" t="s">
        <v>59</v>
      </c>
      <c r="M29" s="179" t="s">
        <v>59</v>
      </c>
      <c r="N29" s="112">
        <f>K29-'[4]Aprīlis'!K29</f>
        <v>1351</v>
      </c>
    </row>
    <row r="30" spans="1:14" s="130" customFormat="1" ht="15.75" customHeight="1">
      <c r="A30" s="31" t="s">
        <v>75</v>
      </c>
      <c r="B30" s="70" t="s">
        <v>59</v>
      </c>
      <c r="C30" s="70" t="s">
        <v>59</v>
      </c>
      <c r="D30" s="112">
        <v>34810651</v>
      </c>
      <c r="E30" s="114" t="s">
        <v>59</v>
      </c>
      <c r="F30" s="179" t="s">
        <v>59</v>
      </c>
      <c r="G30" s="112">
        <f>D30-'[4]Aprīlis'!D30</f>
        <v>6963788</v>
      </c>
      <c r="H30" s="31" t="s">
        <v>75</v>
      </c>
      <c r="I30" s="115" t="s">
        <v>59</v>
      </c>
      <c r="J30" s="115" t="s">
        <v>59</v>
      </c>
      <c r="K30" s="105">
        <f>ROUND(D30/1000,0)</f>
        <v>34811</v>
      </c>
      <c r="L30" s="114" t="s">
        <v>59</v>
      </c>
      <c r="M30" s="179" t="s">
        <v>59</v>
      </c>
      <c r="N30" s="112">
        <f>K30-'[4]Aprīlis'!K30</f>
        <v>6964</v>
      </c>
    </row>
    <row r="31" spans="1:14" s="130" customFormat="1" ht="16.5" customHeight="1">
      <c r="A31" s="31" t="s">
        <v>76</v>
      </c>
      <c r="B31" s="70" t="s">
        <v>59</v>
      </c>
      <c r="C31" s="70" t="s">
        <v>59</v>
      </c>
      <c r="D31" s="112">
        <v>2542922</v>
      </c>
      <c r="E31" s="114" t="s">
        <v>59</v>
      </c>
      <c r="F31" s="179" t="s">
        <v>59</v>
      </c>
      <c r="G31" s="112">
        <f>D31-'[4]Aprīlis'!D31</f>
        <v>508584</v>
      </c>
      <c r="H31" s="31" t="s">
        <v>76</v>
      </c>
      <c r="I31" s="115" t="s">
        <v>59</v>
      </c>
      <c r="J31" s="115" t="s">
        <v>59</v>
      </c>
      <c r="K31" s="105">
        <f>ROUND(D31/1000,0)</f>
        <v>2543</v>
      </c>
      <c r="L31" s="114" t="s">
        <v>59</v>
      </c>
      <c r="M31" s="179" t="s">
        <v>59</v>
      </c>
      <c r="N31" s="112">
        <f>K31-'[4]Aprīlis'!K31</f>
        <v>509</v>
      </c>
    </row>
    <row r="32" spans="1:14" s="130" customFormat="1" ht="15" customHeight="1">
      <c r="A32" s="31" t="s">
        <v>107</v>
      </c>
      <c r="B32" s="70" t="s">
        <v>59</v>
      </c>
      <c r="C32" s="70" t="s">
        <v>59</v>
      </c>
      <c r="D32" s="112">
        <f>SUM(D33,D34)</f>
        <v>40262302</v>
      </c>
      <c r="E32" s="114" t="s">
        <v>59</v>
      </c>
      <c r="F32" s="179" t="s">
        <v>59</v>
      </c>
      <c r="G32" s="112">
        <f>SUM(G33,G34)</f>
        <v>8784100</v>
      </c>
      <c r="H32" s="31" t="s">
        <v>107</v>
      </c>
      <c r="I32" s="115" t="s">
        <v>59</v>
      </c>
      <c r="J32" s="115" t="s">
        <v>59</v>
      </c>
      <c r="K32" s="125">
        <f>SUM(K33,K34)</f>
        <v>40262</v>
      </c>
      <c r="L32" s="114" t="s">
        <v>59</v>
      </c>
      <c r="M32" s="179" t="s">
        <v>59</v>
      </c>
      <c r="N32" s="155">
        <f>SUM(N33,N34)</f>
        <v>8783</v>
      </c>
    </row>
    <row r="33" spans="1:14" s="185" customFormat="1" ht="16.5" customHeight="1">
      <c r="A33" s="72" t="s">
        <v>222</v>
      </c>
      <c r="B33" s="73" t="s">
        <v>59</v>
      </c>
      <c r="C33" s="73" t="s">
        <v>59</v>
      </c>
      <c r="D33" s="116">
        <f>434+24275799+761250</f>
        <v>25037483</v>
      </c>
      <c r="E33" s="117" t="s">
        <v>59</v>
      </c>
      <c r="F33" s="180" t="s">
        <v>59</v>
      </c>
      <c r="G33" s="112">
        <f>D33-'[4]Aprīlis'!D33</f>
        <v>6916239</v>
      </c>
      <c r="H33" s="182" t="s">
        <v>223</v>
      </c>
      <c r="I33" s="118" t="s">
        <v>59</v>
      </c>
      <c r="J33" s="118" t="s">
        <v>59</v>
      </c>
      <c r="K33" s="119">
        <f>ROUND(D33/1000,0)</f>
        <v>25037</v>
      </c>
      <c r="L33" s="117" t="s">
        <v>59</v>
      </c>
      <c r="M33" s="180" t="s">
        <v>59</v>
      </c>
      <c r="N33" s="116">
        <f>K33-'[4]Aprīlis'!K33</f>
        <v>6916</v>
      </c>
    </row>
    <row r="34" spans="1:14" s="185" customFormat="1" ht="15" customHeight="1">
      <c r="A34" s="72" t="s">
        <v>224</v>
      </c>
      <c r="B34" s="73" t="s">
        <v>59</v>
      </c>
      <c r="C34" s="73" t="s">
        <v>59</v>
      </c>
      <c r="D34" s="116">
        <f>40261868-24275799-761250</f>
        <v>15224819</v>
      </c>
      <c r="E34" s="117" t="s">
        <v>59</v>
      </c>
      <c r="F34" s="180" t="s">
        <v>59</v>
      </c>
      <c r="G34" s="112">
        <f>D34-'[4]Aprīlis'!D34</f>
        <v>1867861</v>
      </c>
      <c r="H34" s="72" t="s">
        <v>225</v>
      </c>
      <c r="I34" s="118" t="s">
        <v>59</v>
      </c>
      <c r="J34" s="118" t="s">
        <v>59</v>
      </c>
      <c r="K34" s="119">
        <f>ROUND(D34/1000,0)</f>
        <v>15225</v>
      </c>
      <c r="L34" s="117" t="s">
        <v>59</v>
      </c>
      <c r="M34" s="180" t="s">
        <v>59</v>
      </c>
      <c r="N34" s="116">
        <f>K34-'[4]Aprīlis'!K34</f>
        <v>1867</v>
      </c>
    </row>
    <row r="35" spans="1:14" ht="15" customHeight="1">
      <c r="A35" s="31" t="s">
        <v>78</v>
      </c>
      <c r="B35" s="70" t="s">
        <v>59</v>
      </c>
      <c r="C35" s="70" t="s">
        <v>59</v>
      </c>
      <c r="D35" s="112">
        <f>SUM(D36,D37,D38,D39)</f>
        <v>32406569</v>
      </c>
      <c r="E35" s="114" t="s">
        <v>59</v>
      </c>
      <c r="F35" s="179" t="s">
        <v>59</v>
      </c>
      <c r="G35" s="112">
        <f>SUM(G36,G37,G38,G39)</f>
        <v>6554390</v>
      </c>
      <c r="H35" s="31" t="s">
        <v>78</v>
      </c>
      <c r="I35" s="115" t="s">
        <v>59</v>
      </c>
      <c r="J35" s="115" t="s">
        <v>59</v>
      </c>
      <c r="K35" s="125">
        <f>SUM(K36,K37,K38,K39)</f>
        <v>32406</v>
      </c>
      <c r="L35" s="114" t="s">
        <v>59</v>
      </c>
      <c r="M35" s="179" t="s">
        <v>59</v>
      </c>
      <c r="N35" s="155">
        <f>SUM(N36,N37,N38,N39)</f>
        <v>6554</v>
      </c>
    </row>
    <row r="36" spans="1:14" s="120" customFormat="1" ht="15" customHeight="1">
      <c r="A36" s="182" t="s">
        <v>226</v>
      </c>
      <c r="B36" s="73" t="s">
        <v>59</v>
      </c>
      <c r="C36" s="73" t="s">
        <v>59</v>
      </c>
      <c r="D36" s="116">
        <f>80606+9976+104986</f>
        <v>195568</v>
      </c>
      <c r="E36" s="117" t="s">
        <v>59</v>
      </c>
      <c r="F36" s="180" t="s">
        <v>59</v>
      </c>
      <c r="G36" s="112">
        <f>D36-'[4]Aprīlis'!D36</f>
        <v>46779</v>
      </c>
      <c r="H36" s="182" t="s">
        <v>227</v>
      </c>
      <c r="I36" s="118" t="s">
        <v>59</v>
      </c>
      <c r="J36" s="118" t="s">
        <v>59</v>
      </c>
      <c r="K36" s="119">
        <f>ROUND(D36/1000,0)-1</f>
        <v>195</v>
      </c>
      <c r="L36" s="117" t="s">
        <v>59</v>
      </c>
      <c r="M36" s="180" t="s">
        <v>59</v>
      </c>
      <c r="N36" s="116">
        <f>K36-'[4]Aprīlis'!K36</f>
        <v>46</v>
      </c>
    </row>
    <row r="37" spans="1:14" s="120" customFormat="1" ht="15" customHeight="1">
      <c r="A37" s="72" t="s">
        <v>228</v>
      </c>
      <c r="B37" s="73" t="s">
        <v>59</v>
      </c>
      <c r="C37" s="73" t="s">
        <v>59</v>
      </c>
      <c r="D37" s="116">
        <v>27126688</v>
      </c>
      <c r="E37" s="117" t="s">
        <v>59</v>
      </c>
      <c r="F37" s="180" t="s">
        <v>59</v>
      </c>
      <c r="G37" s="112">
        <f>D37-'[4]Aprīlis'!D37</f>
        <v>5440774</v>
      </c>
      <c r="H37" s="72" t="s">
        <v>229</v>
      </c>
      <c r="I37" s="118" t="s">
        <v>59</v>
      </c>
      <c r="J37" s="118" t="s">
        <v>59</v>
      </c>
      <c r="K37" s="119">
        <f>ROUND(D37/1000,0)</f>
        <v>27127</v>
      </c>
      <c r="L37" s="117" t="s">
        <v>59</v>
      </c>
      <c r="M37" s="180" t="s">
        <v>59</v>
      </c>
      <c r="N37" s="116">
        <f>K37-'[4]Aprīlis'!K37</f>
        <v>5441</v>
      </c>
    </row>
    <row r="38" spans="1:14" s="120" customFormat="1" ht="15" customHeight="1">
      <c r="A38" s="72" t="s">
        <v>230</v>
      </c>
      <c r="B38" s="73" t="s">
        <v>59</v>
      </c>
      <c r="C38" s="73" t="s">
        <v>59</v>
      </c>
      <c r="D38" s="116">
        <v>2906131</v>
      </c>
      <c r="E38" s="117" t="s">
        <v>59</v>
      </c>
      <c r="F38" s="180" t="s">
        <v>59</v>
      </c>
      <c r="G38" s="112">
        <f>D38-'[4]Aprīlis'!D38</f>
        <v>598067</v>
      </c>
      <c r="H38" s="72" t="s">
        <v>231</v>
      </c>
      <c r="I38" s="118" t="s">
        <v>59</v>
      </c>
      <c r="J38" s="118" t="s">
        <v>59</v>
      </c>
      <c r="K38" s="119">
        <f>ROUND(D38/1000,0)</f>
        <v>2906</v>
      </c>
      <c r="L38" s="117" t="s">
        <v>59</v>
      </c>
      <c r="M38" s="180" t="s">
        <v>59</v>
      </c>
      <c r="N38" s="116">
        <f>K38-'[4]Aprīlis'!K38</f>
        <v>598</v>
      </c>
    </row>
    <row r="39" spans="1:14" s="120" customFormat="1" ht="15" customHeight="1">
      <c r="A39" s="72" t="s">
        <v>232</v>
      </c>
      <c r="B39" s="73" t="s">
        <v>59</v>
      </c>
      <c r="C39" s="73" t="s">
        <v>59</v>
      </c>
      <c r="D39" s="116">
        <v>2178182</v>
      </c>
      <c r="E39" s="117" t="s">
        <v>59</v>
      </c>
      <c r="F39" s="180" t="s">
        <v>59</v>
      </c>
      <c r="G39" s="112">
        <f>D39-'[4]Aprīlis'!D39</f>
        <v>468770</v>
      </c>
      <c r="H39" s="72" t="s">
        <v>233</v>
      </c>
      <c r="I39" s="118" t="s">
        <v>59</v>
      </c>
      <c r="J39" s="118" t="s">
        <v>59</v>
      </c>
      <c r="K39" s="119">
        <f>ROUND(D39/1000,0)</f>
        <v>2178</v>
      </c>
      <c r="L39" s="117" t="s">
        <v>59</v>
      </c>
      <c r="M39" s="180" t="s">
        <v>59</v>
      </c>
      <c r="N39" s="116">
        <f>K39-'[4]Aprīlis'!K39</f>
        <v>469</v>
      </c>
    </row>
    <row r="40" spans="1:14" ht="18.75" customHeight="1">
      <c r="A40" s="31" t="s">
        <v>234</v>
      </c>
      <c r="B40" s="112">
        <v>4684688</v>
      </c>
      <c r="C40" s="112">
        <v>2517765</v>
      </c>
      <c r="D40" s="112">
        <v>1434751</v>
      </c>
      <c r="E40" s="55">
        <f>IF(ISERROR(D40/B40)," ",(D40/B40))</f>
        <v>0.306263939028597</v>
      </c>
      <c r="F40" s="55">
        <f>IF(ISERROR(D40/C40)," ",(D40/C40))</f>
        <v>0.569851038520275</v>
      </c>
      <c r="G40" s="112">
        <f>D40-'[4]Aprīlis'!D40</f>
        <v>22644</v>
      </c>
      <c r="H40" s="31" t="s">
        <v>234</v>
      </c>
      <c r="I40" s="26">
        <f>ROUND(B40/1000,0)</f>
        <v>4685</v>
      </c>
      <c r="J40" s="26">
        <f>ROUND(C40/1000,0)</f>
        <v>2518</v>
      </c>
      <c r="K40" s="105">
        <f>ROUND(D40/1000,0)</f>
        <v>1435</v>
      </c>
      <c r="L40" s="176">
        <f>IF(ISERROR(ROUND(K40,0)/ROUND(I40,0))," ",(ROUND(K40,)/ROUND(I40,)))</f>
        <v>0.3062966915688367</v>
      </c>
      <c r="M40" s="176">
        <f>IF(ISERROR(ROUND(K40,0)/ROUND(J40,0))," ",(ROUND(K40,)/ROUND(J40,)))</f>
        <v>0.5698967434471803</v>
      </c>
      <c r="N40" s="112">
        <f>K40-'[4]Aprīlis'!K40</f>
        <v>23</v>
      </c>
    </row>
    <row r="41" spans="1:14" ht="27" customHeight="1">
      <c r="A41" s="53" t="s">
        <v>115</v>
      </c>
      <c r="B41" s="16">
        <f>SUM(B42:B43)</f>
        <v>67593468</v>
      </c>
      <c r="C41" s="16">
        <f>SUM(C42:C43)</f>
        <v>20026897</v>
      </c>
      <c r="D41" s="16">
        <f>SUM(D42:D43)</f>
        <v>16195207</v>
      </c>
      <c r="E41" s="55">
        <f>IF(ISERROR(D41/B41)," ",(D41/B41))</f>
        <v>0.2395972196603376</v>
      </c>
      <c r="F41" s="55">
        <f>IF(ISERROR(D41/C41)," ",(D41/C41))</f>
        <v>0.8086728063763448</v>
      </c>
      <c r="G41" s="16">
        <f>SUM(G42:G43)</f>
        <v>6392356</v>
      </c>
      <c r="H41" s="53" t="s">
        <v>115</v>
      </c>
      <c r="I41" s="177">
        <f>SUM(I42:I43)</f>
        <v>67593</v>
      </c>
      <c r="J41" s="177">
        <f>SUM(J42:J43)</f>
        <v>20027</v>
      </c>
      <c r="K41" s="177">
        <f>SUM(K42:K43)</f>
        <v>16195</v>
      </c>
      <c r="L41" s="175">
        <f>IF(ISERROR(ROUND(K41,0)/ROUND(I41,0))," ",(ROUND(K41,)/ROUND(I41,)))</f>
        <v>0.23959581613480685</v>
      </c>
      <c r="M41" s="175">
        <f>IF(ISERROR(ROUND(K41,0)/ROUND(J41,0))," ",(ROUND(K41,)/ROUND(J41,)))</f>
        <v>0.8086583112797723</v>
      </c>
      <c r="N41" s="177">
        <f>SUM(N42:N43)</f>
        <v>6392</v>
      </c>
    </row>
    <row r="42" spans="1:14" ht="24" customHeight="1">
      <c r="A42" s="161" t="s">
        <v>80</v>
      </c>
      <c r="B42" s="112">
        <v>14847167</v>
      </c>
      <c r="C42" s="112">
        <v>5182225</v>
      </c>
      <c r="D42" s="112">
        <f>2479884+20115+161029+913966+38571</f>
        <v>3613565</v>
      </c>
      <c r="E42" s="55">
        <f>IF(ISERROR(D42/B42)," ",(D42/B42))</f>
        <v>0.243384141903974</v>
      </c>
      <c r="F42" s="55">
        <f>IF(ISERROR(D42/C42)," ",(D42/C42))</f>
        <v>0.6972999049636015</v>
      </c>
      <c r="G42" s="112">
        <f>D42-'[4]Aprīlis'!D42</f>
        <v>1518233</v>
      </c>
      <c r="H42" s="161" t="s">
        <v>80</v>
      </c>
      <c r="I42" s="186">
        <f aca="true" t="shared" si="5" ref="I42:K43">ROUND(B42/1000,0)</f>
        <v>14847</v>
      </c>
      <c r="J42" s="186">
        <f t="shared" si="5"/>
        <v>5182</v>
      </c>
      <c r="K42" s="105">
        <f>ROUND(D42/1000,0)-1</f>
        <v>3613</v>
      </c>
      <c r="L42" s="176">
        <f>IF(ISERROR(ROUND(K42,0)/ROUND(I42,0))," ",(ROUND(K42,)/ROUND(I42,)))</f>
        <v>0.2433488246783862</v>
      </c>
      <c r="M42" s="176">
        <f>IF(ISERROR(ROUND(K42,0)/ROUND(J42,0))," ",(ROUND(K42,)/ROUND(J42,)))</f>
        <v>0.697221150135083</v>
      </c>
      <c r="N42" s="112">
        <f>K42-'[4]Aprīlis'!K42</f>
        <v>1518</v>
      </c>
    </row>
    <row r="43" spans="1:14" ht="19.5" customHeight="1">
      <c r="A43" s="31" t="s">
        <v>81</v>
      </c>
      <c r="B43" s="112">
        <v>52746301</v>
      </c>
      <c r="C43" s="112">
        <v>14844672</v>
      </c>
      <c r="D43" s="116">
        <v>12581642</v>
      </c>
      <c r="E43" s="55">
        <f>IF(ISERROR(D43/B43)," ",(D43/B43))</f>
        <v>0.23853126686551915</v>
      </c>
      <c r="F43" s="55">
        <f>IF(ISERROR(D43/C43)," ",(D43/C43))</f>
        <v>0.8475527111680204</v>
      </c>
      <c r="G43" s="112">
        <f>D43-'[4]Aprīlis'!D43</f>
        <v>4874123</v>
      </c>
      <c r="H43" s="31" t="s">
        <v>81</v>
      </c>
      <c r="I43" s="186">
        <f t="shared" si="5"/>
        <v>52746</v>
      </c>
      <c r="J43" s="186">
        <f t="shared" si="5"/>
        <v>14845</v>
      </c>
      <c r="K43" s="105">
        <f t="shared" si="5"/>
        <v>12582</v>
      </c>
      <c r="L43" s="176">
        <f>IF(ISERROR(ROUND(K43,0)/ROUND(I43,0))," ",(ROUND(K43,)/ROUND(I43,)))</f>
        <v>0.23853941531111364</v>
      </c>
      <c r="M43" s="176">
        <f>IF(ISERROR(ROUND(K43,0)/ROUND(J43,0))," ",(ROUND(K43,)/ROUND(J43,)))</f>
        <v>0.8475581003704952</v>
      </c>
      <c r="N43" s="112">
        <f>K43-'[4]Aprīlis'!K43</f>
        <v>4874</v>
      </c>
    </row>
    <row r="44" spans="1:14" ht="30" customHeight="1">
      <c r="A44" s="127" t="s">
        <v>235</v>
      </c>
      <c r="B44" s="70" t="s">
        <v>59</v>
      </c>
      <c r="C44" s="70" t="s">
        <v>59</v>
      </c>
      <c r="D44" s="16">
        <f>SUM(D45-D46)</f>
        <v>21373120</v>
      </c>
      <c r="E44" s="114" t="s">
        <v>59</v>
      </c>
      <c r="F44" s="179" t="s">
        <v>59</v>
      </c>
      <c r="G44" s="16">
        <f>SUM(G45-G46)</f>
        <v>5887656</v>
      </c>
      <c r="H44" s="127" t="s">
        <v>235</v>
      </c>
      <c r="I44" s="115" t="s">
        <v>59</v>
      </c>
      <c r="J44" s="115" t="s">
        <v>59</v>
      </c>
      <c r="K44" s="177">
        <f>SUM(K45-K46)</f>
        <v>21373</v>
      </c>
      <c r="L44" s="114" t="s">
        <v>59</v>
      </c>
      <c r="M44" s="179" t="s">
        <v>59</v>
      </c>
      <c r="N44" s="177">
        <f>SUM(N45-N46)</f>
        <v>5888</v>
      </c>
    </row>
    <row r="45" spans="1:14" ht="18.75" customHeight="1">
      <c r="A45" s="29" t="s">
        <v>118</v>
      </c>
      <c r="B45" s="112">
        <v>115425226</v>
      </c>
      <c r="C45" s="70" t="s">
        <v>59</v>
      </c>
      <c r="D45" s="187">
        <v>47727571</v>
      </c>
      <c r="E45" s="55"/>
      <c r="F45" s="55"/>
      <c r="G45" s="112">
        <f>D45-'[4]Aprīlis'!D45</f>
        <v>7439849</v>
      </c>
      <c r="H45" s="29" t="s">
        <v>118</v>
      </c>
      <c r="I45" s="186">
        <f aca="true" t="shared" si="6" ref="I45:K46">ROUND(B45/1000,0)</f>
        <v>115425</v>
      </c>
      <c r="J45" s="188" t="s">
        <v>59</v>
      </c>
      <c r="K45" s="105">
        <f>ROUND(D45/1000,0)-1</f>
        <v>47727</v>
      </c>
      <c r="L45" s="114" t="s">
        <v>59</v>
      </c>
      <c r="M45" s="114" t="s">
        <v>59</v>
      </c>
      <c r="N45" s="112">
        <f>K45-'[4]Aprīlis'!K45</f>
        <v>7440</v>
      </c>
    </row>
    <row r="46" spans="1:14" ht="22.5" customHeight="1">
      <c r="A46" s="84" t="s">
        <v>119</v>
      </c>
      <c r="B46" s="112">
        <v>19133003</v>
      </c>
      <c r="C46" s="70" t="s">
        <v>59</v>
      </c>
      <c r="D46" s="112">
        <v>26354451</v>
      </c>
      <c r="E46" s="55"/>
      <c r="F46" s="55"/>
      <c r="G46" s="112">
        <f>D46-'[4]Aprīlis'!D46</f>
        <v>1552193</v>
      </c>
      <c r="H46" s="84" t="s">
        <v>119</v>
      </c>
      <c r="I46" s="186">
        <f t="shared" si="6"/>
        <v>19133</v>
      </c>
      <c r="J46" s="188" t="s">
        <v>59</v>
      </c>
      <c r="K46" s="105">
        <f t="shared" si="6"/>
        <v>26354</v>
      </c>
      <c r="L46" s="114" t="s">
        <v>59</v>
      </c>
      <c r="M46" s="114" t="s">
        <v>59</v>
      </c>
      <c r="N46" s="112">
        <f>K46-'[4]Aprīlis'!K46</f>
        <v>1552</v>
      </c>
    </row>
    <row r="47" spans="1:14" s="130" customFormat="1" ht="19.5" customHeight="1">
      <c r="A47" s="79" t="s">
        <v>120</v>
      </c>
      <c r="B47" s="112">
        <v>-96292223</v>
      </c>
      <c r="C47" s="70" t="s">
        <v>59</v>
      </c>
      <c r="D47" s="16">
        <f>SUM(D11-D15-D44)</f>
        <v>-16392816</v>
      </c>
      <c r="E47" s="55">
        <f>IF(ISERROR(D47/B47)," ",(D47/B47))</f>
        <v>0.17024029032957314</v>
      </c>
      <c r="F47" s="179" t="s">
        <v>59</v>
      </c>
      <c r="G47" s="16">
        <f>SUM(G11-G15-G44)</f>
        <v>-4941243</v>
      </c>
      <c r="H47" s="79" t="s">
        <v>120</v>
      </c>
      <c r="I47" s="128">
        <f>ROUND(B47/1000,0)</f>
        <v>-96292</v>
      </c>
      <c r="J47" s="115" t="s">
        <v>59</v>
      </c>
      <c r="K47" s="177">
        <f>SUM(K11-K15-K44)</f>
        <v>-16393</v>
      </c>
      <c r="L47" s="175">
        <f>IF(ISERROR(ROUND(K47,0)/ROUND(I47,0))," ",(ROUND(K47,)/ROUND(I47,)))</f>
        <v>0.17024259543887343</v>
      </c>
      <c r="M47" s="179" t="s">
        <v>59</v>
      </c>
      <c r="N47" s="177">
        <f>SUM(N11-N15-N44)</f>
        <v>-4942</v>
      </c>
    </row>
    <row r="48" spans="1:14" ht="12.75" customHeight="1">
      <c r="A48" s="35"/>
      <c r="B48" s="33"/>
      <c r="C48" s="33"/>
      <c r="D48" s="33"/>
      <c r="E48" s="141"/>
      <c r="F48" s="189"/>
      <c r="G48" s="1"/>
      <c r="H48" s="35"/>
      <c r="I48" s="33"/>
      <c r="J48" s="33"/>
      <c r="K48" s="33"/>
      <c r="L48" s="141"/>
      <c r="M48" s="189"/>
      <c r="N48" s="1"/>
    </row>
    <row r="49" spans="1:14" ht="0.75" customHeight="1" hidden="1">
      <c r="A49" s="172"/>
      <c r="B49" s="96"/>
      <c r="C49" s="96"/>
      <c r="D49" s="96"/>
      <c r="E49" s="142"/>
      <c r="F49" s="97"/>
      <c r="G49" s="1"/>
      <c r="H49" s="172"/>
      <c r="I49" s="96"/>
      <c r="J49" s="96"/>
      <c r="K49" s="96"/>
      <c r="L49" s="142"/>
      <c r="M49" s="97"/>
      <c r="N49" s="1"/>
    </row>
    <row r="50" spans="1:14" ht="12.75">
      <c r="A50" s="101"/>
      <c r="B50" s="37"/>
      <c r="C50" s="190"/>
      <c r="D50" s="191"/>
      <c r="E50" s="101"/>
      <c r="F50" s="192"/>
      <c r="G50" s="1"/>
      <c r="H50" s="101"/>
      <c r="I50" s="37"/>
      <c r="J50" s="190"/>
      <c r="K50" s="191"/>
      <c r="L50" s="101"/>
      <c r="M50" s="192"/>
      <c r="N50" s="1"/>
    </row>
    <row r="51" spans="1:14" ht="12.75">
      <c r="A51" s="7" t="s">
        <v>236</v>
      </c>
      <c r="B51" s="101"/>
      <c r="C51" s="101"/>
      <c r="D51" s="101"/>
      <c r="E51" s="101"/>
      <c r="F51" s="101"/>
      <c r="G51" s="1"/>
      <c r="I51" s="101"/>
      <c r="J51" s="101"/>
      <c r="K51" s="101"/>
      <c r="L51" s="101"/>
      <c r="M51" s="101"/>
      <c r="N51" s="1"/>
    </row>
    <row r="52" spans="1:14" ht="12.75">
      <c r="A52" s="101"/>
      <c r="B52" s="1"/>
      <c r="C52" s="1"/>
      <c r="D52" s="1"/>
      <c r="E52" s="1"/>
      <c r="F52" s="1"/>
      <c r="G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I53" s="1"/>
      <c r="J53" s="1"/>
      <c r="K53" s="1"/>
      <c r="L53" s="1"/>
      <c r="M53" s="1"/>
      <c r="N53" s="1"/>
    </row>
    <row r="54" spans="1:14" ht="12.75">
      <c r="A54" s="1" t="s">
        <v>87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 t="s">
        <v>205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7:14" ht="12.75">
      <c r="G58" s="1"/>
      <c r="N58" s="1"/>
    </row>
    <row r="59" ht="12.75">
      <c r="G59" s="1"/>
    </row>
    <row r="60" ht="12.75">
      <c r="G60" s="1"/>
    </row>
    <row r="61" ht="12.75">
      <c r="G61" s="1"/>
    </row>
    <row r="62" ht="12.75">
      <c r="G62" s="1"/>
    </row>
    <row r="63" ht="12.75">
      <c r="G63" s="1"/>
    </row>
    <row r="64" ht="12.75"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8" ht="12.75">
      <c r="A68" s="1"/>
      <c r="B68" s="1"/>
      <c r="C68" s="1"/>
      <c r="D68" s="1"/>
      <c r="E68" s="1"/>
      <c r="F68" s="1"/>
      <c r="G68" s="1"/>
      <c r="H68" s="7" t="s">
        <v>86</v>
      </c>
    </row>
    <row r="69" spans="1:8" ht="12.75">
      <c r="A69" s="1"/>
      <c r="B69" s="1"/>
      <c r="C69" s="1"/>
      <c r="D69" s="1"/>
      <c r="E69" s="1"/>
      <c r="F69" s="1"/>
      <c r="G69" s="1"/>
      <c r="H69" s="10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 t="s">
        <v>87</v>
      </c>
    </row>
    <row r="72" spans="1:8" ht="12.75">
      <c r="A72" s="1"/>
      <c r="B72" s="1"/>
      <c r="C72" s="1"/>
      <c r="D72" s="1"/>
      <c r="E72" s="1"/>
      <c r="F72" s="1"/>
      <c r="G72" s="1"/>
      <c r="H72" s="1" t="s">
        <v>35</v>
      </c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8" ht="12.75">
      <c r="A288" s="1"/>
      <c r="B288" s="1"/>
      <c r="C288" s="1"/>
      <c r="D288" s="1"/>
      <c r="E288" s="1"/>
      <c r="F288" s="1"/>
      <c r="G288" s="1"/>
      <c r="H288" s="1"/>
    </row>
    <row r="289" spans="1:8" ht="12.75">
      <c r="A289" s="1"/>
      <c r="B289" s="1"/>
      <c r="C289" s="1"/>
      <c r="D289" s="1"/>
      <c r="E289" s="1"/>
      <c r="F289" s="1"/>
      <c r="G289" s="1"/>
      <c r="H289" s="1"/>
    </row>
    <row r="290" spans="1:8" ht="12.75">
      <c r="A290" s="1"/>
      <c r="B290" s="1"/>
      <c r="C290" s="1"/>
      <c r="D290" s="1"/>
      <c r="E290" s="1"/>
      <c r="F290" s="1"/>
      <c r="G290" s="1"/>
      <c r="H290" s="1"/>
    </row>
    <row r="291" spans="1:8" ht="12.75">
      <c r="A291" s="1"/>
      <c r="B291" s="1"/>
      <c r="C291" s="1"/>
      <c r="D291" s="1"/>
      <c r="E291" s="1"/>
      <c r="F291" s="1"/>
      <c r="G291" s="1"/>
      <c r="H291" s="1"/>
    </row>
    <row r="292" spans="1:8" ht="12.75">
      <c r="A292" s="1"/>
      <c r="B292" s="1"/>
      <c r="C292" s="1"/>
      <c r="D292" s="1"/>
      <c r="E292" s="1"/>
      <c r="F292" s="1"/>
      <c r="G292" s="1"/>
      <c r="H292" s="1"/>
    </row>
    <row r="293" spans="1:8" ht="12.75">
      <c r="A293" s="1"/>
      <c r="B293" s="1"/>
      <c r="C293" s="1"/>
      <c r="D293" s="1"/>
      <c r="E293" s="1"/>
      <c r="F293" s="1"/>
      <c r="G293" s="1"/>
      <c r="H293" s="1"/>
    </row>
    <row r="294" spans="1:8" ht="12.75">
      <c r="A294" s="1"/>
      <c r="B294" s="1"/>
      <c r="C294" s="1"/>
      <c r="D294" s="1"/>
      <c r="E294" s="1"/>
      <c r="F294" s="1"/>
      <c r="G294" s="1"/>
      <c r="H294" s="1"/>
    </row>
    <row r="295" spans="1:8" ht="12.75">
      <c r="A295" s="1"/>
      <c r="B295" s="1"/>
      <c r="C295" s="1"/>
      <c r="D295" s="1"/>
      <c r="E295" s="1"/>
      <c r="F295" s="1"/>
      <c r="G295" s="1"/>
      <c r="H295" s="1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  <row r="299" spans="1:8" ht="12.75">
      <c r="A299" s="1"/>
      <c r="B299" s="1"/>
      <c r="C299" s="1"/>
      <c r="D299" s="1"/>
      <c r="E299" s="1"/>
      <c r="F299" s="1"/>
      <c r="G299" s="1"/>
      <c r="H299" s="1"/>
    </row>
    <row r="300" spans="1:8" ht="12.75">
      <c r="A300" s="1"/>
      <c r="B300" s="1"/>
      <c r="C300" s="1"/>
      <c r="D300" s="1"/>
      <c r="E300" s="1"/>
      <c r="F300" s="1"/>
      <c r="G300" s="1"/>
      <c r="H300" s="1"/>
    </row>
    <row r="301" spans="1:8" ht="12.75">
      <c r="A301" s="1"/>
      <c r="B301" s="1"/>
      <c r="C301" s="1"/>
      <c r="D301" s="1"/>
      <c r="E301" s="1"/>
      <c r="F301" s="1"/>
      <c r="G301" s="1"/>
      <c r="H301" s="1"/>
    </row>
    <row r="302" spans="1:8" ht="12.75">
      <c r="A302" s="1"/>
      <c r="B302" s="1"/>
      <c r="C302" s="1"/>
      <c r="D302" s="1"/>
      <c r="E302" s="1"/>
      <c r="F302" s="1"/>
      <c r="G302" s="1"/>
      <c r="H302" s="1"/>
    </row>
    <row r="303" spans="1:8" ht="12.75">
      <c r="A303" s="1"/>
      <c r="B303" s="1"/>
      <c r="C303" s="1"/>
      <c r="D303" s="1"/>
      <c r="E303" s="1"/>
      <c r="F303" s="1"/>
      <c r="G303" s="1"/>
      <c r="H303" s="1"/>
    </row>
    <row r="304" spans="1:8" ht="12.75">
      <c r="A304" s="1"/>
      <c r="B304" s="1"/>
      <c r="C304" s="1"/>
      <c r="D304" s="1"/>
      <c r="E304" s="1"/>
      <c r="F304" s="1"/>
      <c r="G304" s="1"/>
      <c r="H304" s="1"/>
    </row>
    <row r="305" spans="1:8" ht="12.75">
      <c r="A305" s="1"/>
      <c r="B305" s="1"/>
      <c r="C305" s="1"/>
      <c r="D305" s="1"/>
      <c r="E305" s="1"/>
      <c r="F305" s="1"/>
      <c r="G305" s="1"/>
      <c r="H305" s="1"/>
    </row>
    <row r="306" spans="1:8" ht="12.75">
      <c r="A306" s="1"/>
      <c r="B306" s="1"/>
      <c r="C306" s="1"/>
      <c r="D306" s="1"/>
      <c r="E306" s="1"/>
      <c r="F306" s="1"/>
      <c r="G306" s="1"/>
      <c r="H306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247"/>
  <sheetViews>
    <sheetView workbookViewId="0" topLeftCell="A1">
      <selection activeCell="G10" sqref="G10"/>
    </sheetView>
  </sheetViews>
  <sheetFormatPr defaultColWidth="9.140625" defaultRowHeight="12.75"/>
  <cols>
    <col min="1" max="1" width="0.13671875" style="46" customWidth="1"/>
    <col min="2" max="2" width="14.421875" style="46" hidden="1" customWidth="1"/>
    <col min="3" max="3" width="11.8515625" style="46" hidden="1" customWidth="1"/>
    <col min="4" max="4" width="14.140625" style="46" hidden="1" customWidth="1"/>
    <col min="5" max="5" width="8.57421875" style="46" hidden="1" customWidth="1"/>
    <col min="6" max="6" width="11.00390625" style="46" hidden="1" customWidth="1"/>
    <col min="7" max="7" width="45.28125" style="0" customWidth="1"/>
    <col min="8" max="8" width="11.140625" style="0" customWidth="1"/>
    <col min="9" max="9" width="11.421875" style="0" customWidth="1"/>
    <col min="10" max="10" width="10.140625" style="0" customWidth="1"/>
    <col min="11" max="11" width="10.28125" style="0" customWidth="1"/>
    <col min="12" max="12" width="9.8515625" style="0" customWidth="1"/>
    <col min="34" max="16384" width="9.140625" style="2" customWidth="1"/>
  </cols>
  <sheetData>
    <row r="1" spans="1:12" ht="12.75">
      <c r="A1" s="47"/>
      <c r="B1" s="47"/>
      <c r="C1" s="47"/>
      <c r="D1" s="47"/>
      <c r="F1" s="46" t="s">
        <v>123</v>
      </c>
      <c r="L1" s="46" t="s">
        <v>123</v>
      </c>
    </row>
    <row r="2" spans="1:12" ht="12.75">
      <c r="A2" s="44" t="s">
        <v>124</v>
      </c>
      <c r="B2" s="44"/>
      <c r="C2" s="45"/>
      <c r="D2" s="45"/>
      <c r="E2" s="44"/>
      <c r="G2" s="281" t="s">
        <v>124</v>
      </c>
      <c r="H2" s="281"/>
      <c r="I2" s="281"/>
      <c r="J2" s="281"/>
      <c r="K2" s="281"/>
      <c r="L2" s="281"/>
    </row>
    <row r="3" spans="1:5" ht="12.75" customHeight="1">
      <c r="A3" s="44"/>
      <c r="B3" s="44"/>
      <c r="C3" s="45"/>
      <c r="D3" s="45"/>
      <c r="E3" s="44"/>
    </row>
    <row r="4" spans="1:12" ht="18" customHeight="1">
      <c r="A4" s="283" t="s">
        <v>125</v>
      </c>
      <c r="B4" s="283"/>
      <c r="C4" s="283"/>
      <c r="D4" s="283"/>
      <c r="E4" s="283"/>
      <c r="F4" s="283"/>
      <c r="G4" s="283" t="s">
        <v>125</v>
      </c>
      <c r="H4" s="283"/>
      <c r="I4" s="283"/>
      <c r="J4" s="283"/>
      <c r="K4" s="283"/>
      <c r="L4" s="283"/>
    </row>
    <row r="5" spans="1:12" ht="18" customHeight="1">
      <c r="A5" s="283" t="s">
        <v>126</v>
      </c>
      <c r="B5" s="283"/>
      <c r="C5" s="283"/>
      <c r="D5" s="283"/>
      <c r="E5" s="283"/>
      <c r="F5" s="283"/>
      <c r="G5" s="283" t="s">
        <v>126</v>
      </c>
      <c r="H5" s="283"/>
      <c r="I5" s="283"/>
      <c r="J5" s="283"/>
      <c r="K5" s="283"/>
      <c r="L5" s="283"/>
    </row>
    <row r="6" spans="1:12" ht="12.75">
      <c r="A6" s="149"/>
      <c r="B6" s="47"/>
      <c r="C6" s="47"/>
      <c r="D6" s="47"/>
      <c r="F6" s="47" t="s">
        <v>127</v>
      </c>
      <c r="L6" s="47" t="s">
        <v>127</v>
      </c>
    </row>
    <row r="7" spans="1:12" ht="42" customHeight="1">
      <c r="A7" s="12" t="s">
        <v>7</v>
      </c>
      <c r="B7" s="12" t="s">
        <v>9</v>
      </c>
      <c r="C7" s="12" t="s">
        <v>53</v>
      </c>
      <c r="D7" s="12" t="s">
        <v>10</v>
      </c>
      <c r="E7" s="12" t="s">
        <v>128</v>
      </c>
      <c r="F7" s="12" t="s">
        <v>129</v>
      </c>
      <c r="G7" s="12" t="s">
        <v>7</v>
      </c>
      <c r="H7" s="12" t="s">
        <v>9</v>
      </c>
      <c r="I7" s="12" t="s">
        <v>130</v>
      </c>
      <c r="J7" s="12" t="s">
        <v>10</v>
      </c>
      <c r="K7" s="12" t="s">
        <v>128</v>
      </c>
      <c r="L7" s="12" t="s">
        <v>96</v>
      </c>
    </row>
    <row r="8" spans="1:12" ht="12.75">
      <c r="A8" s="11">
        <v>1</v>
      </c>
      <c r="B8" s="13">
        <v>2</v>
      </c>
      <c r="C8" s="52">
        <v>3</v>
      </c>
      <c r="D8" s="52">
        <v>4</v>
      </c>
      <c r="E8" s="52">
        <v>5</v>
      </c>
      <c r="F8" s="11">
        <v>6</v>
      </c>
      <c r="G8" s="11">
        <v>1</v>
      </c>
      <c r="H8" s="13">
        <v>2</v>
      </c>
      <c r="I8" s="52">
        <v>3</v>
      </c>
      <c r="J8" s="52">
        <v>4</v>
      </c>
      <c r="K8" s="52">
        <v>5</v>
      </c>
      <c r="L8" s="11">
        <v>6</v>
      </c>
    </row>
    <row r="9" spans="1:33" s="46" customFormat="1" ht="21" customHeight="1">
      <c r="A9" s="150" t="s">
        <v>131</v>
      </c>
      <c r="B9" s="62">
        <f>SUM(B19+B24+B30+B36+B42+B47+B55+B61+B72+B79+B87+B97+B104+B111+B116+B173+B184+B192+B198+B204+B211)-3735000</f>
        <v>810358111</v>
      </c>
      <c r="C9" s="62">
        <f>SUM(C19+C24+C30+C36+C42+C47+C55+C61+C72+C79+C87+C97+C104+C111+C116+C173+C184+C192+C198+C204+C211)</f>
        <v>295075038</v>
      </c>
      <c r="D9" s="62">
        <f>SUM(D19+D24+D30+D36+D42+D47+D55+D61+D72+D79+D87+D97+D104+D111+D116+D173+D184+D192+D198+D204+D211)</f>
        <v>274468703</v>
      </c>
      <c r="E9" s="55">
        <f>IF(ISERROR(D9/B9)," ",(D9/B9))</f>
        <v>0.3387005069416773</v>
      </c>
      <c r="F9" s="62">
        <f>SUM(F19+F24+F30+F36+F42+F47+F55+F61+F72+F79+F87+F97+F104+F111+F116+F173+F184+F192+F198+F204+F211)</f>
        <v>59093267</v>
      </c>
      <c r="G9" s="150" t="s">
        <v>131</v>
      </c>
      <c r="H9" s="151">
        <f>SUM(H19+H24+H30+H36+H42+H47+H55+H61+H72+H79+H87+H97+H104+H111+H116+H173+H184+H192+H198+H204+H211)-3735</f>
        <v>810358</v>
      </c>
      <c r="I9" s="151">
        <f>SUM(I19+I24+I30+I36+I42+I47+I55+I61+I72+I79+I87+I97+I104+I111+I116+I173+I184+I192+I198+I204+I211)</f>
        <v>295074</v>
      </c>
      <c r="J9" s="151">
        <f>SUM(J19+J24+J30+J36+J42+J47+J55+J61+J72+J79+J87+J97+J104+J111+J116+J173+J184+J192+J198+J204+J211)</f>
        <v>274469</v>
      </c>
      <c r="K9" s="19">
        <f>IF(ISERROR(ROUND(J9,0)/ROUND(H9,0))," ",(ROUND(J9,)/ROUND(H9,)))</f>
        <v>0.3387009198403669</v>
      </c>
      <c r="L9" s="151">
        <f>SUM(L19+L24+L30+L36+L42+L47+L55+L61+L72+L79+L87+L97+L104+L111+L116+L173+L184+L192+L198+L204+L211)</f>
        <v>59094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</row>
    <row r="10" spans="1:33" s="46" customFormat="1" ht="28.5" customHeight="1">
      <c r="A10" s="150" t="s">
        <v>13</v>
      </c>
      <c r="B10" s="62">
        <f>B11+B12</f>
        <v>870883731</v>
      </c>
      <c r="C10" s="62">
        <f>C11+C12</f>
        <v>329881791</v>
      </c>
      <c r="D10" s="62">
        <f>D11+D12</f>
        <v>307810862</v>
      </c>
      <c r="E10" s="153">
        <f aca="true" t="shared" si="0" ref="E10:E73">IF(ISERROR(D10/B10)," ",(D10/B10))</f>
        <v>0.35344656358036847</v>
      </c>
      <c r="F10" s="62">
        <f>F11+F12</f>
        <v>72206326</v>
      </c>
      <c r="G10" s="150" t="s">
        <v>13</v>
      </c>
      <c r="H10" s="151">
        <f>H11+H12</f>
        <v>870884</v>
      </c>
      <c r="I10" s="151">
        <f>I11+I12</f>
        <v>329881</v>
      </c>
      <c r="J10" s="151">
        <f>J11+J12</f>
        <v>307811</v>
      </c>
      <c r="K10" s="19">
        <f aca="true" t="shared" si="1" ref="K10:K73">IF(ISERROR(ROUND(J10,0)/ROUND(H10,0))," ",(ROUND(J10,)/ROUND(H10,)))</f>
        <v>0.353446612866926</v>
      </c>
      <c r="L10" s="151">
        <f>L11+L12</f>
        <v>72206</v>
      </c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</row>
    <row r="11" spans="1:12" ht="16.5" customHeight="1">
      <c r="A11" s="20" t="s">
        <v>132</v>
      </c>
      <c r="B11" s="43">
        <f>SUM(B21+B26+B34+B40+B45+B51+B58+B64+B76+B83+B92+B101+B108+B121+B178+B189+B194+B202+B208+B214)-3735000</f>
        <v>804930855</v>
      </c>
      <c r="C11" s="43">
        <f>SUM(C21+C26+C34+C40+C45+C51+C58+C64+C76+C83+C92+C101+C108+C121+C178+C189+C194+C202+C208+C214)</f>
        <v>311799858</v>
      </c>
      <c r="D11" s="43">
        <f>SUM(D21+D26+D34+D40+D45+D51+D58+D64+D76+D83+D92+D101+D108+D121+D178+D189+D194+D202+D208+D214)</f>
        <v>296345022</v>
      </c>
      <c r="E11" s="154">
        <f t="shared" si="0"/>
        <v>0.368162085176869</v>
      </c>
      <c r="F11" s="43">
        <f>SUM(F21+F26+F34+F40+F45+F51+F58+F64+F76+F83+F92+F101+F108+F121+F178+F189+F194+F202+F208+F214)</f>
        <v>67290751</v>
      </c>
      <c r="G11" s="20" t="s">
        <v>132</v>
      </c>
      <c r="H11" s="155">
        <f>ROUND(B11/1000,0)</f>
        <v>804931</v>
      </c>
      <c r="I11" s="43">
        <f>SUM(I21+I26+I34+I40+I45+I51+I58+I64+I76+I83+I92+I101+I108+I121+I178+I189+I194+I202+I208+I214)</f>
        <v>311800</v>
      </c>
      <c r="J11" s="43">
        <f>SUM(J21+J26+J34+J40+J45+J51+J58+J64+J76+J83+J92+J101+J108+J121+J178+J189+J194+J202+J208+J214)</f>
        <v>296345</v>
      </c>
      <c r="K11" s="27">
        <f t="shared" si="1"/>
        <v>0.3681619915247394</v>
      </c>
      <c r="L11" s="43">
        <f>SUM(L21+L26+L34+L40+L45+L51+L58+L64+L76+L83+L92+L101+L108+L121+L178+L189+L194+L202+L208+L214)</f>
        <v>67290</v>
      </c>
    </row>
    <row r="12" spans="1:12" ht="18" customHeight="1">
      <c r="A12" s="20" t="s">
        <v>133</v>
      </c>
      <c r="B12" s="43">
        <f>SUM(B27+B52+B59+B65+B77+B84+B93+B102+B109+B113+B122+B179+B190+B195+B209+B215)</f>
        <v>65952876</v>
      </c>
      <c r="C12" s="43">
        <f>SUM(C27+C52+C59+C65+C77+C84+C93+C102+C109+C113+C122+C179+C190+C195+C209+C215)</f>
        <v>18081933</v>
      </c>
      <c r="D12" s="43">
        <f>SUM(D27+D52+D59+D65+D77+D84+D93+D102+D109+D113+D122+D179+D190+D195+D209+D215)</f>
        <v>11465840</v>
      </c>
      <c r="E12" s="154">
        <f t="shared" si="0"/>
        <v>0.17384897665417956</v>
      </c>
      <c r="F12" s="43">
        <f>SUM(F27+F52+F59+F65+F77+F84+F93+F102+F109+F113+F122+F179+F190+F195+F209+F215)</f>
        <v>4915575</v>
      </c>
      <c r="G12" s="20" t="s">
        <v>133</v>
      </c>
      <c r="H12" s="155">
        <f>ROUND(B12/1000,0)</f>
        <v>65953</v>
      </c>
      <c r="I12" s="43">
        <f>SUM(I27+I52+I59+I65+I77+I84+I93+I102+I109+I113+I122+I179+I190+I195+I209+I215)</f>
        <v>18081</v>
      </c>
      <c r="J12" s="43">
        <f>SUM(J27+J52+J59+J65+J77+J84+J93+J102+J109+J113+J122+J179+J190+J195+J209+J215)</f>
        <v>11466</v>
      </c>
      <c r="K12" s="27">
        <f t="shared" si="1"/>
        <v>0.17385107576607584</v>
      </c>
      <c r="L12" s="43">
        <f>SUM(L27+L52+L59+L65+L77+L84+L93+L102+L109+L113+L122+L179+L190+L195+L209+L215)</f>
        <v>4916</v>
      </c>
    </row>
    <row r="13" spans="1:33" s="157" customFormat="1" ht="21.75" customHeight="1">
      <c r="A13" s="150" t="s">
        <v>134</v>
      </c>
      <c r="B13" s="62">
        <f aca="true" t="shared" si="2" ref="B13:D14">SUM(B66)</f>
        <v>12756000</v>
      </c>
      <c r="C13" s="62">
        <f t="shared" si="2"/>
        <v>0</v>
      </c>
      <c r="D13" s="62">
        <f t="shared" si="2"/>
        <v>1233488</v>
      </c>
      <c r="E13" s="153">
        <f t="shared" si="0"/>
        <v>0.09669865161492631</v>
      </c>
      <c r="F13" s="62">
        <f>SUM(F66)</f>
        <v>1233488</v>
      </c>
      <c r="G13" s="150" t="s">
        <v>134</v>
      </c>
      <c r="H13" s="151">
        <f aca="true" t="shared" si="3" ref="H13:J14">SUM(H66)</f>
        <v>12756</v>
      </c>
      <c r="I13" s="151">
        <f t="shared" si="3"/>
        <v>0</v>
      </c>
      <c r="J13" s="151">
        <f t="shared" si="3"/>
        <v>1233</v>
      </c>
      <c r="K13" s="19">
        <f t="shared" si="1"/>
        <v>0.09666039510818439</v>
      </c>
      <c r="L13" s="151">
        <f>SUM(L66)</f>
        <v>1233</v>
      </c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</row>
    <row r="14" spans="1:33" s="157" customFormat="1" ht="21" customHeight="1">
      <c r="A14" s="150" t="s">
        <v>135</v>
      </c>
      <c r="B14" s="62">
        <f t="shared" si="2"/>
        <v>5250</v>
      </c>
      <c r="C14" s="62">
        <f t="shared" si="2"/>
        <v>0</v>
      </c>
      <c r="D14" s="62">
        <f t="shared" si="2"/>
        <v>0</v>
      </c>
      <c r="E14" s="153">
        <f t="shared" si="0"/>
        <v>0</v>
      </c>
      <c r="F14" s="62">
        <f>SUM(F67)</f>
        <v>0</v>
      </c>
      <c r="G14" s="150" t="s">
        <v>135</v>
      </c>
      <c r="H14" s="151">
        <f t="shared" si="3"/>
        <v>5</v>
      </c>
      <c r="I14" s="151">
        <f t="shared" si="3"/>
        <v>0</v>
      </c>
      <c r="J14" s="151">
        <f t="shared" si="3"/>
        <v>0</v>
      </c>
      <c r="K14" s="19">
        <f t="shared" si="1"/>
        <v>0</v>
      </c>
      <c r="L14" s="151">
        <f>SUM(L67)</f>
        <v>0</v>
      </c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</row>
    <row r="15" spans="1:33" s="157" customFormat="1" ht="23.25" customHeight="1">
      <c r="A15" s="150" t="s">
        <v>136</v>
      </c>
      <c r="B15" s="62">
        <f>SUM(B68+B94+B123+B180+B216)</f>
        <v>-73276370</v>
      </c>
      <c r="C15" s="62">
        <f>SUM(C68+C94+C123+C180+C216)</f>
        <v>-34363632</v>
      </c>
      <c r="D15" s="41">
        <f>D9-D10-(D13-D14)</f>
        <v>-34575647</v>
      </c>
      <c r="E15" s="153">
        <f t="shared" si="0"/>
        <v>0.4718526176992665</v>
      </c>
      <c r="F15" s="41">
        <f>F9-F10-(F13-F14)</f>
        <v>-14346547</v>
      </c>
      <c r="G15" s="150" t="s">
        <v>136</v>
      </c>
      <c r="H15" s="151">
        <f aca="true" t="shared" si="4" ref="H15:J16">SUM(H68+H94+H123+H180+H216)</f>
        <v>-73275</v>
      </c>
      <c r="I15" s="151">
        <f t="shared" si="4"/>
        <v>-34488</v>
      </c>
      <c r="J15" s="41">
        <f>J9-J10-(J13-J14)</f>
        <v>-34575</v>
      </c>
      <c r="K15" s="19">
        <f t="shared" si="1"/>
        <v>0.4718526100307062</v>
      </c>
      <c r="L15" s="41">
        <f>L9-L10-(L13-L14)</f>
        <v>-14345</v>
      </c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</row>
    <row r="16" spans="1:33" s="157" customFormat="1" ht="12.75">
      <c r="A16" s="82" t="s">
        <v>121</v>
      </c>
      <c r="B16" s="62">
        <f>SUM(B69+B95+B124+B181+B217)</f>
        <v>58334396</v>
      </c>
      <c r="C16" s="62">
        <f>SUM(C69+C95+C124+C181+C217)</f>
        <v>10480340</v>
      </c>
      <c r="D16" s="62">
        <f>SUM(D69+D95+D124+D181+D217)</f>
        <v>19509581</v>
      </c>
      <c r="E16" s="153">
        <f t="shared" si="0"/>
        <v>0.3344438673882901</v>
      </c>
      <c r="F16" s="62">
        <f>SUM(F69+F95+F124+F181+F217)</f>
        <v>9115410</v>
      </c>
      <c r="G16" s="82" t="s">
        <v>121</v>
      </c>
      <c r="H16" s="151">
        <f t="shared" si="4"/>
        <v>58333</v>
      </c>
      <c r="I16" s="151">
        <f t="shared" si="4"/>
        <v>10605</v>
      </c>
      <c r="J16" s="151">
        <f t="shared" si="4"/>
        <v>19509</v>
      </c>
      <c r="K16" s="19">
        <f t="shared" si="1"/>
        <v>0.33444191109663485</v>
      </c>
      <c r="L16" s="151">
        <f>SUM(L69+L95+L124+L181+L217)</f>
        <v>9114</v>
      </c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</row>
    <row r="17" spans="1:12" ht="21" customHeight="1">
      <c r="A17" s="150" t="s">
        <v>137</v>
      </c>
      <c r="B17" s="62"/>
      <c r="C17" s="62"/>
      <c r="D17" s="62"/>
      <c r="E17" s="153" t="str">
        <f t="shared" si="0"/>
        <v> </v>
      </c>
      <c r="F17" s="62"/>
      <c r="G17" s="150" t="s">
        <v>137</v>
      </c>
      <c r="H17" s="106"/>
      <c r="I17" s="106"/>
      <c r="J17" s="106"/>
      <c r="K17" s="102"/>
      <c r="L17" s="106"/>
    </row>
    <row r="18" spans="1:12" ht="21" customHeight="1">
      <c r="A18" s="158" t="s">
        <v>138</v>
      </c>
      <c r="B18" s="43"/>
      <c r="C18" s="43"/>
      <c r="D18" s="43"/>
      <c r="E18" s="153" t="str">
        <f t="shared" si="0"/>
        <v> </v>
      </c>
      <c r="F18" s="43"/>
      <c r="G18" s="158" t="s">
        <v>138</v>
      </c>
      <c r="H18" s="125"/>
      <c r="I18" s="125"/>
      <c r="J18" s="125"/>
      <c r="K18" s="102"/>
      <c r="L18" s="125"/>
    </row>
    <row r="19" spans="1:12" ht="12.75">
      <c r="A19" s="24" t="s">
        <v>139</v>
      </c>
      <c r="B19" s="43">
        <v>44790000</v>
      </c>
      <c r="C19" s="43">
        <v>3240000</v>
      </c>
      <c r="D19" s="43">
        <v>2018701</v>
      </c>
      <c r="E19" s="154">
        <f t="shared" si="0"/>
        <v>0.045070350524670684</v>
      </c>
      <c r="F19" s="43">
        <f>D19-'[3]Aprīlis'!D19</f>
        <v>135765</v>
      </c>
      <c r="G19" s="24" t="s">
        <v>139</v>
      </c>
      <c r="H19" s="155">
        <f>ROUND(B19/1000,0)</f>
        <v>44790</v>
      </c>
      <c r="I19" s="155">
        <f>ROUND(C19/1000,0)</f>
        <v>3240</v>
      </c>
      <c r="J19" s="155">
        <f>ROUND(D19/1000,0)</f>
        <v>2019</v>
      </c>
      <c r="K19" s="27">
        <f t="shared" si="1"/>
        <v>0.04507702612190221</v>
      </c>
      <c r="L19" s="155">
        <f>ROUND(F19/1000,0)</f>
        <v>136</v>
      </c>
    </row>
    <row r="20" spans="1:12" ht="12.75">
      <c r="A20" s="24" t="s">
        <v>140</v>
      </c>
      <c r="B20" s="43">
        <f>B21</f>
        <v>44790000</v>
      </c>
      <c r="C20" s="43">
        <f>C21</f>
        <v>3240000</v>
      </c>
      <c r="D20" s="43">
        <f>D21</f>
        <v>2600000</v>
      </c>
      <c r="E20" s="154">
        <f t="shared" si="0"/>
        <v>0.05804867157847734</v>
      </c>
      <c r="F20" s="43">
        <f>F21</f>
        <v>2600000</v>
      </c>
      <c r="G20" s="24" t="s">
        <v>140</v>
      </c>
      <c r="H20" s="125">
        <f>H21</f>
        <v>44790</v>
      </c>
      <c r="I20" s="125">
        <f>I21</f>
        <v>3240</v>
      </c>
      <c r="J20" s="125">
        <f>J21</f>
        <v>2600</v>
      </c>
      <c r="K20" s="27">
        <f t="shared" si="1"/>
        <v>0.05804867157847734</v>
      </c>
      <c r="L20" s="125">
        <f>L21</f>
        <v>2600</v>
      </c>
    </row>
    <row r="21" spans="1:12" ht="12.75">
      <c r="A21" s="24" t="s">
        <v>132</v>
      </c>
      <c r="B21" s="43">
        <v>44790000</v>
      </c>
      <c r="C21" s="43">
        <v>3240000</v>
      </c>
      <c r="D21" s="43">
        <v>2600000</v>
      </c>
      <c r="E21" s="154">
        <f t="shared" si="0"/>
        <v>0.05804867157847734</v>
      </c>
      <c r="F21" s="43">
        <f>D21-'[3]Aprīlis'!D22</f>
        <v>2600000</v>
      </c>
      <c r="G21" s="24" t="s">
        <v>132</v>
      </c>
      <c r="H21" s="155">
        <f aca="true" t="shared" si="5" ref="H21:J22">ROUND(B21/1000,0)</f>
        <v>44790</v>
      </c>
      <c r="I21" s="155">
        <f t="shared" si="5"/>
        <v>3240</v>
      </c>
      <c r="J21" s="155">
        <f t="shared" si="5"/>
        <v>2600</v>
      </c>
      <c r="K21" s="27">
        <f t="shared" si="1"/>
        <v>0.05804867157847734</v>
      </c>
      <c r="L21" s="155">
        <f>J21-'[3]Aprīlis'!J22</f>
        <v>2600</v>
      </c>
    </row>
    <row r="22" spans="1:12" ht="12.75">
      <c r="A22" s="159" t="s">
        <v>141</v>
      </c>
      <c r="B22" s="43">
        <v>36212000</v>
      </c>
      <c r="C22" s="43"/>
      <c r="D22" s="43">
        <v>2100000</v>
      </c>
      <c r="E22" s="154">
        <f>IF(ISERROR(D22/B22)," ",(D22/B22))</f>
        <v>0.057991825914061636</v>
      </c>
      <c r="F22" s="43">
        <f>D22-'[3]Aprīlis'!D20</f>
        <v>2100000</v>
      </c>
      <c r="G22" s="159" t="s">
        <v>141</v>
      </c>
      <c r="H22" s="155">
        <f t="shared" si="5"/>
        <v>36212</v>
      </c>
      <c r="I22" s="155">
        <f t="shared" si="5"/>
        <v>0</v>
      </c>
      <c r="J22" s="155">
        <f t="shared" si="5"/>
        <v>2100</v>
      </c>
      <c r="K22" s="27">
        <f>IF(ISERROR(ROUND(J22,0)/ROUND(H22,0))," ",(ROUND(J22,)/ROUND(H22,)))</f>
        <v>0.057991825914061636</v>
      </c>
      <c r="L22" s="155">
        <f>ROUND(F22/1000,0)</f>
        <v>2100</v>
      </c>
    </row>
    <row r="23" spans="1:12" ht="12.75">
      <c r="A23" s="158" t="s">
        <v>142</v>
      </c>
      <c r="B23" s="43"/>
      <c r="C23" s="43"/>
      <c r="D23" s="43"/>
      <c r="E23" s="154" t="str">
        <f t="shared" si="0"/>
        <v> </v>
      </c>
      <c r="F23" s="43"/>
      <c r="G23" s="158" t="s">
        <v>142</v>
      </c>
      <c r="H23" s="125"/>
      <c r="I23" s="125"/>
      <c r="J23" s="125"/>
      <c r="K23" s="27"/>
      <c r="L23" s="125"/>
    </row>
    <row r="24" spans="1:12" ht="12.75">
      <c r="A24" s="24" t="s">
        <v>139</v>
      </c>
      <c r="B24" s="43">
        <v>3307500</v>
      </c>
      <c r="C24" s="43">
        <v>1355000</v>
      </c>
      <c r="D24" s="43">
        <v>1030737</v>
      </c>
      <c r="E24" s="154">
        <f t="shared" si="0"/>
        <v>0.31163628117913833</v>
      </c>
      <c r="F24" s="43">
        <f>D24-'[3]Aprīlis'!D24</f>
        <v>263935</v>
      </c>
      <c r="G24" s="24" t="s">
        <v>139</v>
      </c>
      <c r="H24" s="155">
        <f>ROUND(B24/1000,0)-1</f>
        <v>3307</v>
      </c>
      <c r="I24" s="155">
        <f>ROUND(C24/1000,0)</f>
        <v>1355</v>
      </c>
      <c r="J24" s="155">
        <f>ROUND(D24/1000,0)</f>
        <v>1031</v>
      </c>
      <c r="K24" s="27">
        <f t="shared" si="1"/>
        <v>0.31176292712428183</v>
      </c>
      <c r="L24" s="155">
        <f>J24-'[3]Aprīlis'!J24</f>
        <v>264</v>
      </c>
    </row>
    <row r="25" spans="1:12" ht="12.75">
      <c r="A25" s="24" t="s">
        <v>140</v>
      </c>
      <c r="B25" s="43">
        <f>B26+B27</f>
        <v>3307500</v>
      </c>
      <c r="C25" s="43">
        <f>C26+C27</f>
        <v>1355000</v>
      </c>
      <c r="D25" s="43">
        <f>D26+D27</f>
        <v>895015</v>
      </c>
      <c r="E25" s="154">
        <f t="shared" si="0"/>
        <v>0.2706016628873772</v>
      </c>
      <c r="F25" s="43">
        <f>F26+F27</f>
        <v>225130</v>
      </c>
      <c r="G25" s="24" t="s">
        <v>140</v>
      </c>
      <c r="H25" s="125">
        <f>H26+H27</f>
        <v>3308</v>
      </c>
      <c r="I25" s="125">
        <f>I26+I27</f>
        <v>1355</v>
      </c>
      <c r="J25" s="125">
        <f>J26+J27</f>
        <v>895</v>
      </c>
      <c r="K25" s="27">
        <f t="shared" si="1"/>
        <v>0.27055622732769047</v>
      </c>
      <c r="L25" s="125">
        <f>L26+L27</f>
        <v>225</v>
      </c>
    </row>
    <row r="26" spans="1:12" ht="12.75">
      <c r="A26" s="24" t="s">
        <v>132</v>
      </c>
      <c r="B26" s="43">
        <v>2991500</v>
      </c>
      <c r="C26" s="43">
        <v>1225000</v>
      </c>
      <c r="D26" s="43">
        <v>858468</v>
      </c>
      <c r="E26" s="154">
        <f t="shared" si="0"/>
        <v>0.2869690790573291</v>
      </c>
      <c r="F26" s="43">
        <f>D26-'[3]Aprīlis'!D26</f>
        <v>209467</v>
      </c>
      <c r="G26" s="24" t="s">
        <v>132</v>
      </c>
      <c r="H26" s="155">
        <f aca="true" t="shared" si="6" ref="H26:J27">ROUND(B26/1000,0)</f>
        <v>2992</v>
      </c>
      <c r="I26" s="155">
        <f t="shared" si="6"/>
        <v>1225</v>
      </c>
      <c r="J26" s="155">
        <f t="shared" si="6"/>
        <v>858</v>
      </c>
      <c r="K26" s="27">
        <f t="shared" si="1"/>
        <v>0.2867647058823529</v>
      </c>
      <c r="L26" s="155">
        <f>J26-'[3]Aprīlis'!J26</f>
        <v>209</v>
      </c>
    </row>
    <row r="27" spans="1:12" ht="12.75">
      <c r="A27" s="24" t="s">
        <v>133</v>
      </c>
      <c r="B27" s="43">
        <v>316000</v>
      </c>
      <c r="C27" s="43">
        <v>130000</v>
      </c>
      <c r="D27" s="43">
        <v>36547</v>
      </c>
      <c r="E27" s="154">
        <f t="shared" si="0"/>
        <v>0.11565506329113924</v>
      </c>
      <c r="F27" s="43">
        <f>D27-'[3]Aprīlis'!D27</f>
        <v>15663</v>
      </c>
      <c r="G27" s="24" t="s">
        <v>133</v>
      </c>
      <c r="H27" s="155">
        <f t="shared" si="6"/>
        <v>316</v>
      </c>
      <c r="I27" s="155">
        <f t="shared" si="6"/>
        <v>130</v>
      </c>
      <c r="J27" s="155">
        <f t="shared" si="6"/>
        <v>37</v>
      </c>
      <c r="K27" s="27">
        <f t="shared" si="1"/>
        <v>0.11708860759493671</v>
      </c>
      <c r="L27" s="155">
        <f>J27-'[3]Aprīlis'!J27</f>
        <v>16</v>
      </c>
    </row>
    <row r="28" spans="1:12" ht="30.75" customHeight="1">
      <c r="A28" s="150" t="s">
        <v>143</v>
      </c>
      <c r="B28" s="62"/>
      <c r="C28" s="62"/>
      <c r="D28" s="62"/>
      <c r="E28" s="154" t="str">
        <f t="shared" si="0"/>
        <v> </v>
      </c>
      <c r="F28" s="62"/>
      <c r="G28" s="150" t="s">
        <v>143</v>
      </c>
      <c r="H28" s="106"/>
      <c r="I28" s="106"/>
      <c r="J28" s="106"/>
      <c r="K28" s="27"/>
      <c r="L28" s="106"/>
    </row>
    <row r="29" spans="1:12" ht="27.75" customHeight="1">
      <c r="A29" s="160" t="s">
        <v>144</v>
      </c>
      <c r="B29" s="43"/>
      <c r="C29" s="43"/>
      <c r="D29" s="43"/>
      <c r="E29" s="154" t="str">
        <f t="shared" si="0"/>
        <v> </v>
      </c>
      <c r="F29" s="43"/>
      <c r="G29" s="160" t="s">
        <v>144</v>
      </c>
      <c r="H29" s="125"/>
      <c r="I29" s="125"/>
      <c r="J29" s="125"/>
      <c r="K29" s="27"/>
      <c r="L29" s="125"/>
    </row>
    <row r="30" spans="1:12" ht="12.75">
      <c r="A30" s="24" t="s">
        <v>139</v>
      </c>
      <c r="B30" s="43">
        <f>B31+B32</f>
        <v>1764000</v>
      </c>
      <c r="C30" s="43">
        <v>719987</v>
      </c>
      <c r="D30" s="43">
        <f>D31+D32</f>
        <v>1102198</v>
      </c>
      <c r="E30" s="154">
        <f t="shared" si="0"/>
        <v>0.6248287981859411</v>
      </c>
      <c r="F30" s="43">
        <f>F31+F32</f>
        <v>314215</v>
      </c>
      <c r="G30" s="24" t="s">
        <v>139</v>
      </c>
      <c r="H30" s="125">
        <f>H31+H32</f>
        <v>1764</v>
      </c>
      <c r="I30" s="155">
        <f>ROUND(C30/1000,0)</f>
        <v>720</v>
      </c>
      <c r="J30" s="125">
        <f>J31+J32</f>
        <v>1102</v>
      </c>
      <c r="K30" s="27">
        <f t="shared" si="1"/>
        <v>0.6247165532879818</v>
      </c>
      <c r="L30" s="125">
        <f>L31+L32</f>
        <v>314</v>
      </c>
    </row>
    <row r="31" spans="1:12" ht="409.5">
      <c r="A31" s="31" t="s">
        <v>145</v>
      </c>
      <c r="B31" s="43">
        <v>1550000</v>
      </c>
      <c r="C31" s="43"/>
      <c r="D31" s="43">
        <v>958296</v>
      </c>
      <c r="E31" s="154">
        <f t="shared" si="0"/>
        <v>0.6182554838709677</v>
      </c>
      <c r="F31" s="43">
        <f>D31-'[3]Aprīlis'!D31</f>
        <v>280116</v>
      </c>
      <c r="G31" s="31" t="s">
        <v>145</v>
      </c>
      <c r="H31" s="155">
        <f>ROUND(B31/1000,0)</f>
        <v>1550</v>
      </c>
      <c r="I31" s="155">
        <f>ROUND(C31/1000,0)</f>
        <v>0</v>
      </c>
      <c r="J31" s="155">
        <f>ROUND(D31/1000,0)</f>
        <v>958</v>
      </c>
      <c r="K31" s="27">
        <f t="shared" si="1"/>
        <v>0.6180645161290322</v>
      </c>
      <c r="L31" s="155">
        <f>J31-'[3]Aprīlis'!J31</f>
        <v>280</v>
      </c>
    </row>
    <row r="32" spans="1:12" ht="191.25">
      <c r="A32" s="161" t="s">
        <v>146</v>
      </c>
      <c r="B32" s="43">
        <v>214000</v>
      </c>
      <c r="C32" s="43"/>
      <c r="D32" s="43">
        <v>143902</v>
      </c>
      <c r="E32" s="154">
        <f t="shared" si="0"/>
        <v>0.6724392523364486</v>
      </c>
      <c r="F32" s="43">
        <f>D32-'[3]Aprīlis'!D32</f>
        <v>34099</v>
      </c>
      <c r="G32" s="161" t="s">
        <v>146</v>
      </c>
      <c r="H32" s="155">
        <f>ROUND(B32/1000,0)</f>
        <v>214</v>
      </c>
      <c r="I32" s="155">
        <f>ROUND(C32/1000,0)</f>
        <v>0</v>
      </c>
      <c r="J32" s="155">
        <f>ROUND(D32/1000,0)</f>
        <v>144</v>
      </c>
      <c r="K32" s="27">
        <f t="shared" si="1"/>
        <v>0.6728971962616822</v>
      </c>
      <c r="L32" s="155">
        <f>J32-'[3]Aprīlis'!J32</f>
        <v>34</v>
      </c>
    </row>
    <row r="33" spans="1:12" ht="12.75">
      <c r="A33" s="24" t="s">
        <v>140</v>
      </c>
      <c r="B33" s="43">
        <f>B34</f>
        <v>1764000</v>
      </c>
      <c r="C33" s="43">
        <f>C34</f>
        <v>719987</v>
      </c>
      <c r="D33" s="43">
        <f>D34</f>
        <v>236279</v>
      </c>
      <c r="E33" s="154">
        <f t="shared" si="0"/>
        <v>0.13394501133786849</v>
      </c>
      <c r="F33" s="43">
        <f>F34</f>
        <v>40765</v>
      </c>
      <c r="G33" s="24" t="s">
        <v>140</v>
      </c>
      <c r="H33" s="125">
        <f>H34</f>
        <v>1764</v>
      </c>
      <c r="I33" s="125">
        <f>I34</f>
        <v>720</v>
      </c>
      <c r="J33" s="125">
        <f>J34</f>
        <v>236</v>
      </c>
      <c r="K33" s="27">
        <f t="shared" si="1"/>
        <v>0.13378684807256236</v>
      </c>
      <c r="L33" s="125">
        <f>L34</f>
        <v>41</v>
      </c>
    </row>
    <row r="34" spans="1:12" ht="12.75">
      <c r="A34" s="24" t="s">
        <v>132</v>
      </c>
      <c r="B34" s="43">
        <v>1764000</v>
      </c>
      <c r="C34" s="43">
        <v>719987</v>
      </c>
      <c r="D34" s="43">
        <v>236279</v>
      </c>
      <c r="E34" s="154">
        <f t="shared" si="0"/>
        <v>0.13394501133786849</v>
      </c>
      <c r="F34" s="43">
        <f>D34-'[3]Aprīlis'!D34</f>
        <v>40765</v>
      </c>
      <c r="G34" s="24" t="s">
        <v>132</v>
      </c>
      <c r="H34" s="155">
        <f>ROUND(B34/1000,0)</f>
        <v>1764</v>
      </c>
      <c r="I34" s="155">
        <f>ROUND(C34/1000,0)</f>
        <v>720</v>
      </c>
      <c r="J34" s="155">
        <f>ROUND(D34/1000,0)</f>
        <v>236</v>
      </c>
      <c r="K34" s="27">
        <f t="shared" si="1"/>
        <v>0.13378684807256236</v>
      </c>
      <c r="L34" s="155">
        <f>J34-'[3]Aprīlis'!J34</f>
        <v>41</v>
      </c>
    </row>
    <row r="35" spans="1:12" ht="24.75" customHeight="1">
      <c r="A35" s="160" t="s">
        <v>147</v>
      </c>
      <c r="B35" s="43"/>
      <c r="C35" s="43"/>
      <c r="D35" s="43"/>
      <c r="E35" s="154" t="str">
        <f t="shared" si="0"/>
        <v> </v>
      </c>
      <c r="F35" s="43"/>
      <c r="G35" s="160" t="s">
        <v>147</v>
      </c>
      <c r="H35" s="125"/>
      <c r="I35" s="125"/>
      <c r="J35" s="125"/>
      <c r="K35" s="27"/>
      <c r="L35" s="125"/>
    </row>
    <row r="36" spans="1:12" ht="12.75">
      <c r="A36" s="24" t="s">
        <v>139</v>
      </c>
      <c r="B36" s="43">
        <f>B37+B38</f>
        <v>147000</v>
      </c>
      <c r="C36" s="43">
        <v>68180</v>
      </c>
      <c r="D36" s="43">
        <f>D37+D38</f>
        <v>96298</v>
      </c>
      <c r="E36" s="154">
        <f t="shared" si="0"/>
        <v>0.6550884353741496</v>
      </c>
      <c r="F36" s="43">
        <f>F37+F38</f>
        <v>27072</v>
      </c>
      <c r="G36" s="24" t="s">
        <v>139</v>
      </c>
      <c r="H36" s="125">
        <f>H37+H38</f>
        <v>147</v>
      </c>
      <c r="I36" s="155">
        <f>ROUND(C36/1000,0)</f>
        <v>68</v>
      </c>
      <c r="J36" s="125">
        <f>J37+J38</f>
        <v>96</v>
      </c>
      <c r="K36" s="27">
        <f t="shared" si="1"/>
        <v>0.6530612244897959</v>
      </c>
      <c r="L36" s="125">
        <f>L37+L38</f>
        <v>27</v>
      </c>
    </row>
    <row r="37" spans="1:12" ht="409.5">
      <c r="A37" s="31" t="s">
        <v>148</v>
      </c>
      <c r="B37" s="43">
        <v>147000</v>
      </c>
      <c r="C37" s="43"/>
      <c r="D37" s="43">
        <v>96298</v>
      </c>
      <c r="E37" s="154">
        <f t="shared" si="0"/>
        <v>0.6550884353741496</v>
      </c>
      <c r="F37" s="43">
        <f>D37-'[3]Aprīlis'!D37</f>
        <v>27072</v>
      </c>
      <c r="G37" s="31" t="s">
        <v>148</v>
      </c>
      <c r="H37" s="155">
        <f>ROUND(B37/1000,0)</f>
        <v>147</v>
      </c>
      <c r="I37" s="155">
        <f>ROUND(C37/1000,0)</f>
        <v>0</v>
      </c>
      <c r="J37" s="155">
        <f>ROUND(D37/1000,0)</f>
        <v>96</v>
      </c>
      <c r="K37" s="27">
        <f t="shared" si="1"/>
        <v>0.6530612244897959</v>
      </c>
      <c r="L37" s="155">
        <f>J37-'[3]Aprīlis'!J37</f>
        <v>27</v>
      </c>
    </row>
    <row r="38" spans="1:12" ht="191.25">
      <c r="A38" s="31" t="s">
        <v>146</v>
      </c>
      <c r="B38" s="43"/>
      <c r="C38" s="43"/>
      <c r="D38" s="43"/>
      <c r="E38" s="154" t="str">
        <f t="shared" si="0"/>
        <v> </v>
      </c>
      <c r="F38" s="43">
        <f>D38-'[3]Aprīlis'!D38</f>
        <v>0</v>
      </c>
      <c r="G38" s="31" t="s">
        <v>146</v>
      </c>
      <c r="H38" s="125"/>
      <c r="I38" s="125"/>
      <c r="J38" s="125"/>
      <c r="K38" s="27" t="str">
        <f t="shared" si="1"/>
        <v> </v>
      </c>
      <c r="L38" s="155">
        <f>J38-'[3]Aprīlis'!J38</f>
        <v>0</v>
      </c>
    </row>
    <row r="39" spans="1:12" ht="12.75">
      <c r="A39" s="24" t="s">
        <v>140</v>
      </c>
      <c r="B39" s="43">
        <f>B40</f>
        <v>147000</v>
      </c>
      <c r="C39" s="43">
        <f>C40</f>
        <v>68180</v>
      </c>
      <c r="D39" s="43">
        <f>D40</f>
        <v>0</v>
      </c>
      <c r="E39" s="154">
        <f t="shared" si="0"/>
        <v>0</v>
      </c>
      <c r="F39" s="43">
        <f>F40</f>
        <v>0</v>
      </c>
      <c r="G39" s="24" t="s">
        <v>140</v>
      </c>
      <c r="H39" s="125">
        <f>H40</f>
        <v>147</v>
      </c>
      <c r="I39" s="125">
        <f>I40</f>
        <v>68</v>
      </c>
      <c r="J39" s="125">
        <f>J40</f>
        <v>0</v>
      </c>
      <c r="K39" s="27">
        <f t="shared" si="1"/>
        <v>0</v>
      </c>
      <c r="L39" s="125">
        <f>L40</f>
        <v>0</v>
      </c>
    </row>
    <row r="40" spans="1:12" ht="12.75">
      <c r="A40" s="24" t="s">
        <v>132</v>
      </c>
      <c r="B40" s="43">
        <v>147000</v>
      </c>
      <c r="C40" s="43">
        <v>68180</v>
      </c>
      <c r="D40" s="43"/>
      <c r="E40" s="154">
        <f t="shared" si="0"/>
        <v>0</v>
      </c>
      <c r="F40" s="43">
        <f>D40-'[3]Aprīlis'!D40</f>
        <v>0</v>
      </c>
      <c r="G40" s="24" t="s">
        <v>132</v>
      </c>
      <c r="H40" s="155">
        <f>ROUND(B40/1000,0)</f>
        <v>147</v>
      </c>
      <c r="I40" s="155">
        <f>ROUND(C40/1000,0)</f>
        <v>68</v>
      </c>
      <c r="J40" s="155">
        <f>ROUND(D40/1000,0)</f>
        <v>0</v>
      </c>
      <c r="K40" s="27">
        <f t="shared" si="1"/>
        <v>0</v>
      </c>
      <c r="L40" s="155">
        <f>J40-'[3]Aprīlis'!J40</f>
        <v>0</v>
      </c>
    </row>
    <row r="41" spans="1:12" ht="15.75" customHeight="1">
      <c r="A41" s="160" t="s">
        <v>149</v>
      </c>
      <c r="B41" s="43"/>
      <c r="C41" s="43"/>
      <c r="D41" s="43"/>
      <c r="E41" s="154" t="str">
        <f t="shared" si="0"/>
        <v> </v>
      </c>
      <c r="F41" s="43"/>
      <c r="G41" s="160" t="s">
        <v>149</v>
      </c>
      <c r="H41" s="125"/>
      <c r="I41" s="125"/>
      <c r="J41" s="125"/>
      <c r="K41" s="27"/>
      <c r="L41" s="125"/>
    </row>
    <row r="42" spans="1:12" ht="12.75">
      <c r="A42" s="24" t="s">
        <v>139</v>
      </c>
      <c r="B42" s="43">
        <f>B43</f>
        <v>88200</v>
      </c>
      <c r="C42" s="43">
        <v>50000</v>
      </c>
      <c r="D42" s="43">
        <f>D43</f>
        <v>44172</v>
      </c>
      <c r="E42" s="154">
        <f t="shared" si="0"/>
        <v>0.5008163265306123</v>
      </c>
      <c r="F42" s="43">
        <f>F43</f>
        <v>2281</v>
      </c>
      <c r="G42" s="24" t="s">
        <v>139</v>
      </c>
      <c r="H42" s="125">
        <f>H43</f>
        <v>88</v>
      </c>
      <c r="I42" s="155">
        <f>ROUND(C42/1000,0)</f>
        <v>50</v>
      </c>
      <c r="J42" s="125">
        <f>J43</f>
        <v>44</v>
      </c>
      <c r="K42" s="27">
        <f t="shared" si="1"/>
        <v>0.5</v>
      </c>
      <c r="L42" s="125">
        <f>L43</f>
        <v>2</v>
      </c>
    </row>
    <row r="43" spans="1:12" ht="409.5">
      <c r="A43" s="31" t="s">
        <v>148</v>
      </c>
      <c r="B43" s="43">
        <v>88200</v>
      </c>
      <c r="C43" s="43"/>
      <c r="D43" s="43">
        <v>44172</v>
      </c>
      <c r="E43" s="154">
        <f t="shared" si="0"/>
        <v>0.5008163265306123</v>
      </c>
      <c r="F43" s="43">
        <f>D43-'[3]Aprīlis'!D43</f>
        <v>2281</v>
      </c>
      <c r="G43" s="31" t="s">
        <v>148</v>
      </c>
      <c r="H43" s="155">
        <f>ROUND(B43/1000,0)</f>
        <v>88</v>
      </c>
      <c r="I43" s="155">
        <f>ROUND(C43/1000,0)</f>
        <v>0</v>
      </c>
      <c r="J43" s="155">
        <f>ROUND(D43/1000,0)</f>
        <v>44</v>
      </c>
      <c r="K43" s="27">
        <f t="shared" si="1"/>
        <v>0.5</v>
      </c>
      <c r="L43" s="155">
        <f>J43-'[3]Aprīlis'!J43</f>
        <v>2</v>
      </c>
    </row>
    <row r="44" spans="1:12" ht="12.75">
      <c r="A44" s="24" t="s">
        <v>140</v>
      </c>
      <c r="B44" s="43">
        <f>B45</f>
        <v>88200</v>
      </c>
      <c r="C44" s="43">
        <f>C45</f>
        <v>50000</v>
      </c>
      <c r="D44" s="43">
        <f>D45</f>
        <v>0</v>
      </c>
      <c r="E44" s="154">
        <f t="shared" si="0"/>
        <v>0</v>
      </c>
      <c r="F44" s="43">
        <f>F45</f>
        <v>0</v>
      </c>
      <c r="G44" s="24" t="s">
        <v>140</v>
      </c>
      <c r="H44" s="125">
        <f>H45</f>
        <v>88</v>
      </c>
      <c r="I44" s="125">
        <f>I45</f>
        <v>50</v>
      </c>
      <c r="J44" s="125">
        <f>J45</f>
        <v>0</v>
      </c>
      <c r="K44" s="27">
        <f t="shared" si="1"/>
        <v>0</v>
      </c>
      <c r="L44" s="125">
        <f>L45</f>
        <v>0</v>
      </c>
    </row>
    <row r="45" spans="1:12" ht="12.75">
      <c r="A45" s="24" t="s">
        <v>132</v>
      </c>
      <c r="B45" s="162">
        <v>88200</v>
      </c>
      <c r="C45" s="162">
        <v>50000</v>
      </c>
      <c r="D45" s="162"/>
      <c r="E45" s="154">
        <f t="shared" si="0"/>
        <v>0</v>
      </c>
      <c r="F45" s="43">
        <f>D45-'[3]Aprīlis'!D45</f>
        <v>0</v>
      </c>
      <c r="G45" s="24" t="s">
        <v>132</v>
      </c>
      <c r="H45" s="155">
        <f>ROUND(B45/1000,0)</f>
        <v>88</v>
      </c>
      <c r="I45" s="155">
        <f>ROUND(C45/1000,0)</f>
        <v>50</v>
      </c>
      <c r="J45" s="155">
        <f>ROUND(D45/1000,0)</f>
        <v>0</v>
      </c>
      <c r="K45" s="27">
        <f t="shared" si="1"/>
        <v>0</v>
      </c>
      <c r="L45" s="155">
        <f>J45-'[3]Aprīlis'!J45</f>
        <v>0</v>
      </c>
    </row>
    <row r="46" spans="1:12" ht="26.25" customHeight="1">
      <c r="A46" s="160" t="s">
        <v>150</v>
      </c>
      <c r="B46" s="70"/>
      <c r="C46" s="70"/>
      <c r="D46" s="70"/>
      <c r="E46" s="154" t="str">
        <f t="shared" si="0"/>
        <v> </v>
      </c>
      <c r="F46" s="70"/>
      <c r="G46" s="160" t="s">
        <v>150</v>
      </c>
      <c r="H46" s="115"/>
      <c r="I46" s="115"/>
      <c r="J46" s="115"/>
      <c r="K46" s="27"/>
      <c r="L46" s="115"/>
    </row>
    <row r="47" spans="1:12" ht="12.75">
      <c r="A47" s="24" t="s">
        <v>139</v>
      </c>
      <c r="B47" s="43">
        <f>B48+B49</f>
        <v>1300000</v>
      </c>
      <c r="C47" s="43">
        <v>350740</v>
      </c>
      <c r="D47" s="43">
        <f>D48+D49</f>
        <v>364537</v>
      </c>
      <c r="E47" s="154">
        <f t="shared" si="0"/>
        <v>0.28041307692307693</v>
      </c>
      <c r="F47" s="43">
        <f>F48+F49</f>
        <v>485</v>
      </c>
      <c r="G47" s="24" t="s">
        <v>139</v>
      </c>
      <c r="H47" s="125">
        <f>H48+H49</f>
        <v>1300</v>
      </c>
      <c r="I47" s="155">
        <f>ROUND(C47/1000,0)</f>
        <v>351</v>
      </c>
      <c r="J47" s="125">
        <f>J48+J49</f>
        <v>364</v>
      </c>
      <c r="K47" s="27">
        <f t="shared" si="1"/>
        <v>0.28</v>
      </c>
      <c r="L47" s="125">
        <f>L48+L49</f>
        <v>0</v>
      </c>
    </row>
    <row r="48" spans="1:12" ht="26.25" customHeight="1">
      <c r="A48" s="84" t="s">
        <v>151</v>
      </c>
      <c r="B48" s="71">
        <v>500000</v>
      </c>
      <c r="C48" s="71"/>
      <c r="D48" s="71"/>
      <c r="E48" s="154">
        <f t="shared" si="0"/>
        <v>0</v>
      </c>
      <c r="F48" s="43">
        <f>D48-'[3]Aprīlis'!D48</f>
        <v>0</v>
      </c>
      <c r="G48" s="84" t="s">
        <v>151</v>
      </c>
      <c r="H48" s="155">
        <f aca="true" t="shared" si="7" ref="H48:J49">ROUND(B48/1000,0)</f>
        <v>500</v>
      </c>
      <c r="I48" s="155">
        <f t="shared" si="7"/>
        <v>0</v>
      </c>
      <c r="J48" s="155">
        <f t="shared" si="7"/>
        <v>0</v>
      </c>
      <c r="K48" s="27">
        <f t="shared" si="1"/>
        <v>0</v>
      </c>
      <c r="L48" s="155">
        <f>J48-'[3]Aprīlis'!J48</f>
        <v>0</v>
      </c>
    </row>
    <row r="49" spans="1:12" ht="12.75">
      <c r="A49" s="163" t="s">
        <v>152</v>
      </c>
      <c r="B49" s="71">
        <v>800000</v>
      </c>
      <c r="C49" s="71"/>
      <c r="D49" s="71">
        <v>364537</v>
      </c>
      <c r="E49" s="154">
        <f t="shared" si="0"/>
        <v>0.45567125</v>
      </c>
      <c r="F49" s="43">
        <f>D49-'[3]Aprīlis'!D49</f>
        <v>485</v>
      </c>
      <c r="G49" s="163" t="s">
        <v>152</v>
      </c>
      <c r="H49" s="155">
        <f t="shared" si="7"/>
        <v>800</v>
      </c>
      <c r="I49" s="155">
        <f t="shared" si="7"/>
        <v>0</v>
      </c>
      <c r="J49" s="155">
        <f>ROUND(D49/1000,0)-1</f>
        <v>364</v>
      </c>
      <c r="K49" s="27">
        <f t="shared" si="1"/>
        <v>0.455</v>
      </c>
      <c r="L49" s="155">
        <f>J49-'[3]Aprīlis'!J49</f>
        <v>0</v>
      </c>
    </row>
    <row r="50" spans="1:12" ht="12.75">
      <c r="A50" s="24" t="s">
        <v>140</v>
      </c>
      <c r="B50" s="43">
        <f>B51+B52</f>
        <v>1300000</v>
      </c>
      <c r="C50" s="43">
        <f>C51+C52</f>
        <v>350740</v>
      </c>
      <c r="D50" s="43">
        <f>D51+D52</f>
        <v>44900</v>
      </c>
      <c r="E50" s="154">
        <f t="shared" si="0"/>
        <v>0.03453846153846154</v>
      </c>
      <c r="F50" s="43">
        <f>F51+F52</f>
        <v>16100</v>
      </c>
      <c r="G50" s="24" t="s">
        <v>140</v>
      </c>
      <c r="H50" s="125">
        <f>H51+H52</f>
        <v>1300</v>
      </c>
      <c r="I50" s="125">
        <f>I51+I52</f>
        <v>351</v>
      </c>
      <c r="J50" s="125">
        <f>J51+J52</f>
        <v>45</v>
      </c>
      <c r="K50" s="27">
        <f t="shared" si="1"/>
        <v>0.03461538461538462</v>
      </c>
      <c r="L50" s="125">
        <f>L51+L52</f>
        <v>16</v>
      </c>
    </row>
    <row r="51" spans="1:12" ht="12.75">
      <c r="A51" s="24" t="s">
        <v>132</v>
      </c>
      <c r="B51" s="162">
        <v>1288000</v>
      </c>
      <c r="C51" s="162">
        <v>342640</v>
      </c>
      <c r="D51" s="162">
        <v>36800</v>
      </c>
      <c r="E51" s="154">
        <f t="shared" si="0"/>
        <v>0.02857142857142857</v>
      </c>
      <c r="F51" s="43">
        <f>D51-'[3]Aprīlis'!D51</f>
        <v>13000</v>
      </c>
      <c r="G51" s="24" t="s">
        <v>132</v>
      </c>
      <c r="H51" s="155">
        <f aca="true" t="shared" si="8" ref="H51:J52">ROUND(B51/1000,0)</f>
        <v>1288</v>
      </c>
      <c r="I51" s="155">
        <f t="shared" si="8"/>
        <v>343</v>
      </c>
      <c r="J51" s="155">
        <f t="shared" si="8"/>
        <v>37</v>
      </c>
      <c r="K51" s="27">
        <f t="shared" si="1"/>
        <v>0.02872670807453416</v>
      </c>
      <c r="L51" s="155">
        <f>J51-'[3]Aprīlis'!J51</f>
        <v>13</v>
      </c>
    </row>
    <row r="52" spans="1:12" ht="12.75">
      <c r="A52" s="24" t="s">
        <v>133</v>
      </c>
      <c r="B52" s="43">
        <v>12000</v>
      </c>
      <c r="C52" s="43">
        <v>8100</v>
      </c>
      <c r="D52" s="43">
        <v>8100</v>
      </c>
      <c r="E52" s="154">
        <f t="shared" si="0"/>
        <v>0.675</v>
      </c>
      <c r="F52" s="43">
        <f>D52-'[3]Aprīlis'!D52</f>
        <v>3100</v>
      </c>
      <c r="G52" s="24" t="s">
        <v>133</v>
      </c>
      <c r="H52" s="155">
        <f t="shared" si="8"/>
        <v>12</v>
      </c>
      <c r="I52" s="155">
        <f t="shared" si="8"/>
        <v>8</v>
      </c>
      <c r="J52" s="155">
        <f t="shared" si="8"/>
        <v>8</v>
      </c>
      <c r="K52" s="27">
        <f t="shared" si="1"/>
        <v>0.6666666666666666</v>
      </c>
      <c r="L52" s="155">
        <f>J52-'[3]Aprīlis'!J52</f>
        <v>3</v>
      </c>
    </row>
    <row r="53" spans="1:12" ht="29.25" customHeight="1">
      <c r="A53" s="150" t="s">
        <v>153</v>
      </c>
      <c r="B53" s="62"/>
      <c r="C53" s="62"/>
      <c r="D53" s="62"/>
      <c r="E53" s="154" t="str">
        <f t="shared" si="0"/>
        <v> </v>
      </c>
      <c r="F53" s="62"/>
      <c r="G53" s="150" t="s">
        <v>153</v>
      </c>
      <c r="H53" s="106"/>
      <c r="I53" s="106"/>
      <c r="J53" s="106"/>
      <c r="K53" s="27"/>
      <c r="L53" s="106"/>
    </row>
    <row r="54" spans="1:12" ht="19.5" customHeight="1">
      <c r="A54" s="158" t="s">
        <v>154</v>
      </c>
      <c r="B54" s="43"/>
      <c r="C54" s="43"/>
      <c r="D54" s="43"/>
      <c r="E54" s="154" t="str">
        <f t="shared" si="0"/>
        <v> </v>
      </c>
      <c r="F54" s="43"/>
      <c r="G54" s="158" t="s">
        <v>154</v>
      </c>
      <c r="H54" s="125"/>
      <c r="I54" s="125"/>
      <c r="J54" s="125"/>
      <c r="K54" s="27"/>
      <c r="L54" s="125"/>
    </row>
    <row r="55" spans="1:12" ht="12.75">
      <c r="A55" s="24" t="s">
        <v>139</v>
      </c>
      <c r="B55" s="43">
        <f>B56</f>
        <v>1400000</v>
      </c>
      <c r="C55" s="43">
        <v>961299</v>
      </c>
      <c r="D55" s="43">
        <f>D56</f>
        <v>794180</v>
      </c>
      <c r="E55" s="154">
        <f t="shared" si="0"/>
        <v>0.5672714285714285</v>
      </c>
      <c r="F55" s="43">
        <f>F56</f>
        <v>31780</v>
      </c>
      <c r="G55" s="24" t="s">
        <v>139</v>
      </c>
      <c r="H55" s="125">
        <f>H56</f>
        <v>1400</v>
      </c>
      <c r="I55" s="155">
        <f>ROUND(C55/1000,0)</f>
        <v>961</v>
      </c>
      <c r="J55" s="125">
        <f>J56</f>
        <v>794</v>
      </c>
      <c r="K55" s="27">
        <f t="shared" si="1"/>
        <v>0.5671428571428572</v>
      </c>
      <c r="L55" s="125">
        <f>L56</f>
        <v>32</v>
      </c>
    </row>
    <row r="56" spans="1:12" ht="409.5">
      <c r="A56" s="31" t="s">
        <v>155</v>
      </c>
      <c r="B56" s="43">
        <v>1400000</v>
      </c>
      <c r="C56" s="43"/>
      <c r="D56" s="43">
        <v>794180</v>
      </c>
      <c r="E56" s="154">
        <f t="shared" si="0"/>
        <v>0.5672714285714285</v>
      </c>
      <c r="F56" s="43">
        <f>D56-'[3]Aprīlis'!D56</f>
        <v>31780</v>
      </c>
      <c r="G56" s="31" t="s">
        <v>155</v>
      </c>
      <c r="H56" s="155">
        <f>ROUND(B56/1000,0)</f>
        <v>1400</v>
      </c>
      <c r="I56" s="155">
        <f>ROUND(C56/1000,0)</f>
        <v>0</v>
      </c>
      <c r="J56" s="155">
        <f>ROUND(D56/1000,0)</f>
        <v>794</v>
      </c>
      <c r="K56" s="27">
        <f t="shared" si="1"/>
        <v>0.5671428571428572</v>
      </c>
      <c r="L56" s="155">
        <f>J56-'[3]Aprīlis'!J56</f>
        <v>32</v>
      </c>
    </row>
    <row r="57" spans="1:12" ht="12.75">
      <c r="A57" s="24" t="s">
        <v>140</v>
      </c>
      <c r="B57" s="43">
        <f>B58+B59</f>
        <v>1400000</v>
      </c>
      <c r="C57" s="43">
        <f>C58+C59</f>
        <v>961299</v>
      </c>
      <c r="D57" s="43">
        <f>D58+D59</f>
        <v>900305</v>
      </c>
      <c r="E57" s="154">
        <f t="shared" si="0"/>
        <v>0.643075</v>
      </c>
      <c r="F57" s="43">
        <f>F58+F59</f>
        <v>300805</v>
      </c>
      <c r="G57" s="24" t="s">
        <v>140</v>
      </c>
      <c r="H57" s="125">
        <f>H58+H59</f>
        <v>1400</v>
      </c>
      <c r="I57" s="125">
        <f>I58+I59</f>
        <v>961</v>
      </c>
      <c r="J57" s="125">
        <f>J58+J59</f>
        <v>900</v>
      </c>
      <c r="K57" s="27">
        <f t="shared" si="1"/>
        <v>0.6428571428571429</v>
      </c>
      <c r="L57" s="125">
        <f>L58+L59</f>
        <v>300</v>
      </c>
    </row>
    <row r="58" spans="1:12" ht="12.75">
      <c r="A58" s="24" t="s">
        <v>132</v>
      </c>
      <c r="B58" s="43">
        <v>759000</v>
      </c>
      <c r="C58" s="43">
        <v>440299</v>
      </c>
      <c r="D58" s="43">
        <v>418265</v>
      </c>
      <c r="E58" s="154">
        <f t="shared" si="0"/>
        <v>0.5510737812911726</v>
      </c>
      <c r="F58" s="43">
        <f>D58-'[3]Aprīlis'!D58</f>
        <v>76265</v>
      </c>
      <c r="G58" s="24" t="s">
        <v>132</v>
      </c>
      <c r="H58" s="155">
        <f aca="true" t="shared" si="9" ref="H58:J59">ROUND(B58/1000,0)</f>
        <v>759</v>
      </c>
      <c r="I58" s="155">
        <f t="shared" si="9"/>
        <v>440</v>
      </c>
      <c r="J58" s="155">
        <f t="shared" si="9"/>
        <v>418</v>
      </c>
      <c r="K58" s="27">
        <f t="shared" si="1"/>
        <v>0.5507246376811594</v>
      </c>
      <c r="L58" s="155">
        <f>J58-'[3]Aprīlis'!J58</f>
        <v>76</v>
      </c>
    </row>
    <row r="59" spans="1:12" ht="12.75">
      <c r="A59" s="24" t="s">
        <v>133</v>
      </c>
      <c r="B59" s="43">
        <v>641000</v>
      </c>
      <c r="C59" s="43">
        <v>521000</v>
      </c>
      <c r="D59" s="43">
        <v>482040</v>
      </c>
      <c r="E59" s="154">
        <f t="shared" si="0"/>
        <v>0.75201248049922</v>
      </c>
      <c r="F59" s="43">
        <f>D59-'[3]Aprīlis'!D59</f>
        <v>224540</v>
      </c>
      <c r="G59" s="24" t="s">
        <v>133</v>
      </c>
      <c r="H59" s="155">
        <f t="shared" si="9"/>
        <v>641</v>
      </c>
      <c r="I59" s="155">
        <f t="shared" si="9"/>
        <v>521</v>
      </c>
      <c r="J59" s="155">
        <f t="shared" si="9"/>
        <v>482</v>
      </c>
      <c r="K59" s="27">
        <f t="shared" si="1"/>
        <v>0.7519500780031201</v>
      </c>
      <c r="L59" s="155">
        <f>J59-'[3]Aprīlis'!J59</f>
        <v>224</v>
      </c>
    </row>
    <row r="60" spans="1:12" ht="16.5" customHeight="1">
      <c r="A60" s="160" t="s">
        <v>156</v>
      </c>
      <c r="B60" s="43"/>
      <c r="C60" s="43"/>
      <c r="D60" s="43"/>
      <c r="E60" s="154" t="str">
        <f t="shared" si="0"/>
        <v> </v>
      </c>
      <c r="F60" s="43"/>
      <c r="G60" s="160" t="s">
        <v>156</v>
      </c>
      <c r="H60" s="125"/>
      <c r="I60" s="125"/>
      <c r="J60" s="125"/>
      <c r="K60" s="27"/>
      <c r="L60" s="125"/>
    </row>
    <row r="61" spans="1:12" ht="12.75">
      <c r="A61" s="24" t="s">
        <v>139</v>
      </c>
      <c r="B61" s="43">
        <f>B62</f>
        <v>712700</v>
      </c>
      <c r="C61" s="43">
        <v>169805</v>
      </c>
      <c r="D61" s="43">
        <f>D62</f>
        <v>434</v>
      </c>
      <c r="E61" s="154">
        <f t="shared" si="0"/>
        <v>0.0006089518731584117</v>
      </c>
      <c r="F61" s="43">
        <f>F62</f>
        <v>434</v>
      </c>
      <c r="G61" s="24" t="s">
        <v>139</v>
      </c>
      <c r="H61" s="125">
        <f>H62</f>
        <v>713</v>
      </c>
      <c r="I61" s="155">
        <f>ROUND(C61/1000,0)</f>
        <v>170</v>
      </c>
      <c r="J61" s="125">
        <f>J62</f>
        <v>0</v>
      </c>
      <c r="K61" s="27">
        <f t="shared" si="1"/>
        <v>0</v>
      </c>
      <c r="L61" s="125">
        <f>L62</f>
        <v>0</v>
      </c>
    </row>
    <row r="62" spans="1:12" ht="303.75">
      <c r="A62" s="31" t="s">
        <v>157</v>
      </c>
      <c r="B62" s="43">
        <v>712700</v>
      </c>
      <c r="C62" s="43"/>
      <c r="D62" s="43">
        <v>434</v>
      </c>
      <c r="E62" s="154">
        <f t="shared" si="0"/>
        <v>0.0006089518731584117</v>
      </c>
      <c r="F62" s="43">
        <f>D62-'[3]Aprīlis'!D62</f>
        <v>434</v>
      </c>
      <c r="G62" s="31" t="s">
        <v>157</v>
      </c>
      <c r="H62" s="155">
        <f>ROUND(B62/1000,0)</f>
        <v>713</v>
      </c>
      <c r="I62" s="155">
        <f>ROUND(C62/1000,0)</f>
        <v>0</v>
      </c>
      <c r="J62" s="155">
        <f>ROUND(D62/1000,0)</f>
        <v>0</v>
      </c>
      <c r="K62" s="27">
        <f t="shared" si="1"/>
        <v>0</v>
      </c>
      <c r="L62" s="155">
        <f>J62-'[3]Aprīlis'!J62</f>
        <v>0</v>
      </c>
    </row>
    <row r="63" spans="1:12" ht="12.75">
      <c r="A63" s="24" t="s">
        <v>140</v>
      </c>
      <c r="B63" s="43">
        <f>B64+B65</f>
        <v>717950</v>
      </c>
      <c r="C63" s="43">
        <f>C64+C65</f>
        <v>169027</v>
      </c>
      <c r="D63" s="43">
        <f>D64+D65</f>
        <v>434</v>
      </c>
      <c r="E63" s="154">
        <f t="shared" si="0"/>
        <v>0.0006044989205376419</v>
      </c>
      <c r="F63" s="43">
        <f>F64+F65</f>
        <v>434</v>
      </c>
      <c r="G63" s="24" t="s">
        <v>140</v>
      </c>
      <c r="H63" s="125">
        <f>H64+H65</f>
        <v>718</v>
      </c>
      <c r="I63" s="125">
        <f>I64+I65</f>
        <v>169</v>
      </c>
      <c r="J63" s="125">
        <f>J64+J65</f>
        <v>0</v>
      </c>
      <c r="K63" s="27">
        <f t="shared" si="1"/>
        <v>0</v>
      </c>
      <c r="L63" s="125">
        <f>L64+L65</f>
        <v>0</v>
      </c>
    </row>
    <row r="64" spans="1:12" ht="12.75">
      <c r="A64" s="24" t="s">
        <v>132</v>
      </c>
      <c r="B64" s="43">
        <v>715950</v>
      </c>
      <c r="C64" s="43">
        <v>169027</v>
      </c>
      <c r="D64" s="43">
        <v>434</v>
      </c>
      <c r="E64" s="154">
        <f t="shared" si="0"/>
        <v>0.0006061875829317689</v>
      </c>
      <c r="F64" s="43">
        <f>D64-'[3]Aprīlis'!D64</f>
        <v>434</v>
      </c>
      <c r="G64" s="24" t="s">
        <v>132</v>
      </c>
      <c r="H64" s="155">
        <f aca="true" t="shared" si="10" ref="H64:J69">ROUND(B64/1000,0)</f>
        <v>716</v>
      </c>
      <c r="I64" s="155">
        <f t="shared" si="10"/>
        <v>169</v>
      </c>
      <c r="J64" s="155">
        <f t="shared" si="10"/>
        <v>0</v>
      </c>
      <c r="K64" s="27">
        <f t="shared" si="1"/>
        <v>0</v>
      </c>
      <c r="L64" s="155">
        <f>J64-'[3]Aprīlis'!J64</f>
        <v>0</v>
      </c>
    </row>
    <row r="65" spans="1:12" ht="12.75">
      <c r="A65" s="24" t="s">
        <v>133</v>
      </c>
      <c r="B65" s="43">
        <v>2000</v>
      </c>
      <c r="C65" s="43"/>
      <c r="D65" s="43"/>
      <c r="E65" s="154">
        <f t="shared" si="0"/>
        <v>0</v>
      </c>
      <c r="F65" s="43">
        <f>D65-'[3]Aprīlis'!D65</f>
        <v>0</v>
      </c>
      <c r="G65" s="24" t="s">
        <v>133</v>
      </c>
      <c r="H65" s="155">
        <f t="shared" si="10"/>
        <v>2</v>
      </c>
      <c r="I65" s="155">
        <f t="shared" si="10"/>
        <v>0</v>
      </c>
      <c r="J65" s="155">
        <f t="shared" si="10"/>
        <v>0</v>
      </c>
      <c r="K65" s="27">
        <f t="shared" si="1"/>
        <v>0</v>
      </c>
      <c r="L65" s="155">
        <f>J65-'[3]Aprīlis'!J65</f>
        <v>0</v>
      </c>
    </row>
    <row r="66" spans="1:12" ht="12.75">
      <c r="A66" s="24" t="s">
        <v>134</v>
      </c>
      <c r="B66" s="43">
        <v>12756000</v>
      </c>
      <c r="C66" s="43"/>
      <c r="D66" s="43">
        <v>1233488</v>
      </c>
      <c r="E66" s="154">
        <f t="shared" si="0"/>
        <v>0.09669865161492631</v>
      </c>
      <c r="F66" s="43">
        <f>D66-'[3]Aprīlis'!D66</f>
        <v>1233488</v>
      </c>
      <c r="G66" s="24" t="s">
        <v>134</v>
      </c>
      <c r="H66" s="155">
        <f t="shared" si="10"/>
        <v>12756</v>
      </c>
      <c r="I66" s="155">
        <f t="shared" si="10"/>
        <v>0</v>
      </c>
      <c r="J66" s="155">
        <f t="shared" si="10"/>
        <v>1233</v>
      </c>
      <c r="K66" s="27">
        <f t="shared" si="1"/>
        <v>0.09666039510818439</v>
      </c>
      <c r="L66" s="155">
        <f>J66-'[3]Aprīlis'!J66</f>
        <v>1233</v>
      </c>
    </row>
    <row r="67" spans="1:12" ht="12.75">
      <c r="A67" s="24" t="s">
        <v>135</v>
      </c>
      <c r="B67" s="43">
        <v>5250</v>
      </c>
      <c r="C67" s="43"/>
      <c r="D67" s="43"/>
      <c r="E67" s="154">
        <f t="shared" si="0"/>
        <v>0</v>
      </c>
      <c r="F67" s="43">
        <f>D67-'[3]Aprīlis'!D67</f>
        <v>0</v>
      </c>
      <c r="G67" s="24" t="s">
        <v>135</v>
      </c>
      <c r="H67" s="155">
        <f t="shared" si="10"/>
        <v>5</v>
      </c>
      <c r="I67" s="155">
        <f t="shared" si="10"/>
        <v>0</v>
      </c>
      <c r="J67" s="155">
        <f t="shared" si="10"/>
        <v>0</v>
      </c>
      <c r="K67" s="27">
        <f t="shared" si="1"/>
        <v>0</v>
      </c>
      <c r="L67" s="155">
        <f>J67-'[3]Aprīlis'!J67</f>
        <v>0</v>
      </c>
    </row>
    <row r="68" spans="1:12" ht="12.75">
      <c r="A68" s="24" t="s">
        <v>136</v>
      </c>
      <c r="B68" s="43">
        <v>-12756000</v>
      </c>
      <c r="C68" s="43"/>
      <c r="D68" s="43"/>
      <c r="E68" s="154">
        <f t="shared" si="0"/>
        <v>0</v>
      </c>
      <c r="F68" s="43">
        <f>D68-'[3]Aprīlis'!D68</f>
        <v>0</v>
      </c>
      <c r="G68" s="24" t="s">
        <v>136</v>
      </c>
      <c r="H68" s="155">
        <f t="shared" si="10"/>
        <v>-12756</v>
      </c>
      <c r="I68" s="155">
        <f t="shared" si="10"/>
        <v>0</v>
      </c>
      <c r="J68" s="155">
        <f t="shared" si="10"/>
        <v>0</v>
      </c>
      <c r="K68" s="27">
        <f t="shared" si="1"/>
        <v>0</v>
      </c>
      <c r="L68" s="155">
        <f>J68-'[3]Aprīlis'!J68</f>
        <v>0</v>
      </c>
    </row>
    <row r="69" spans="1:12" ht="12.75">
      <c r="A69" s="24" t="s">
        <v>121</v>
      </c>
      <c r="B69" s="43">
        <v>12756000</v>
      </c>
      <c r="C69" s="43"/>
      <c r="D69" s="43">
        <v>1233488</v>
      </c>
      <c r="E69" s="154">
        <f t="shared" si="0"/>
        <v>0.09669865161492631</v>
      </c>
      <c r="F69" s="43">
        <f>D69-'[3]Aprīlis'!D69</f>
        <v>1233488</v>
      </c>
      <c r="G69" s="24" t="s">
        <v>121</v>
      </c>
      <c r="H69" s="155">
        <f t="shared" si="10"/>
        <v>12756</v>
      </c>
      <c r="I69" s="155">
        <f t="shared" si="10"/>
        <v>0</v>
      </c>
      <c r="J69" s="155">
        <f t="shared" si="10"/>
        <v>1233</v>
      </c>
      <c r="K69" s="27">
        <f t="shared" si="1"/>
        <v>0.09666039510818439</v>
      </c>
      <c r="L69" s="155">
        <f>J69-'[3]Aprīlis'!J69</f>
        <v>1233</v>
      </c>
    </row>
    <row r="70" spans="1:12" ht="15" customHeight="1">
      <c r="A70" s="127" t="s">
        <v>158</v>
      </c>
      <c r="B70" s="62"/>
      <c r="C70" s="62"/>
      <c r="D70" s="62"/>
      <c r="E70" s="154" t="str">
        <f t="shared" si="0"/>
        <v> </v>
      </c>
      <c r="F70" s="62"/>
      <c r="G70" s="127" t="s">
        <v>158</v>
      </c>
      <c r="H70" s="106"/>
      <c r="I70" s="106"/>
      <c r="J70" s="106"/>
      <c r="K70" s="27"/>
      <c r="L70" s="106"/>
    </row>
    <row r="71" spans="1:12" ht="16.5" customHeight="1">
      <c r="A71" s="158" t="s">
        <v>159</v>
      </c>
      <c r="B71" s="43"/>
      <c r="C71" s="43"/>
      <c r="D71" s="43"/>
      <c r="E71" s="154" t="str">
        <f t="shared" si="0"/>
        <v> </v>
      </c>
      <c r="F71" s="43"/>
      <c r="G71" s="158" t="s">
        <v>159</v>
      </c>
      <c r="H71" s="125"/>
      <c r="I71" s="125"/>
      <c r="J71" s="125"/>
      <c r="K71" s="27"/>
      <c r="L71" s="125"/>
    </row>
    <row r="72" spans="1:12" ht="12.75">
      <c r="A72" s="24" t="s">
        <v>139</v>
      </c>
      <c r="B72" s="43">
        <f>B73+B74</f>
        <v>600000</v>
      </c>
      <c r="C72" s="43">
        <v>398300</v>
      </c>
      <c r="D72" s="43">
        <f>D73+D74</f>
        <v>340881</v>
      </c>
      <c r="E72" s="154">
        <f t="shared" si="0"/>
        <v>0.568135</v>
      </c>
      <c r="F72" s="43">
        <f>F73+F74</f>
        <v>65037</v>
      </c>
      <c r="G72" s="24" t="s">
        <v>139</v>
      </c>
      <c r="H72" s="125">
        <f>H73+H74</f>
        <v>600</v>
      </c>
      <c r="I72" s="155">
        <f>ROUND(C72/1000,0)</f>
        <v>398</v>
      </c>
      <c r="J72" s="125">
        <f>J73+J74</f>
        <v>341</v>
      </c>
      <c r="K72" s="27">
        <f t="shared" si="1"/>
        <v>0.5683333333333334</v>
      </c>
      <c r="L72" s="125">
        <f>L73+L74</f>
        <v>65</v>
      </c>
    </row>
    <row r="73" spans="1:12" ht="27" customHeight="1">
      <c r="A73" s="31" t="s">
        <v>160</v>
      </c>
      <c r="B73" s="43">
        <v>280000</v>
      </c>
      <c r="C73" s="43"/>
      <c r="D73" s="43">
        <v>124707</v>
      </c>
      <c r="E73" s="154">
        <f t="shared" si="0"/>
        <v>0.44538214285714284</v>
      </c>
      <c r="F73" s="43">
        <f>D73-'[3]Aprīlis'!D73</f>
        <v>41949</v>
      </c>
      <c r="G73" s="31" t="s">
        <v>160</v>
      </c>
      <c r="H73" s="155">
        <f>ROUND(B73/1000,0)</f>
        <v>280</v>
      </c>
      <c r="I73" s="155">
        <f>ROUND(C73/1000,0)</f>
        <v>0</v>
      </c>
      <c r="J73" s="155">
        <f>ROUND(D73/1000,0)</f>
        <v>125</v>
      </c>
      <c r="K73" s="27">
        <f t="shared" si="1"/>
        <v>0.44642857142857145</v>
      </c>
      <c r="L73" s="155">
        <f>J73-'[3]Aprīlis'!J73</f>
        <v>42</v>
      </c>
    </row>
    <row r="74" spans="1:12" ht="191.25">
      <c r="A74" s="31" t="s">
        <v>146</v>
      </c>
      <c r="B74" s="43">
        <v>320000</v>
      </c>
      <c r="C74" s="43"/>
      <c r="D74" s="43">
        <v>216174</v>
      </c>
      <c r="E74" s="154">
        <f aca="true" t="shared" si="11" ref="E74:E137">IF(ISERROR(D74/B74)," ",(D74/B74))</f>
        <v>0.67554375</v>
      </c>
      <c r="F74" s="43">
        <f>D74-'[3]Aprīlis'!D74</f>
        <v>23088</v>
      </c>
      <c r="G74" s="31" t="s">
        <v>146</v>
      </c>
      <c r="H74" s="155">
        <f>ROUND(B74/1000,0)</f>
        <v>320</v>
      </c>
      <c r="I74" s="155">
        <f>ROUND(C74/1000,0)</f>
        <v>0</v>
      </c>
      <c r="J74" s="155">
        <f>ROUND(D74/1000,0)</f>
        <v>216</v>
      </c>
      <c r="K74" s="27">
        <f aca="true" t="shared" si="12" ref="K74:K137">IF(ISERROR(ROUND(J74,0)/ROUND(H74,0))," ",(ROUND(J74,)/ROUND(H74,)))</f>
        <v>0.675</v>
      </c>
      <c r="L74" s="155">
        <f>J74-'[3]Aprīlis'!J74</f>
        <v>23</v>
      </c>
    </row>
    <row r="75" spans="1:12" ht="12.75">
      <c r="A75" s="24" t="s">
        <v>140</v>
      </c>
      <c r="B75" s="43">
        <f>B76+B77</f>
        <v>600000</v>
      </c>
      <c r="C75" s="43">
        <f>C76+C77</f>
        <v>398300</v>
      </c>
      <c r="D75" s="43">
        <f>D76+D77</f>
        <v>281832</v>
      </c>
      <c r="E75" s="154">
        <f t="shared" si="11"/>
        <v>0.46972</v>
      </c>
      <c r="F75" s="43">
        <f>F76+F77</f>
        <v>70836</v>
      </c>
      <c r="G75" s="24" t="s">
        <v>140</v>
      </c>
      <c r="H75" s="125">
        <f>H76+H77</f>
        <v>600</v>
      </c>
      <c r="I75" s="125">
        <f>I76+I77</f>
        <v>398</v>
      </c>
      <c r="J75" s="125">
        <f>J76+J77</f>
        <v>282</v>
      </c>
      <c r="K75" s="27">
        <f t="shared" si="12"/>
        <v>0.47</v>
      </c>
      <c r="L75" s="125">
        <f>L76+L77</f>
        <v>71</v>
      </c>
    </row>
    <row r="76" spans="1:12" ht="12.75">
      <c r="A76" s="24" t="s">
        <v>132</v>
      </c>
      <c r="B76" s="43">
        <v>521000</v>
      </c>
      <c r="C76" s="43">
        <v>319300</v>
      </c>
      <c r="D76" s="43">
        <v>254271</v>
      </c>
      <c r="E76" s="154">
        <f t="shared" si="11"/>
        <v>0.4880441458733205</v>
      </c>
      <c r="F76" s="43">
        <f>D76-'[3]Aprīlis'!D76</f>
        <v>43275</v>
      </c>
      <c r="G76" s="24" t="s">
        <v>132</v>
      </c>
      <c r="H76" s="155">
        <f aca="true" t="shared" si="13" ref="H76:J77">ROUND(B76/1000,0)</f>
        <v>521</v>
      </c>
      <c r="I76" s="155">
        <f t="shared" si="13"/>
        <v>319</v>
      </c>
      <c r="J76" s="155">
        <f t="shared" si="13"/>
        <v>254</v>
      </c>
      <c r="K76" s="27">
        <f t="shared" si="12"/>
        <v>0.4875239923224568</v>
      </c>
      <c r="L76" s="155">
        <f>J76-'[3]Aprīlis'!J76</f>
        <v>43</v>
      </c>
    </row>
    <row r="77" spans="1:12" ht="12.75">
      <c r="A77" s="24" t="s">
        <v>133</v>
      </c>
      <c r="B77" s="43">
        <v>79000</v>
      </c>
      <c r="C77" s="43">
        <v>79000</v>
      </c>
      <c r="D77" s="43">
        <v>27561</v>
      </c>
      <c r="E77" s="154">
        <f t="shared" si="11"/>
        <v>0.348873417721519</v>
      </c>
      <c r="F77" s="43">
        <f>D77-'[3]Aprīlis'!D77</f>
        <v>27561</v>
      </c>
      <c r="G77" s="24" t="s">
        <v>133</v>
      </c>
      <c r="H77" s="155">
        <f t="shared" si="13"/>
        <v>79</v>
      </c>
      <c r="I77" s="155">
        <f t="shared" si="13"/>
        <v>79</v>
      </c>
      <c r="J77" s="155">
        <f t="shared" si="13"/>
        <v>28</v>
      </c>
      <c r="K77" s="27">
        <f t="shared" si="12"/>
        <v>0.35443037974683544</v>
      </c>
      <c r="L77" s="155">
        <f>J77-'[3]Aprīlis'!J77</f>
        <v>28</v>
      </c>
    </row>
    <row r="78" spans="1:12" ht="15.75" customHeight="1">
      <c r="A78" s="158" t="s">
        <v>161</v>
      </c>
      <c r="B78" s="43"/>
      <c r="C78" s="43"/>
      <c r="D78" s="43"/>
      <c r="E78" s="154" t="str">
        <f t="shared" si="11"/>
        <v> </v>
      </c>
      <c r="F78" s="43"/>
      <c r="G78" s="158" t="s">
        <v>161</v>
      </c>
      <c r="H78" s="125"/>
      <c r="I78" s="125"/>
      <c r="J78" s="125"/>
      <c r="K78" s="27"/>
      <c r="L78" s="125"/>
    </row>
    <row r="79" spans="1:12" ht="12.75">
      <c r="A79" s="24" t="s">
        <v>139</v>
      </c>
      <c r="B79" s="43">
        <f>B80+B81</f>
        <v>24000000</v>
      </c>
      <c r="C79" s="43">
        <v>11950231</v>
      </c>
      <c r="D79" s="43">
        <f>D80+D81</f>
        <v>7662274</v>
      </c>
      <c r="E79" s="154">
        <f t="shared" si="11"/>
        <v>0.3192614166666667</v>
      </c>
      <c r="F79" s="43">
        <f>F80+F81</f>
        <v>1212220</v>
      </c>
      <c r="G79" s="24" t="s">
        <v>139</v>
      </c>
      <c r="H79" s="125">
        <f>H80+H81</f>
        <v>24000</v>
      </c>
      <c r="I79" s="155">
        <f>ROUND(C79/1000,0)</f>
        <v>11950</v>
      </c>
      <c r="J79" s="125">
        <f>J80+J81</f>
        <v>7662</v>
      </c>
      <c r="K79" s="27">
        <f t="shared" si="12"/>
        <v>0.31925</v>
      </c>
      <c r="L79" s="125">
        <f>L80+L81</f>
        <v>1211</v>
      </c>
    </row>
    <row r="80" spans="1:12" ht="382.5">
      <c r="A80" s="31" t="s">
        <v>162</v>
      </c>
      <c r="B80" s="43">
        <v>19053504</v>
      </c>
      <c r="C80" s="43"/>
      <c r="D80" s="43">
        <v>6989336</v>
      </c>
      <c r="E80" s="154">
        <f t="shared" si="11"/>
        <v>0.3668268051902684</v>
      </c>
      <c r="F80" s="43">
        <f>D80-'[3]Aprīlis'!D80</f>
        <v>998692</v>
      </c>
      <c r="G80" s="31" t="s">
        <v>162</v>
      </c>
      <c r="H80" s="155">
        <f>ROUND(B80/1000,0)</f>
        <v>19054</v>
      </c>
      <c r="I80" s="155">
        <f>ROUND(C80/1000,0)</f>
        <v>0</v>
      </c>
      <c r="J80" s="155">
        <f>ROUND(D80/1000,0)</f>
        <v>6989</v>
      </c>
      <c r="K80" s="27">
        <f t="shared" si="12"/>
        <v>0.36679962212658757</v>
      </c>
      <c r="L80" s="155">
        <f>J80-'[3]Aprīlis'!J80</f>
        <v>998</v>
      </c>
    </row>
    <row r="81" spans="1:12" ht="12.75">
      <c r="A81" s="24" t="s">
        <v>163</v>
      </c>
      <c r="B81" s="43">
        <v>4946496</v>
      </c>
      <c r="C81" s="43"/>
      <c r="D81" s="43">
        <v>672938</v>
      </c>
      <c r="E81" s="154">
        <f t="shared" si="11"/>
        <v>0.1360433729249958</v>
      </c>
      <c r="F81" s="43">
        <f>D81-'[3]Aprīlis'!D81</f>
        <v>213528</v>
      </c>
      <c r="G81" s="24" t="s">
        <v>163</v>
      </c>
      <c r="H81" s="155">
        <f>ROUND(B81/1000,0)</f>
        <v>4946</v>
      </c>
      <c r="I81" s="155">
        <f>ROUND(C81/1000,0)</f>
        <v>0</v>
      </c>
      <c r="J81" s="155">
        <f>ROUND(D81/1000,0)</f>
        <v>673</v>
      </c>
      <c r="K81" s="27">
        <f t="shared" si="12"/>
        <v>0.13606955115244643</v>
      </c>
      <c r="L81" s="155">
        <f>J81-'[3]Aprīlis'!J81</f>
        <v>213</v>
      </c>
    </row>
    <row r="82" spans="1:12" ht="12.75">
      <c r="A82" s="24" t="s">
        <v>140</v>
      </c>
      <c r="B82" s="43">
        <f>B83+B84</f>
        <v>24000000</v>
      </c>
      <c r="C82" s="43">
        <f>C83+C84</f>
        <v>11950231</v>
      </c>
      <c r="D82" s="43">
        <f>D83+D84</f>
        <v>7806668</v>
      </c>
      <c r="E82" s="154">
        <f t="shared" si="11"/>
        <v>0.3252778333333333</v>
      </c>
      <c r="F82" s="43">
        <f>F83+F84</f>
        <v>2010591</v>
      </c>
      <c r="G82" s="24" t="s">
        <v>140</v>
      </c>
      <c r="H82" s="125">
        <f>H83+H84</f>
        <v>24000</v>
      </c>
      <c r="I82" s="125">
        <f>I83+I84</f>
        <v>11950</v>
      </c>
      <c r="J82" s="125">
        <f>J83+J84</f>
        <v>7807</v>
      </c>
      <c r="K82" s="27">
        <f t="shared" si="12"/>
        <v>0.32529166666666665</v>
      </c>
      <c r="L82" s="125">
        <f>L83+L84</f>
        <v>2011</v>
      </c>
    </row>
    <row r="83" spans="1:12" ht="12.75">
      <c r="A83" s="24" t="s">
        <v>132</v>
      </c>
      <c r="B83" s="43">
        <v>22190000</v>
      </c>
      <c r="C83" s="43">
        <v>10140231</v>
      </c>
      <c r="D83" s="43">
        <v>7247776</v>
      </c>
      <c r="E83" s="154">
        <f t="shared" si="11"/>
        <v>0.32662352410995943</v>
      </c>
      <c r="F83" s="43">
        <f>D83-'[3]Aprīlis'!D83</f>
        <v>1793950</v>
      </c>
      <c r="G83" s="24" t="s">
        <v>132</v>
      </c>
      <c r="H83" s="155">
        <f aca="true" t="shared" si="14" ref="H83:J84">ROUND(B83/1000,0)</f>
        <v>22190</v>
      </c>
      <c r="I83" s="155">
        <f t="shared" si="14"/>
        <v>10140</v>
      </c>
      <c r="J83" s="155">
        <f t="shared" si="14"/>
        <v>7248</v>
      </c>
      <c r="K83" s="27">
        <f t="shared" si="12"/>
        <v>0.32663361874718344</v>
      </c>
      <c r="L83" s="155">
        <f>J83-'[3]Aprīlis'!J83</f>
        <v>1794</v>
      </c>
    </row>
    <row r="84" spans="1:12" ht="12.75">
      <c r="A84" s="24" t="s">
        <v>133</v>
      </c>
      <c r="B84" s="43">
        <v>1810000</v>
      </c>
      <c r="C84" s="43">
        <v>1810000</v>
      </c>
      <c r="D84" s="43">
        <v>558892</v>
      </c>
      <c r="E84" s="154">
        <f t="shared" si="11"/>
        <v>0.3087801104972376</v>
      </c>
      <c r="F84" s="43">
        <f>D84-'[3]Aprīlis'!D84</f>
        <v>216641</v>
      </c>
      <c r="G84" s="24" t="s">
        <v>133</v>
      </c>
      <c r="H84" s="155">
        <f t="shared" si="14"/>
        <v>1810</v>
      </c>
      <c r="I84" s="155">
        <f t="shared" si="14"/>
        <v>1810</v>
      </c>
      <c r="J84" s="155">
        <f t="shared" si="14"/>
        <v>559</v>
      </c>
      <c r="K84" s="27">
        <f t="shared" si="12"/>
        <v>0.30883977900552484</v>
      </c>
      <c r="L84" s="155">
        <f>J84-'[3]Aprīlis'!J84</f>
        <v>217</v>
      </c>
    </row>
    <row r="85" spans="1:12" ht="21" customHeight="1">
      <c r="A85" s="150" t="s">
        <v>164</v>
      </c>
      <c r="B85" s="62"/>
      <c r="C85" s="62"/>
      <c r="D85" s="62"/>
      <c r="E85" s="154" t="str">
        <f t="shared" si="11"/>
        <v> </v>
      </c>
      <c r="F85" s="62"/>
      <c r="G85" s="150" t="s">
        <v>164</v>
      </c>
      <c r="H85" s="155"/>
      <c r="I85" s="155"/>
      <c r="J85" s="155"/>
      <c r="K85" s="27"/>
      <c r="L85" s="155"/>
    </row>
    <row r="86" spans="1:12" ht="21" customHeight="1">
      <c r="A86" s="158" t="s">
        <v>165</v>
      </c>
      <c r="B86" s="43"/>
      <c r="C86" s="43"/>
      <c r="D86" s="43"/>
      <c r="E86" s="154" t="str">
        <f t="shared" si="11"/>
        <v> </v>
      </c>
      <c r="F86" s="43"/>
      <c r="G86" s="158" t="s">
        <v>165</v>
      </c>
      <c r="H86" s="125"/>
      <c r="I86" s="125"/>
      <c r="J86" s="125"/>
      <c r="K86" s="27"/>
      <c r="L86" s="125"/>
    </row>
    <row r="87" spans="1:12" ht="12.75">
      <c r="A87" s="24" t="s">
        <v>139</v>
      </c>
      <c r="B87" s="43">
        <f>SUM(B88:B90)</f>
        <v>78350000</v>
      </c>
      <c r="C87" s="43">
        <v>25576330</v>
      </c>
      <c r="D87" s="43">
        <f>SUM(D88:D90)</f>
        <v>21511592</v>
      </c>
      <c r="E87" s="154">
        <f t="shared" si="11"/>
        <v>0.27455765156349715</v>
      </c>
      <c r="F87" s="43">
        <f>SUM(F88:F90)</f>
        <v>6286488</v>
      </c>
      <c r="G87" s="24" t="s">
        <v>139</v>
      </c>
      <c r="H87" s="125">
        <f>SUM(H88:H90)</f>
        <v>78350</v>
      </c>
      <c r="I87" s="155">
        <f>ROUND(C87/1000,0)</f>
        <v>25576</v>
      </c>
      <c r="J87" s="125">
        <f>SUM(J88:J90)</f>
        <v>21512</v>
      </c>
      <c r="K87" s="27">
        <f t="shared" si="12"/>
        <v>0.27456285896617744</v>
      </c>
      <c r="L87" s="125">
        <f>SUM(L88:L90)</f>
        <v>6287</v>
      </c>
    </row>
    <row r="88" spans="1:12" ht="12.75">
      <c r="A88" s="24" t="s">
        <v>166</v>
      </c>
      <c r="B88" s="43">
        <v>7500000</v>
      </c>
      <c r="C88" s="43"/>
      <c r="D88" s="43">
        <v>3978739</v>
      </c>
      <c r="E88" s="154">
        <f t="shared" si="11"/>
        <v>0.5304985333333333</v>
      </c>
      <c r="F88" s="43">
        <f>D88-'[3]Aprīlis'!D88</f>
        <v>720635</v>
      </c>
      <c r="G88" s="24" t="s">
        <v>166</v>
      </c>
      <c r="H88" s="155">
        <f>ROUND(B88/1000,0)</f>
        <v>7500</v>
      </c>
      <c r="I88" s="155">
        <f>ROUND(C88/1000,0)</f>
        <v>0</v>
      </c>
      <c r="J88" s="155">
        <f>ROUND(D88/1000,0)</f>
        <v>3979</v>
      </c>
      <c r="K88" s="27">
        <f t="shared" si="12"/>
        <v>0.5305333333333333</v>
      </c>
      <c r="L88" s="155">
        <f>J88-'[3]Aprīlis'!J88</f>
        <v>721</v>
      </c>
    </row>
    <row r="89" spans="1:12" ht="12.75">
      <c r="A89" s="24" t="s">
        <v>167</v>
      </c>
      <c r="B89" s="43">
        <v>70800000</v>
      </c>
      <c r="C89" s="43"/>
      <c r="D89" s="43">
        <v>17523813</v>
      </c>
      <c r="E89" s="154">
        <f t="shared" si="11"/>
        <v>0.24751148305084747</v>
      </c>
      <c r="F89" s="43">
        <f>D89-'[3]Aprīlis'!D89</f>
        <v>5564300</v>
      </c>
      <c r="G89" s="24" t="s">
        <v>167</v>
      </c>
      <c r="H89" s="155">
        <f>ROUND(B89/1000,0)</f>
        <v>70800</v>
      </c>
      <c r="I89" s="155">
        <f>ROUND(C89/1000,0)</f>
        <v>0</v>
      </c>
      <c r="J89" s="155">
        <f>ROUND(D89/1000,0)</f>
        <v>17524</v>
      </c>
      <c r="K89" s="27">
        <f t="shared" si="12"/>
        <v>0.2475141242937853</v>
      </c>
      <c r="L89" s="155">
        <f>J89-'[3]Aprīlis'!J89</f>
        <v>5564</v>
      </c>
    </row>
    <row r="90" spans="1:12" ht="12.75">
      <c r="A90" s="24" t="s">
        <v>168</v>
      </c>
      <c r="B90" s="43">
        <v>50000</v>
      </c>
      <c r="C90" s="43"/>
      <c r="D90" s="43">
        <v>9040</v>
      </c>
      <c r="E90" s="154">
        <f t="shared" si="11"/>
        <v>0.1808</v>
      </c>
      <c r="F90" s="43">
        <f>D90-'[3]Aprīlis'!D90</f>
        <v>1553</v>
      </c>
      <c r="G90" s="24" t="s">
        <v>168</v>
      </c>
      <c r="H90" s="155">
        <f>ROUND(B90/1000,0)</f>
        <v>50</v>
      </c>
      <c r="I90" s="155">
        <f>ROUND(C90/1000,0)</f>
        <v>0</v>
      </c>
      <c r="J90" s="155">
        <f>ROUND(D90/1000,0)</f>
        <v>9</v>
      </c>
      <c r="K90" s="27">
        <f t="shared" si="12"/>
        <v>0.18</v>
      </c>
      <c r="L90" s="155">
        <f>J90-'[3]Aprīlis'!J90</f>
        <v>2</v>
      </c>
    </row>
    <row r="91" spans="1:12" ht="12.75">
      <c r="A91" s="24" t="s">
        <v>140</v>
      </c>
      <c r="B91" s="43">
        <f>B92+B93</f>
        <v>100570000</v>
      </c>
      <c r="C91" s="43">
        <f>C92+C93</f>
        <v>36056670</v>
      </c>
      <c r="D91" s="43">
        <f>D92+D93</f>
        <v>29150805</v>
      </c>
      <c r="E91" s="154">
        <f t="shared" si="11"/>
        <v>0.2898558715322661</v>
      </c>
      <c r="F91" s="43">
        <f>F92+F93</f>
        <v>8505323</v>
      </c>
      <c r="G91" s="24" t="s">
        <v>140</v>
      </c>
      <c r="H91" s="125">
        <f>H92+H93</f>
        <v>100570</v>
      </c>
      <c r="I91" s="125">
        <f>I92+I93</f>
        <v>36057</v>
      </c>
      <c r="J91" s="125">
        <f>J92+J93</f>
        <v>29151</v>
      </c>
      <c r="K91" s="27">
        <f t="shared" si="12"/>
        <v>0.2898578104802625</v>
      </c>
      <c r="L91" s="125">
        <f>L92+L93</f>
        <v>8506</v>
      </c>
    </row>
    <row r="92" spans="1:12" ht="12.75">
      <c r="A92" s="24" t="s">
        <v>132</v>
      </c>
      <c r="B92" s="43">
        <v>67084217</v>
      </c>
      <c r="C92" s="43">
        <v>26652492</v>
      </c>
      <c r="D92" s="43">
        <v>22607567</v>
      </c>
      <c r="E92" s="154">
        <f t="shared" si="11"/>
        <v>0.3370027707113284</v>
      </c>
      <c r="F92" s="43">
        <f>D92-'[3]Aprīlis'!D92</f>
        <v>5884505</v>
      </c>
      <c r="G92" s="24" t="s">
        <v>132</v>
      </c>
      <c r="H92" s="155">
        <f aca="true" t="shared" si="15" ref="H92:J95">ROUND(B92/1000,0)</f>
        <v>67084</v>
      </c>
      <c r="I92" s="155">
        <f>ROUND(C92/1000,0)+1</f>
        <v>26653</v>
      </c>
      <c r="J92" s="155">
        <f t="shared" si="15"/>
        <v>22608</v>
      </c>
      <c r="K92" s="27">
        <f t="shared" si="12"/>
        <v>0.33701031542543675</v>
      </c>
      <c r="L92" s="155">
        <f>J92-'[3]Aprīlis'!J92</f>
        <v>5885</v>
      </c>
    </row>
    <row r="93" spans="1:12" ht="12.75">
      <c r="A93" s="24" t="s">
        <v>169</v>
      </c>
      <c r="B93" s="43">
        <v>33485783</v>
      </c>
      <c r="C93" s="43">
        <v>9404178</v>
      </c>
      <c r="D93" s="43">
        <v>6543238</v>
      </c>
      <c r="E93" s="154">
        <f t="shared" si="11"/>
        <v>0.19540346421046806</v>
      </c>
      <c r="F93" s="43">
        <f>D93-'[3]Aprīlis'!D93</f>
        <v>2620818</v>
      </c>
      <c r="G93" s="24" t="s">
        <v>169</v>
      </c>
      <c r="H93" s="155">
        <f t="shared" si="15"/>
        <v>33486</v>
      </c>
      <c r="I93" s="155">
        <f t="shared" si="15"/>
        <v>9404</v>
      </c>
      <c r="J93" s="155">
        <f t="shared" si="15"/>
        <v>6543</v>
      </c>
      <c r="K93" s="27">
        <f t="shared" si="12"/>
        <v>0.19539509048557607</v>
      </c>
      <c r="L93" s="155">
        <f>J93-'[3]Aprīlis'!J93</f>
        <v>2621</v>
      </c>
    </row>
    <row r="94" spans="1:12" ht="15.75" customHeight="1">
      <c r="A94" s="24" t="s">
        <v>136</v>
      </c>
      <c r="B94" s="43">
        <f>B87-B91</f>
        <v>-22220000</v>
      </c>
      <c r="C94" s="43">
        <f>C87-C91</f>
        <v>-10480340</v>
      </c>
      <c r="D94" s="43">
        <f>D87-D91</f>
        <v>-7639213</v>
      </c>
      <c r="E94" s="154">
        <f t="shared" si="11"/>
        <v>0.34379896489648964</v>
      </c>
      <c r="F94" s="43">
        <f>F87-F91</f>
        <v>-2218835</v>
      </c>
      <c r="G94" s="24" t="s">
        <v>136</v>
      </c>
      <c r="H94" s="125">
        <f>H87-H91</f>
        <v>-22220</v>
      </c>
      <c r="I94" s="125">
        <f>I87-I91</f>
        <v>-10481</v>
      </c>
      <c r="J94" s="125">
        <f>J87-J91</f>
        <v>-7639</v>
      </c>
      <c r="K94" s="27">
        <f t="shared" si="12"/>
        <v>0.3437893789378938</v>
      </c>
      <c r="L94" s="125">
        <f>L87-L91</f>
        <v>-2219</v>
      </c>
    </row>
    <row r="95" spans="1:12" ht="15.75" customHeight="1">
      <c r="A95" s="24" t="s">
        <v>121</v>
      </c>
      <c r="B95" s="43">
        <f>-B94</f>
        <v>22220000</v>
      </c>
      <c r="C95" s="43">
        <f>-C94</f>
        <v>10480340</v>
      </c>
      <c r="D95" s="43">
        <v>3457300</v>
      </c>
      <c r="E95" s="154">
        <f t="shared" si="11"/>
        <v>0.1555940594059406</v>
      </c>
      <c r="F95" s="43">
        <f>D95-'[3]Aprīlis'!D95</f>
        <v>2058604</v>
      </c>
      <c r="G95" s="24" t="s">
        <v>121</v>
      </c>
      <c r="H95" s="125">
        <f>-H94</f>
        <v>22220</v>
      </c>
      <c r="I95" s="125">
        <f>-I94</f>
        <v>10481</v>
      </c>
      <c r="J95" s="155">
        <f t="shared" si="15"/>
        <v>3457</v>
      </c>
      <c r="K95" s="27">
        <f t="shared" si="12"/>
        <v>0.1555805580558056</v>
      </c>
      <c r="L95" s="155">
        <f>J95-'[3]Aprīlis'!J95</f>
        <v>2058</v>
      </c>
    </row>
    <row r="96" spans="1:12" ht="16.5" customHeight="1">
      <c r="A96" s="158" t="s">
        <v>170</v>
      </c>
      <c r="B96" s="43"/>
      <c r="C96" s="43"/>
      <c r="D96" s="43"/>
      <c r="E96" s="154" t="str">
        <f t="shared" si="11"/>
        <v> </v>
      </c>
      <c r="F96" s="43"/>
      <c r="G96" s="158" t="s">
        <v>170</v>
      </c>
      <c r="H96" s="125"/>
      <c r="I96" s="125"/>
      <c r="J96" s="125"/>
      <c r="K96" s="27"/>
      <c r="L96" s="155"/>
    </row>
    <row r="97" spans="1:12" ht="12.75">
      <c r="A97" s="24" t="s">
        <v>139</v>
      </c>
      <c r="B97" s="43">
        <f>B98+B99</f>
        <v>23013279</v>
      </c>
      <c r="C97" s="43">
        <f>C98+C99</f>
        <v>0</v>
      </c>
      <c r="D97" s="43">
        <f>D98+D99</f>
        <v>0</v>
      </c>
      <c r="E97" s="154">
        <f t="shared" si="11"/>
        <v>0</v>
      </c>
      <c r="F97" s="43">
        <f>F98+F99</f>
        <v>0</v>
      </c>
      <c r="G97" s="24" t="s">
        <v>139</v>
      </c>
      <c r="H97" s="125">
        <f>H98+H99</f>
        <v>23013</v>
      </c>
      <c r="I97" s="125">
        <f>I98+I99</f>
        <v>0</v>
      </c>
      <c r="J97" s="125">
        <f>J98+J99</f>
        <v>0</v>
      </c>
      <c r="K97" s="27">
        <f t="shared" si="12"/>
        <v>0</v>
      </c>
      <c r="L97" s="125">
        <f>L98+L99</f>
        <v>0</v>
      </c>
    </row>
    <row r="98" spans="1:12" ht="12.75">
      <c r="A98" s="24" t="s">
        <v>171</v>
      </c>
      <c r="B98" s="43">
        <v>19278279</v>
      </c>
      <c r="C98" s="43"/>
      <c r="D98" s="43"/>
      <c r="E98" s="154">
        <f t="shared" si="11"/>
        <v>0</v>
      </c>
      <c r="F98" s="43">
        <f>D98-'[3]Aprīlis'!D98</f>
        <v>0</v>
      </c>
      <c r="G98" s="24" t="s">
        <v>171</v>
      </c>
      <c r="H98" s="155">
        <f aca="true" t="shared" si="16" ref="H98:J99">ROUND(B98/1000,0)</f>
        <v>19278</v>
      </c>
      <c r="I98" s="155">
        <f t="shared" si="16"/>
        <v>0</v>
      </c>
      <c r="J98" s="155">
        <f t="shared" si="16"/>
        <v>0</v>
      </c>
      <c r="K98" s="27">
        <f t="shared" si="12"/>
        <v>0</v>
      </c>
      <c r="L98" s="155">
        <f>J98-'[3]Aprīlis'!J98</f>
        <v>0</v>
      </c>
    </row>
    <row r="99" spans="1:12" ht="12.75">
      <c r="A99" s="24" t="s">
        <v>172</v>
      </c>
      <c r="B99" s="43">
        <v>3735000</v>
      </c>
      <c r="C99" s="43"/>
      <c r="D99" s="43"/>
      <c r="E99" s="154">
        <f t="shared" si="11"/>
        <v>0</v>
      </c>
      <c r="F99" s="43">
        <f>D99-'[3]Aprīlis'!D99</f>
        <v>0</v>
      </c>
      <c r="G99" s="24" t="s">
        <v>172</v>
      </c>
      <c r="H99" s="155">
        <f t="shared" si="16"/>
        <v>3735</v>
      </c>
      <c r="I99" s="155">
        <f t="shared" si="16"/>
        <v>0</v>
      </c>
      <c r="J99" s="155">
        <f t="shared" si="16"/>
        <v>0</v>
      </c>
      <c r="K99" s="27">
        <f t="shared" si="12"/>
        <v>0</v>
      </c>
      <c r="L99" s="155">
        <f>J99-'[3]Aprīlis'!J99</f>
        <v>0</v>
      </c>
    </row>
    <row r="100" spans="1:12" ht="12.75">
      <c r="A100" s="24" t="s">
        <v>140</v>
      </c>
      <c r="B100" s="43">
        <f>B101+B102</f>
        <v>23013279</v>
      </c>
      <c r="C100" s="43">
        <f>C101+C102</f>
        <v>0</v>
      </c>
      <c r="D100" s="43">
        <f>D101+D102</f>
        <v>0</v>
      </c>
      <c r="E100" s="154">
        <f t="shared" si="11"/>
        <v>0</v>
      </c>
      <c r="F100" s="43">
        <f>F101+F102</f>
        <v>0</v>
      </c>
      <c r="G100" s="24" t="s">
        <v>140</v>
      </c>
      <c r="H100" s="125">
        <f>H101+H102</f>
        <v>23013</v>
      </c>
      <c r="I100" s="125">
        <f>I101+I102</f>
        <v>0</v>
      </c>
      <c r="J100" s="125">
        <f>J101+J102</f>
        <v>0</v>
      </c>
      <c r="K100" s="27">
        <f t="shared" si="12"/>
        <v>0</v>
      </c>
      <c r="L100" s="125">
        <f>L101+L102</f>
        <v>0</v>
      </c>
    </row>
    <row r="101" spans="1:12" ht="12.75">
      <c r="A101" s="24" t="s">
        <v>132</v>
      </c>
      <c r="B101" s="43">
        <v>14999136</v>
      </c>
      <c r="C101" s="43"/>
      <c r="D101" s="43"/>
      <c r="E101" s="154">
        <f t="shared" si="11"/>
        <v>0</v>
      </c>
      <c r="F101" s="43">
        <f>D101-'[3]Aprīlis'!D101</f>
        <v>0</v>
      </c>
      <c r="G101" s="24" t="s">
        <v>132</v>
      </c>
      <c r="H101" s="155">
        <f aca="true" t="shared" si="17" ref="H101:J102">ROUND(B101/1000,0)</f>
        <v>14999</v>
      </c>
      <c r="I101" s="155">
        <f t="shared" si="17"/>
        <v>0</v>
      </c>
      <c r="J101" s="155">
        <f t="shared" si="17"/>
        <v>0</v>
      </c>
      <c r="K101" s="27">
        <f t="shared" si="12"/>
        <v>0</v>
      </c>
      <c r="L101" s="155">
        <f>J101-'[3]Aprīlis'!J101</f>
        <v>0</v>
      </c>
    </row>
    <row r="102" spans="1:12" ht="12.75">
      <c r="A102" s="24" t="s">
        <v>133</v>
      </c>
      <c r="B102" s="43">
        <v>8014143</v>
      </c>
      <c r="C102" s="43"/>
      <c r="D102" s="43"/>
      <c r="E102" s="154">
        <f t="shared" si="11"/>
        <v>0</v>
      </c>
      <c r="F102" s="43">
        <f>D102-'[3]Aprīlis'!D102</f>
        <v>0</v>
      </c>
      <c r="G102" s="24" t="s">
        <v>133</v>
      </c>
      <c r="H102" s="155">
        <f t="shared" si="17"/>
        <v>8014</v>
      </c>
      <c r="I102" s="155">
        <f t="shared" si="17"/>
        <v>0</v>
      </c>
      <c r="J102" s="155">
        <f t="shared" si="17"/>
        <v>0</v>
      </c>
      <c r="K102" s="27">
        <f t="shared" si="12"/>
        <v>0</v>
      </c>
      <c r="L102" s="155">
        <f>J102-'[3]Aprīlis'!J102</f>
        <v>0</v>
      </c>
    </row>
    <row r="103" spans="1:12" ht="15.75" customHeight="1">
      <c r="A103" s="158" t="s">
        <v>173</v>
      </c>
      <c r="B103" s="43"/>
      <c r="C103" s="43"/>
      <c r="D103" s="43"/>
      <c r="E103" s="154" t="str">
        <f t="shared" si="11"/>
        <v> </v>
      </c>
      <c r="F103" s="43"/>
      <c r="G103" s="158" t="s">
        <v>173</v>
      </c>
      <c r="H103" s="125"/>
      <c r="I103" s="125"/>
      <c r="J103" s="125"/>
      <c r="K103" s="27"/>
      <c r="L103" s="125"/>
    </row>
    <row r="104" spans="1:12" ht="12.75">
      <c r="A104" s="24" t="s">
        <v>139</v>
      </c>
      <c r="B104" s="43">
        <f>B105+B106</f>
        <v>840000</v>
      </c>
      <c r="C104" s="43">
        <v>485345</v>
      </c>
      <c r="D104" s="43">
        <f>D105+D106</f>
        <v>307000</v>
      </c>
      <c r="E104" s="154">
        <f t="shared" si="11"/>
        <v>0.36547619047619045</v>
      </c>
      <c r="F104" s="43">
        <f>F105+F106</f>
        <v>90011</v>
      </c>
      <c r="G104" s="24" t="s">
        <v>139</v>
      </c>
      <c r="H104" s="125">
        <f>H105+H106</f>
        <v>840</v>
      </c>
      <c r="I104" s="155">
        <f>ROUND(C104/1000,0)</f>
        <v>485</v>
      </c>
      <c r="J104" s="125">
        <f>J105+J106</f>
        <v>307</v>
      </c>
      <c r="K104" s="27">
        <f t="shared" si="12"/>
        <v>0.36547619047619045</v>
      </c>
      <c r="L104" s="125">
        <f>L105+L106</f>
        <v>90</v>
      </c>
    </row>
    <row r="105" spans="1:12" ht="12.75">
      <c r="A105" s="24" t="s">
        <v>174</v>
      </c>
      <c r="B105" s="43">
        <v>840000</v>
      </c>
      <c r="C105" s="43"/>
      <c r="D105" s="43">
        <v>300235</v>
      </c>
      <c r="E105" s="154">
        <f t="shared" si="11"/>
        <v>0.3574226190476191</v>
      </c>
      <c r="F105" s="43">
        <f>D105-'[3]Aprīlis'!D105</f>
        <v>88215</v>
      </c>
      <c r="G105" s="24" t="s">
        <v>174</v>
      </c>
      <c r="H105" s="155">
        <f>ROUND(B105/1000,0)</f>
        <v>840</v>
      </c>
      <c r="I105" s="155">
        <f>ROUND(C105/1000,0)</f>
        <v>0</v>
      </c>
      <c r="J105" s="155">
        <f>ROUND(D105/1000,0)</f>
        <v>300</v>
      </c>
      <c r="K105" s="27">
        <f t="shared" si="12"/>
        <v>0.35714285714285715</v>
      </c>
      <c r="L105" s="155">
        <f>J105-'[3]Aprīlis'!J105</f>
        <v>88</v>
      </c>
    </row>
    <row r="106" spans="1:12" ht="12.75">
      <c r="A106" s="24" t="s">
        <v>146</v>
      </c>
      <c r="B106" s="43"/>
      <c r="C106" s="43"/>
      <c r="D106" s="43">
        <v>6765</v>
      </c>
      <c r="E106" s="154" t="str">
        <f t="shared" si="11"/>
        <v> </v>
      </c>
      <c r="F106" s="43">
        <f>D106-'[3]Aprīlis'!D106</f>
        <v>1796</v>
      </c>
      <c r="G106" s="24" t="s">
        <v>146</v>
      </c>
      <c r="H106" s="155">
        <f>ROUND(B106/1000,0)</f>
        <v>0</v>
      </c>
      <c r="I106" s="155">
        <f>ROUND(C106/1000,0)</f>
        <v>0</v>
      </c>
      <c r="J106" s="155">
        <f>ROUND(D106/1000,0)</f>
        <v>7</v>
      </c>
      <c r="K106" s="27" t="str">
        <f t="shared" si="12"/>
        <v> </v>
      </c>
      <c r="L106" s="155">
        <f>J106-'[3]Aprīlis'!J106</f>
        <v>2</v>
      </c>
    </row>
    <row r="107" spans="1:12" ht="12.75">
      <c r="A107" s="24" t="s">
        <v>140</v>
      </c>
      <c r="B107" s="43">
        <f>B108+B109</f>
        <v>840000</v>
      </c>
      <c r="C107" s="43">
        <f>C108+C109</f>
        <v>427345</v>
      </c>
      <c r="D107" s="43">
        <f>D108+D109</f>
        <v>238690</v>
      </c>
      <c r="E107" s="154">
        <f t="shared" si="11"/>
        <v>0.2841547619047619</v>
      </c>
      <c r="F107" s="43">
        <f>F108+F109</f>
        <v>61189</v>
      </c>
      <c r="G107" s="24" t="s">
        <v>140</v>
      </c>
      <c r="H107" s="125">
        <f>H108+H109</f>
        <v>840</v>
      </c>
      <c r="I107" s="125">
        <f>I108+I109</f>
        <v>428</v>
      </c>
      <c r="J107" s="125">
        <f>J108+J109</f>
        <v>239</v>
      </c>
      <c r="K107" s="27">
        <f t="shared" si="12"/>
        <v>0.2845238095238095</v>
      </c>
      <c r="L107" s="125">
        <f>L108+L109</f>
        <v>62</v>
      </c>
    </row>
    <row r="108" spans="1:12" ht="12.75">
      <c r="A108" s="24" t="s">
        <v>132</v>
      </c>
      <c r="B108" s="43">
        <v>487506</v>
      </c>
      <c r="C108" s="43">
        <v>286690</v>
      </c>
      <c r="D108" s="43">
        <v>198508</v>
      </c>
      <c r="E108" s="154">
        <f t="shared" si="11"/>
        <v>0.40719088585576385</v>
      </c>
      <c r="F108" s="43">
        <f>D108-'[3]Aprīlis'!D108</f>
        <v>53508</v>
      </c>
      <c r="G108" s="24" t="s">
        <v>132</v>
      </c>
      <c r="H108" s="155">
        <f aca="true" t="shared" si="18" ref="H108:J109">ROUND(B108/1000,0)</f>
        <v>488</v>
      </c>
      <c r="I108" s="155">
        <f t="shared" si="18"/>
        <v>287</v>
      </c>
      <c r="J108" s="155">
        <f t="shared" si="18"/>
        <v>199</v>
      </c>
      <c r="K108" s="27">
        <f t="shared" si="12"/>
        <v>0.4077868852459016</v>
      </c>
      <c r="L108" s="155">
        <f>J108-'[3]Aprīlis'!J108</f>
        <v>54</v>
      </c>
    </row>
    <row r="109" spans="1:12" ht="12.75">
      <c r="A109" s="24" t="s">
        <v>133</v>
      </c>
      <c r="B109" s="43">
        <v>352494</v>
      </c>
      <c r="C109" s="43">
        <v>140655</v>
      </c>
      <c r="D109" s="43">
        <v>40182</v>
      </c>
      <c r="E109" s="154">
        <f t="shared" si="11"/>
        <v>0.11399342967539873</v>
      </c>
      <c r="F109" s="43">
        <f>D109-'[3]Aprīlis'!D109</f>
        <v>7681</v>
      </c>
      <c r="G109" s="24" t="s">
        <v>133</v>
      </c>
      <c r="H109" s="155">
        <f t="shared" si="18"/>
        <v>352</v>
      </c>
      <c r="I109" s="155">
        <f t="shared" si="18"/>
        <v>141</v>
      </c>
      <c r="J109" s="155">
        <f>ROUND(D109/1000,0)</f>
        <v>40</v>
      </c>
      <c r="K109" s="27">
        <f t="shared" si="12"/>
        <v>0.11363636363636363</v>
      </c>
      <c r="L109" s="155">
        <f>J109-'[3]Aprīlis'!J109</f>
        <v>8</v>
      </c>
    </row>
    <row r="110" spans="1:12" ht="16.5" customHeight="1">
      <c r="A110" s="158" t="s">
        <v>175</v>
      </c>
      <c r="B110" s="43"/>
      <c r="C110" s="43"/>
      <c r="D110" s="43"/>
      <c r="E110" s="154" t="str">
        <f t="shared" si="11"/>
        <v> </v>
      </c>
      <c r="F110" s="43"/>
      <c r="G110" s="158" t="s">
        <v>175</v>
      </c>
      <c r="H110" s="125"/>
      <c r="I110" s="125"/>
      <c r="J110" s="125"/>
      <c r="K110" s="27"/>
      <c r="L110" s="125"/>
    </row>
    <row r="111" spans="1:12" ht="12.75">
      <c r="A111" s="24" t="s">
        <v>139</v>
      </c>
      <c r="B111" s="43">
        <v>1881705</v>
      </c>
      <c r="C111" s="43">
        <v>1781061</v>
      </c>
      <c r="D111" s="43">
        <v>842481</v>
      </c>
      <c r="E111" s="154">
        <f t="shared" si="11"/>
        <v>0.4477221456073083</v>
      </c>
      <c r="F111" s="43">
        <f>D111-'[3]Aprīlis'!D111</f>
        <v>249314</v>
      </c>
      <c r="G111" s="24" t="s">
        <v>139</v>
      </c>
      <c r="H111" s="155">
        <f>ROUND(B111/1000,0)</f>
        <v>1882</v>
      </c>
      <c r="I111" s="155">
        <f>ROUND(C111/1000,0)</f>
        <v>1781</v>
      </c>
      <c r="J111" s="155">
        <f>ROUND(D111/1000,0)</f>
        <v>842</v>
      </c>
      <c r="K111" s="27">
        <f t="shared" si="12"/>
        <v>0.44739638682252925</v>
      </c>
      <c r="L111" s="155">
        <f>J111-'[3]Aprīlis'!J111</f>
        <v>249</v>
      </c>
    </row>
    <row r="112" spans="1:12" ht="12.75">
      <c r="A112" s="24" t="s">
        <v>140</v>
      </c>
      <c r="B112" s="43">
        <f>B113</f>
        <v>1881705</v>
      </c>
      <c r="C112" s="43">
        <f>C113</f>
        <v>1781061</v>
      </c>
      <c r="D112" s="43">
        <f>D113</f>
        <v>1081166</v>
      </c>
      <c r="E112" s="154">
        <f t="shared" si="11"/>
        <v>0.5745672143083002</v>
      </c>
      <c r="F112" s="43">
        <f>F113</f>
        <v>504618</v>
      </c>
      <c r="G112" s="24" t="s">
        <v>140</v>
      </c>
      <c r="H112" s="125">
        <f>H113</f>
        <v>1882</v>
      </c>
      <c r="I112" s="125">
        <f>I113</f>
        <v>1781</v>
      </c>
      <c r="J112" s="125">
        <f>J113</f>
        <v>1081</v>
      </c>
      <c r="K112" s="27">
        <f t="shared" si="12"/>
        <v>0.5743889479277364</v>
      </c>
      <c r="L112" s="125">
        <f>L113</f>
        <v>504</v>
      </c>
    </row>
    <row r="113" spans="1:12" ht="12.75">
      <c r="A113" s="24" t="s">
        <v>133</v>
      </c>
      <c r="B113" s="43">
        <v>1881705</v>
      </c>
      <c r="C113" s="43">
        <v>1781061</v>
      </c>
      <c r="D113" s="43">
        <v>1081166</v>
      </c>
      <c r="E113" s="154">
        <f t="shared" si="11"/>
        <v>0.5745672143083002</v>
      </c>
      <c r="F113" s="43">
        <f>D113-'[3]Aprīlis'!D113</f>
        <v>504618</v>
      </c>
      <c r="G113" s="24" t="s">
        <v>133</v>
      </c>
      <c r="H113" s="155">
        <f>ROUND(B113/1000,0)</f>
        <v>1882</v>
      </c>
      <c r="I113" s="155">
        <f>ROUND(C113/1000,0)</f>
        <v>1781</v>
      </c>
      <c r="J113" s="155">
        <f>ROUND(D113/1000,0)</f>
        <v>1081</v>
      </c>
      <c r="K113" s="27">
        <f t="shared" si="12"/>
        <v>0.5743889479277364</v>
      </c>
      <c r="L113" s="155">
        <f>J113-'[3]Aprīlis'!J113</f>
        <v>504</v>
      </c>
    </row>
    <row r="114" spans="1:12" ht="27.75" customHeight="1">
      <c r="A114" s="150" t="s">
        <v>176</v>
      </c>
      <c r="B114" s="43"/>
      <c r="C114" s="43"/>
      <c r="D114" s="43"/>
      <c r="E114" s="154" t="str">
        <f t="shared" si="11"/>
        <v> </v>
      </c>
      <c r="F114" s="43"/>
      <c r="G114" s="150" t="s">
        <v>176</v>
      </c>
      <c r="H114" s="125"/>
      <c r="I114" s="125"/>
      <c r="J114" s="125"/>
      <c r="K114" s="27"/>
      <c r="L114" s="125"/>
    </row>
    <row r="115" spans="1:12" ht="15.75" customHeight="1">
      <c r="A115" s="158" t="s">
        <v>177</v>
      </c>
      <c r="B115" s="43"/>
      <c r="C115" s="43"/>
      <c r="D115" s="43"/>
      <c r="E115" s="154" t="str">
        <f t="shared" si="11"/>
        <v> </v>
      </c>
      <c r="F115" s="43"/>
      <c r="G115" s="158" t="s">
        <v>177</v>
      </c>
      <c r="H115" s="125"/>
      <c r="I115" s="125"/>
      <c r="J115" s="125"/>
      <c r="K115" s="27"/>
      <c r="L115" s="125"/>
    </row>
    <row r="116" spans="1:12" ht="12.75">
      <c r="A116" s="24" t="s">
        <v>139</v>
      </c>
      <c r="B116" s="43">
        <f>SUM(B117:B119)</f>
        <v>479841299</v>
      </c>
      <c r="C116" s="43">
        <v>187331427</v>
      </c>
      <c r="D116" s="43">
        <f>SUM(D117:D119)</f>
        <v>179189244</v>
      </c>
      <c r="E116" s="154">
        <f t="shared" si="11"/>
        <v>0.37343439252401656</v>
      </c>
      <c r="F116" s="43">
        <f>SUM(F117:F119)</f>
        <v>37354197</v>
      </c>
      <c r="G116" s="24" t="s">
        <v>139</v>
      </c>
      <c r="H116" s="125">
        <f>SUM(H117:H119)</f>
        <v>479841</v>
      </c>
      <c r="I116" s="155">
        <f aca="true" t="shared" si="19" ref="H116:J119">ROUND(C116/1000,0)</f>
        <v>187331</v>
      </c>
      <c r="J116" s="125">
        <f>SUM(J117:J119)</f>
        <v>179190</v>
      </c>
      <c r="K116" s="27">
        <f t="shared" si="12"/>
        <v>0.37343620074149564</v>
      </c>
      <c r="L116" s="155">
        <f>SUM(L117:L119)</f>
        <v>37355</v>
      </c>
    </row>
    <row r="117" spans="1:33" s="120" customFormat="1" ht="12.75">
      <c r="A117" s="159" t="s">
        <v>178</v>
      </c>
      <c r="B117" s="74">
        <v>472550000</v>
      </c>
      <c r="C117" s="74"/>
      <c r="D117" s="74">
        <v>176482517</v>
      </c>
      <c r="E117" s="154">
        <f t="shared" si="11"/>
        <v>0.3734684520156597</v>
      </c>
      <c r="F117" s="43">
        <f>D117-'[3]Aprīlis'!D117</f>
        <v>36953897</v>
      </c>
      <c r="G117" s="24" t="s">
        <v>178</v>
      </c>
      <c r="H117" s="155">
        <f t="shared" si="19"/>
        <v>472550</v>
      </c>
      <c r="I117" s="155">
        <f t="shared" si="19"/>
        <v>0</v>
      </c>
      <c r="J117" s="155">
        <f t="shared" si="19"/>
        <v>176483</v>
      </c>
      <c r="K117" s="27">
        <f t="shared" si="12"/>
        <v>0.3734694741297217</v>
      </c>
      <c r="L117" s="155">
        <f>J117-'[3]Aprīlis'!J117</f>
        <v>36954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1:33" s="120" customFormat="1" ht="12.75">
      <c r="A118" s="159" t="s">
        <v>179</v>
      </c>
      <c r="B118" s="74">
        <v>5687299</v>
      </c>
      <c r="C118" s="74"/>
      <c r="D118" s="74">
        <f>761250+74262+1194204</f>
        <v>2029716</v>
      </c>
      <c r="E118" s="154">
        <f t="shared" si="11"/>
        <v>0.35688575543504925</v>
      </c>
      <c r="F118" s="43">
        <f>D118-'[3]Aprīlis'!D118</f>
        <v>1390335</v>
      </c>
      <c r="G118" s="24" t="s">
        <v>179</v>
      </c>
      <c r="H118" s="155">
        <f t="shared" si="19"/>
        <v>5687</v>
      </c>
      <c r="I118" s="155">
        <f t="shared" si="19"/>
        <v>0</v>
      </c>
      <c r="J118" s="155">
        <f t="shared" si="19"/>
        <v>2030</v>
      </c>
      <c r="K118" s="27">
        <f t="shared" si="12"/>
        <v>0.3569544575347283</v>
      </c>
      <c r="L118" s="155">
        <f>J118-'[3]Aprīlis'!J118</f>
        <v>1391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1:33" s="120" customFormat="1" ht="12.75">
      <c r="A119" s="159" t="s">
        <v>180</v>
      </c>
      <c r="B119" s="74">
        <v>1604000</v>
      </c>
      <c r="C119" s="74"/>
      <c r="D119" s="74">
        <v>677011</v>
      </c>
      <c r="E119" s="154">
        <f t="shared" si="11"/>
        <v>0.42207668329177056</v>
      </c>
      <c r="F119" s="43">
        <f>D119-'[3]Aprīlis'!D119</f>
        <v>-990035</v>
      </c>
      <c r="G119" s="24" t="s">
        <v>180</v>
      </c>
      <c r="H119" s="155">
        <f t="shared" si="19"/>
        <v>1604</v>
      </c>
      <c r="I119" s="155">
        <f t="shared" si="19"/>
        <v>0</v>
      </c>
      <c r="J119" s="155">
        <f>ROUND(D119/1000,0)</f>
        <v>677</v>
      </c>
      <c r="K119" s="27">
        <f t="shared" si="12"/>
        <v>0.422069825436409</v>
      </c>
      <c r="L119" s="155">
        <f>J119-'[3]Aprīlis'!J119</f>
        <v>-990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1:33" s="120" customFormat="1" ht="12.75">
      <c r="A120" s="24" t="s">
        <v>140</v>
      </c>
      <c r="B120" s="43">
        <v>510061089</v>
      </c>
      <c r="C120" s="43">
        <f>SUM(C121:C122)</f>
        <v>211200811</v>
      </c>
      <c r="D120" s="43">
        <f>SUM(D121:D122)</f>
        <v>209235899</v>
      </c>
      <c r="E120" s="154">
        <f t="shared" si="11"/>
        <v>0.4102173318302271</v>
      </c>
      <c r="F120" s="43">
        <f>SUM(F121:F122)</f>
        <v>41375713</v>
      </c>
      <c r="G120" s="24" t="s">
        <v>140</v>
      </c>
      <c r="H120" s="43">
        <f>SUM(H121:H122)</f>
        <v>510061</v>
      </c>
      <c r="I120" s="43">
        <f>SUM(I121:I122)</f>
        <v>211200</v>
      </c>
      <c r="J120" s="43">
        <f>SUM(J121:J122)</f>
        <v>209236</v>
      </c>
      <c r="K120" s="27">
        <f t="shared" si="12"/>
        <v>0.4102176014241434</v>
      </c>
      <c r="L120" s="125">
        <f>SUM(L121:L122)</f>
        <v>41376</v>
      </c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1:12" ht="12.75">
      <c r="A121" s="24" t="s">
        <v>132</v>
      </c>
      <c r="B121" s="43">
        <v>504568273</v>
      </c>
      <c r="C121" s="43">
        <v>209527339</v>
      </c>
      <c r="D121" s="43">
        <v>208047529</v>
      </c>
      <c r="E121" s="154">
        <f t="shared" si="11"/>
        <v>0.4123278060330995</v>
      </c>
      <c r="F121" s="43">
        <f>D121-'[3]Aprīlis'!D121</f>
        <v>41284365</v>
      </c>
      <c r="G121" s="24" t="s">
        <v>132</v>
      </c>
      <c r="H121" s="155">
        <f aca="true" t="shared" si="20" ref="H121:J124">ROUND(B121/1000,0)</f>
        <v>504568</v>
      </c>
      <c r="I121" s="155">
        <f t="shared" si="20"/>
        <v>209527</v>
      </c>
      <c r="J121" s="155">
        <f t="shared" si="20"/>
        <v>208048</v>
      </c>
      <c r="K121" s="27">
        <f t="shared" si="12"/>
        <v>0.41232896259770735</v>
      </c>
      <c r="L121" s="155">
        <f>J121-'[3]Aprīlis'!J121</f>
        <v>41285</v>
      </c>
    </row>
    <row r="122" spans="1:12" ht="12.75">
      <c r="A122" s="24" t="s">
        <v>133</v>
      </c>
      <c r="B122" s="43">
        <v>5492816</v>
      </c>
      <c r="C122" s="43">
        <v>1673472</v>
      </c>
      <c r="D122" s="43">
        <v>1188370</v>
      </c>
      <c r="E122" s="154">
        <f t="shared" si="11"/>
        <v>0.2163498649872852</v>
      </c>
      <c r="F122" s="43">
        <f>D122-'[3]Aprīlis'!D122</f>
        <v>91348</v>
      </c>
      <c r="G122" s="24" t="s">
        <v>133</v>
      </c>
      <c r="H122" s="155">
        <f t="shared" si="20"/>
        <v>5493</v>
      </c>
      <c r="I122" s="155">
        <f t="shared" si="20"/>
        <v>1673</v>
      </c>
      <c r="J122" s="155">
        <f t="shared" si="20"/>
        <v>1188</v>
      </c>
      <c r="K122" s="27">
        <f t="shared" si="12"/>
        <v>0.2162752594210814</v>
      </c>
      <c r="L122" s="155">
        <f>J122-'[3]Aprīlis'!J122</f>
        <v>91</v>
      </c>
    </row>
    <row r="123" spans="1:12" ht="12.75">
      <c r="A123" s="24" t="s">
        <v>136</v>
      </c>
      <c r="B123" s="43">
        <v>-30219790</v>
      </c>
      <c r="C123" s="43">
        <f>SUM(C116-C120)</f>
        <v>-23869384</v>
      </c>
      <c r="D123" s="43">
        <f>SUM(D116-D120)</f>
        <v>-30046655</v>
      </c>
      <c r="E123" s="154">
        <f t="shared" si="11"/>
        <v>0.9942708073087205</v>
      </c>
      <c r="F123" s="43">
        <f>SUM(F116-F120)</f>
        <v>-4021516</v>
      </c>
      <c r="G123" s="24" t="s">
        <v>136</v>
      </c>
      <c r="H123" s="155">
        <f t="shared" si="20"/>
        <v>-30220</v>
      </c>
      <c r="I123" s="155">
        <f t="shared" si="20"/>
        <v>-23869</v>
      </c>
      <c r="J123" s="155">
        <f t="shared" si="20"/>
        <v>-30047</v>
      </c>
      <c r="K123" s="27">
        <f t="shared" si="12"/>
        <v>0.9942753143613501</v>
      </c>
      <c r="L123" s="155">
        <f>J123-'[3]Aprīlis'!J123</f>
        <v>-4022</v>
      </c>
    </row>
    <row r="124" spans="1:12" ht="12.75">
      <c r="A124" s="24" t="s">
        <v>121</v>
      </c>
      <c r="B124" s="43">
        <v>15277816</v>
      </c>
      <c r="C124" s="43"/>
      <c r="D124" s="43">
        <f>14298793+520000</f>
        <v>14818793</v>
      </c>
      <c r="E124" s="154">
        <f t="shared" si="11"/>
        <v>0.9699549333491122</v>
      </c>
      <c r="F124" s="43">
        <f>D124-'[3]Aprīlis'!D124</f>
        <v>2931277</v>
      </c>
      <c r="G124" s="24" t="s">
        <v>121</v>
      </c>
      <c r="H124" s="155">
        <f t="shared" si="20"/>
        <v>15278</v>
      </c>
      <c r="I124" s="155">
        <f t="shared" si="20"/>
        <v>0</v>
      </c>
      <c r="J124" s="155">
        <f>ROUND(D124/1000,0)</f>
        <v>14819</v>
      </c>
      <c r="K124" s="27">
        <f t="shared" si="12"/>
        <v>0.9699568006283545</v>
      </c>
      <c r="L124" s="155">
        <f>J124-'[3]Aprīlis'!J124</f>
        <v>2932</v>
      </c>
    </row>
    <row r="125" spans="1:12" ht="12.75">
      <c r="A125" s="158" t="s">
        <v>181</v>
      </c>
      <c r="B125" s="43"/>
      <c r="C125" s="43"/>
      <c r="D125" s="43"/>
      <c r="E125" s="154" t="str">
        <f t="shared" si="11"/>
        <v> </v>
      </c>
      <c r="F125" s="43"/>
      <c r="G125" s="158" t="s">
        <v>181</v>
      </c>
      <c r="H125" s="125"/>
      <c r="I125" s="125"/>
      <c r="J125" s="125"/>
      <c r="K125" s="27"/>
      <c r="L125" s="125"/>
    </row>
    <row r="126" spans="1:12" ht="12.75">
      <c r="A126" s="24" t="s">
        <v>139</v>
      </c>
      <c r="B126" s="43">
        <f>SUM(B127:B129)</f>
        <v>378233271</v>
      </c>
      <c r="C126" s="43">
        <v>149232973</v>
      </c>
      <c r="D126" s="43">
        <f>SUM(D127:D129)</f>
        <v>141689871</v>
      </c>
      <c r="E126" s="154">
        <f t="shared" si="11"/>
        <v>0.37460974975942823</v>
      </c>
      <c r="F126" s="43">
        <f>SUM(F127:F129)</f>
        <v>29896641</v>
      </c>
      <c r="G126" s="24" t="s">
        <v>139</v>
      </c>
      <c r="H126" s="125">
        <f>SUM(H127:H129)</f>
        <v>378233</v>
      </c>
      <c r="I126" s="164">
        <f aca="true" t="shared" si="21" ref="H126:J131">ROUND(C126/1000,0)</f>
        <v>149233</v>
      </c>
      <c r="J126" s="125">
        <f>SUM(J127:J129)</f>
        <v>141689</v>
      </c>
      <c r="K126" s="27">
        <f t="shared" si="12"/>
        <v>0.374607715350062</v>
      </c>
      <c r="L126" s="155">
        <f>SUM(L127:L129)</f>
        <v>29896</v>
      </c>
    </row>
    <row r="127" spans="1:33" s="120" customFormat="1" ht="12.75">
      <c r="A127" s="159" t="s">
        <v>178</v>
      </c>
      <c r="B127" s="74">
        <v>357284400</v>
      </c>
      <c r="C127" s="74"/>
      <c r="D127" s="164">
        <v>133466224</v>
      </c>
      <c r="E127" s="154" t="str">
        <f>IF(ISERROR(#REF!/B127)," ",(#REF!/B127))</f>
        <v> </v>
      </c>
      <c r="F127" s="43">
        <f>D127-'[3]Aprīlis'!D127</f>
        <v>27990019</v>
      </c>
      <c r="G127" s="159" t="s">
        <v>178</v>
      </c>
      <c r="H127" s="164">
        <f t="shared" si="21"/>
        <v>357284</v>
      </c>
      <c r="I127" s="164">
        <f t="shared" si="21"/>
        <v>0</v>
      </c>
      <c r="J127" s="164">
        <f t="shared" si="21"/>
        <v>133466</v>
      </c>
      <c r="K127" s="27">
        <f t="shared" si="12"/>
        <v>0.37355717020633444</v>
      </c>
      <c r="L127" s="155">
        <f>J127-'[3]Aprīlis'!J127</f>
        <v>27990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1:33" s="120" customFormat="1" ht="12.75">
      <c r="A128" s="159" t="s">
        <v>179</v>
      </c>
      <c r="B128" s="74">
        <v>3224892</v>
      </c>
      <c r="C128" s="74"/>
      <c r="D128" s="164">
        <v>1043437</v>
      </c>
      <c r="E128" s="154" t="str">
        <f>IF(ISERROR(#REF!/B128)," ",(#REF!/B128))</f>
        <v> </v>
      </c>
      <c r="F128" s="43">
        <f>D128-'[3]Aprīlis'!D128</f>
        <v>1038449</v>
      </c>
      <c r="G128" s="159" t="s">
        <v>179</v>
      </c>
      <c r="H128" s="164">
        <f t="shared" si="21"/>
        <v>3225</v>
      </c>
      <c r="I128" s="164">
        <f t="shared" si="21"/>
        <v>0</v>
      </c>
      <c r="J128" s="164">
        <f t="shared" si="21"/>
        <v>1043</v>
      </c>
      <c r="K128" s="27">
        <f t="shared" si="12"/>
        <v>0.3234108527131783</v>
      </c>
      <c r="L128" s="155">
        <f>J128-'[3]Aprīlis'!J128</f>
        <v>1038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1:33" s="120" customFormat="1" ht="12.75">
      <c r="A129" s="159" t="s">
        <v>180</v>
      </c>
      <c r="B129" s="74">
        <v>17723979</v>
      </c>
      <c r="C129" s="74"/>
      <c r="D129" s="164">
        <v>7180210</v>
      </c>
      <c r="E129" s="154" t="str">
        <f>IF(ISERROR(#REF!/B129)," ",(#REF!/B129))</f>
        <v> </v>
      </c>
      <c r="F129" s="43">
        <f>D129-'[3]Aprīlis'!D129</f>
        <v>868173</v>
      </c>
      <c r="G129" s="159" t="s">
        <v>180</v>
      </c>
      <c r="H129" s="164">
        <f t="shared" si="21"/>
        <v>17724</v>
      </c>
      <c r="I129" s="164">
        <f t="shared" si="21"/>
        <v>0</v>
      </c>
      <c r="J129" s="164">
        <f t="shared" si="21"/>
        <v>7180</v>
      </c>
      <c r="K129" s="27">
        <f t="shared" si="12"/>
        <v>0.4051004287971113</v>
      </c>
      <c r="L129" s="155">
        <f>J129-'[3]Aprīlis'!J129</f>
        <v>868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1:33" s="120" customFormat="1" ht="12.75">
      <c r="A130" s="24" t="s">
        <v>140</v>
      </c>
      <c r="B130" s="74">
        <f>SUM(B131)</f>
        <v>393635050</v>
      </c>
      <c r="C130" s="74">
        <f>SUM(C131)</f>
        <v>160332712</v>
      </c>
      <c r="D130" s="74">
        <f>SUM(D131)</f>
        <v>160263870</v>
      </c>
      <c r="E130" s="154">
        <f t="shared" si="11"/>
        <v>0.4071382108884867</v>
      </c>
      <c r="F130" s="74">
        <f>SUM(F131)</f>
        <v>31530154</v>
      </c>
      <c r="G130" s="24" t="s">
        <v>140</v>
      </c>
      <c r="H130" s="125">
        <f>SUM(H131)</f>
        <v>393635</v>
      </c>
      <c r="I130" s="125">
        <f>SUM(I131)</f>
        <v>160333</v>
      </c>
      <c r="J130" s="125">
        <f>SUM(J131)</f>
        <v>160264</v>
      </c>
      <c r="K130" s="27">
        <f t="shared" si="12"/>
        <v>0.4071385928588667</v>
      </c>
      <c r="L130" s="125">
        <f>SUM(L131)</f>
        <v>31530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1:12" ht="12.75">
      <c r="A131" s="24" t="s">
        <v>182</v>
      </c>
      <c r="B131" s="43">
        <v>393635050</v>
      </c>
      <c r="C131" s="43">
        <v>160332712</v>
      </c>
      <c r="D131" s="164">
        <v>160263870</v>
      </c>
      <c r="E131" s="154" t="str">
        <f>IF(ISERROR(#REF!/B131)," ",(#REF!/B131))</f>
        <v> </v>
      </c>
      <c r="F131" s="43">
        <f>D131-'[3]Aprīlis'!D131</f>
        <v>31530154</v>
      </c>
      <c r="G131" s="159" t="s">
        <v>182</v>
      </c>
      <c r="H131" s="164">
        <f>ROUND(B131/1000,0)</f>
        <v>393635</v>
      </c>
      <c r="I131" s="164">
        <f>ROUND(C131/1000,0)</f>
        <v>160333</v>
      </c>
      <c r="J131" s="164">
        <f t="shared" si="21"/>
        <v>160264</v>
      </c>
      <c r="K131" s="27">
        <f t="shared" si="12"/>
        <v>0.4071385928588667</v>
      </c>
      <c r="L131" s="155">
        <f>J131-'[3]Aprīlis'!J131</f>
        <v>31530</v>
      </c>
    </row>
    <row r="132" spans="1:12" ht="12.75">
      <c r="A132" s="24" t="s">
        <v>136</v>
      </c>
      <c r="B132" s="43">
        <f>SUM(B126-B130)</f>
        <v>-15401779</v>
      </c>
      <c r="C132" s="43">
        <f>SUM(C126-C130)</f>
        <v>-11099739</v>
      </c>
      <c r="D132" s="43">
        <f>SUM(D126-D130)</f>
        <v>-18573999</v>
      </c>
      <c r="E132" s="154">
        <f t="shared" si="11"/>
        <v>1.2059645187740975</v>
      </c>
      <c r="F132" s="43">
        <f>SUM(F126-F130)</f>
        <v>-1633513</v>
      </c>
      <c r="G132" s="24" t="s">
        <v>136</v>
      </c>
      <c r="H132" s="125">
        <f>SUM(H126-H130)</f>
        <v>-15402</v>
      </c>
      <c r="I132" s="125">
        <f>SUM(I126-I130)</f>
        <v>-11100</v>
      </c>
      <c r="J132" s="125">
        <f>SUM(J126-J130)</f>
        <v>-18575</v>
      </c>
      <c r="K132" s="27">
        <f t="shared" si="12"/>
        <v>1.206012206206986</v>
      </c>
      <c r="L132" s="125">
        <f>SUM(L126-L130)</f>
        <v>-1634</v>
      </c>
    </row>
    <row r="133" spans="1:12" ht="12.75">
      <c r="A133" s="24" t="s">
        <v>121</v>
      </c>
      <c r="B133" s="43">
        <v>10000000</v>
      </c>
      <c r="C133" s="43"/>
      <c r="D133" s="43">
        <v>11082539</v>
      </c>
      <c r="E133" s="154">
        <f t="shared" si="11"/>
        <v>1.1082539</v>
      </c>
      <c r="F133" s="43">
        <f>D133-'[3]Aprīlis'!D133</f>
        <v>1673072</v>
      </c>
      <c r="G133" s="24" t="s">
        <v>121</v>
      </c>
      <c r="H133" s="155">
        <f>ROUND(B133/1000,0)</f>
        <v>10000</v>
      </c>
      <c r="I133" s="155">
        <f>ROUND(C133/1000,0)</f>
        <v>0</v>
      </c>
      <c r="J133" s="155">
        <f>ROUND(D133/1000,0)</f>
        <v>11083</v>
      </c>
      <c r="K133" s="27">
        <f t="shared" si="12"/>
        <v>1.1083</v>
      </c>
      <c r="L133" s="155">
        <f>J133-'[3]Aprīlis'!J133</f>
        <v>1674</v>
      </c>
    </row>
    <row r="134" spans="1:12" ht="12.75">
      <c r="A134" s="158" t="s">
        <v>183</v>
      </c>
      <c r="B134" s="43"/>
      <c r="C134" s="43"/>
      <c r="D134" s="43"/>
      <c r="E134" s="154" t="str">
        <f t="shared" si="11"/>
        <v> </v>
      </c>
      <c r="F134" s="43"/>
      <c r="G134" s="158" t="s">
        <v>183</v>
      </c>
      <c r="H134" s="125"/>
      <c r="I134" s="125"/>
      <c r="J134" s="125"/>
      <c r="K134" s="27"/>
      <c r="L134" s="125"/>
    </row>
    <row r="135" spans="1:12" ht="12.75">
      <c r="A135" s="24" t="s">
        <v>139</v>
      </c>
      <c r="B135" s="43">
        <f>SUM(B136:B138)</f>
        <v>33769326</v>
      </c>
      <c r="C135" s="43">
        <v>12775174</v>
      </c>
      <c r="D135" s="43">
        <f>SUM(D136:D138)</f>
        <v>13401174</v>
      </c>
      <c r="E135" s="154">
        <f t="shared" si="11"/>
        <v>0.39684458019683305</v>
      </c>
      <c r="F135" s="43">
        <f>SUM(F136:F138)</f>
        <v>2423549</v>
      </c>
      <c r="G135" s="24" t="s">
        <v>139</v>
      </c>
      <c r="H135" s="125">
        <f>SUM(H136:H138)</f>
        <v>33769</v>
      </c>
      <c r="I135" s="164">
        <f aca="true" t="shared" si="22" ref="H135:J138">ROUND(C135/1000,0)</f>
        <v>12775</v>
      </c>
      <c r="J135" s="125">
        <f>SUM(J136:J138)</f>
        <v>13401</v>
      </c>
      <c r="K135" s="27">
        <f t="shared" si="12"/>
        <v>0.3968432586099677</v>
      </c>
      <c r="L135" s="155">
        <f>SUM(L136:L138)</f>
        <v>2423</v>
      </c>
    </row>
    <row r="136" spans="1:33" s="120" customFormat="1" ht="12.75">
      <c r="A136" s="159" t="s">
        <v>178</v>
      </c>
      <c r="B136" s="74">
        <v>29902920</v>
      </c>
      <c r="C136" s="74"/>
      <c r="D136" s="74">
        <v>12557179</v>
      </c>
      <c r="E136" s="154">
        <f t="shared" si="11"/>
        <v>0.41993153177014153</v>
      </c>
      <c r="F136" s="43">
        <f>D136-'[3]Aprīlis'!D136</f>
        <v>2325465</v>
      </c>
      <c r="G136" s="159" t="s">
        <v>178</v>
      </c>
      <c r="H136" s="164">
        <f t="shared" si="22"/>
        <v>29903</v>
      </c>
      <c r="I136" s="164">
        <f t="shared" si="22"/>
        <v>0</v>
      </c>
      <c r="J136" s="164">
        <f t="shared" si="22"/>
        <v>12557</v>
      </c>
      <c r="K136" s="122">
        <f t="shared" si="12"/>
        <v>0.41992442229876603</v>
      </c>
      <c r="L136" s="155">
        <f>J136-'[3]Aprīlis'!J136</f>
        <v>2325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1:33" s="120" customFormat="1" ht="12.75">
      <c r="A137" s="159" t="s">
        <v>179</v>
      </c>
      <c r="B137" s="74">
        <v>372407</v>
      </c>
      <c r="C137" s="74"/>
      <c r="D137" s="74">
        <v>150767</v>
      </c>
      <c r="E137" s="154">
        <f t="shared" si="11"/>
        <v>0.40484469948201834</v>
      </c>
      <c r="F137" s="43">
        <f>D137-'[3]Aprīlis'!D137</f>
        <v>50000</v>
      </c>
      <c r="G137" s="159" t="s">
        <v>179</v>
      </c>
      <c r="H137" s="164">
        <f t="shared" si="22"/>
        <v>372</v>
      </c>
      <c r="I137" s="164">
        <f t="shared" si="22"/>
        <v>0</v>
      </c>
      <c r="J137" s="164">
        <f t="shared" si="22"/>
        <v>151</v>
      </c>
      <c r="K137" s="122">
        <f t="shared" si="12"/>
        <v>0.40591397849462363</v>
      </c>
      <c r="L137" s="155">
        <f>J137-'[3]Aprīlis'!J137</f>
        <v>50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1:33" s="120" customFormat="1" ht="12.75">
      <c r="A138" s="159" t="s">
        <v>180</v>
      </c>
      <c r="B138" s="74">
        <v>3493999</v>
      </c>
      <c r="C138" s="74"/>
      <c r="D138" s="74">
        <v>693228</v>
      </c>
      <c r="E138" s="154">
        <f aca="true" t="shared" si="23" ref="E138:E201">IF(ISERROR(D138/B138)," ",(D138/B138))</f>
        <v>0.19840532295515825</v>
      </c>
      <c r="F138" s="43">
        <f>D138-'[3]Aprīlis'!D138</f>
        <v>48084</v>
      </c>
      <c r="G138" s="159" t="s">
        <v>180</v>
      </c>
      <c r="H138" s="164">
        <f t="shared" si="22"/>
        <v>3494</v>
      </c>
      <c r="I138" s="164">
        <f t="shared" si="22"/>
        <v>0</v>
      </c>
      <c r="J138" s="164">
        <f t="shared" si="22"/>
        <v>693</v>
      </c>
      <c r="K138" s="122">
        <f aca="true" t="shared" si="24" ref="K138:K201">IF(ISERROR(ROUND(J138,0)/ROUND(H138,0))," ",(ROUND(J138,)/ROUND(H138,)))</f>
        <v>0.1983400114481969</v>
      </c>
      <c r="L138" s="155">
        <f>J138-'[3]Aprīlis'!J138</f>
        <v>48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1:33" s="120" customFormat="1" ht="12.75">
      <c r="A139" s="24" t="s">
        <v>140</v>
      </c>
      <c r="B139" s="74">
        <f>SUM(B140:B141)</f>
        <v>43019897</v>
      </c>
      <c r="C139" s="74">
        <f>SUM(C140:C141)</f>
        <v>20306409</v>
      </c>
      <c r="D139" s="74">
        <f>SUM(D140:D141)</f>
        <v>19938070</v>
      </c>
      <c r="E139" s="154">
        <f t="shared" si="23"/>
        <v>0.46346159313212676</v>
      </c>
      <c r="F139" s="74">
        <f>SUM(F140:F141)</f>
        <v>3408528</v>
      </c>
      <c r="G139" s="24" t="s">
        <v>140</v>
      </c>
      <c r="H139" s="125">
        <f>SUM(H140:H141)</f>
        <v>43020</v>
      </c>
      <c r="I139" s="125">
        <f>SUM(I140:I141)</f>
        <v>20306</v>
      </c>
      <c r="J139" s="125">
        <f>SUM(J140:J141)</f>
        <v>19938</v>
      </c>
      <c r="K139" s="27">
        <f t="shared" si="24"/>
        <v>0.46345885634588563</v>
      </c>
      <c r="L139" s="125">
        <f>SUM(L140:L141)</f>
        <v>3408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1:33" s="120" customFormat="1" ht="12.75">
      <c r="A140" s="159" t="s">
        <v>182</v>
      </c>
      <c r="B140" s="74">
        <v>43004897</v>
      </c>
      <c r="C140" s="74">
        <v>20291409</v>
      </c>
      <c r="D140" s="74">
        <v>19923070</v>
      </c>
      <c r="E140" s="165">
        <f t="shared" si="23"/>
        <v>0.4632744498841609</v>
      </c>
      <c r="F140" s="43">
        <f>D140-'[3]Aprīlis'!D140</f>
        <v>3393528</v>
      </c>
      <c r="G140" s="159" t="s">
        <v>182</v>
      </c>
      <c r="H140" s="164">
        <f aca="true" t="shared" si="25" ref="H140:J141">ROUND(B140/1000,0)</f>
        <v>43005</v>
      </c>
      <c r="I140" s="164">
        <f t="shared" si="25"/>
        <v>20291</v>
      </c>
      <c r="J140" s="164">
        <f t="shared" si="25"/>
        <v>19923</v>
      </c>
      <c r="K140" s="122">
        <f t="shared" si="24"/>
        <v>0.46327171259155914</v>
      </c>
      <c r="L140" s="155">
        <f>J140-'[3]Aprīlis'!J140</f>
        <v>3393</v>
      </c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</row>
    <row r="141" spans="1:33" s="120" customFormat="1" ht="12.75">
      <c r="A141" s="159" t="s">
        <v>184</v>
      </c>
      <c r="B141" s="74">
        <v>15000</v>
      </c>
      <c r="C141" s="74">
        <v>15000</v>
      </c>
      <c r="D141" s="74">
        <v>15000</v>
      </c>
      <c r="E141" s="165">
        <f t="shared" si="23"/>
        <v>1</v>
      </c>
      <c r="F141" s="43">
        <f>D141-'[3]Aprīlis'!D141</f>
        <v>15000</v>
      </c>
      <c r="G141" s="159" t="s">
        <v>184</v>
      </c>
      <c r="H141" s="164">
        <f t="shared" si="25"/>
        <v>15</v>
      </c>
      <c r="I141" s="164">
        <f t="shared" si="25"/>
        <v>15</v>
      </c>
      <c r="J141" s="164">
        <f t="shared" si="25"/>
        <v>15</v>
      </c>
      <c r="K141" s="122">
        <f t="shared" si="24"/>
        <v>1</v>
      </c>
      <c r="L141" s="155">
        <f>J141-'[3]Aprīlis'!J141</f>
        <v>15</v>
      </c>
      <c r="M141" s="166"/>
      <c r="N141" s="166"/>
      <c r="O141" s="166"/>
      <c r="P141" s="166"/>
      <c r="Q141" s="166"/>
      <c r="R141" s="166"/>
      <c r="S141" s="166"/>
      <c r="T141" s="166"/>
      <c r="U141" s="166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/>
    </row>
    <row r="142" spans="1:12" ht="12.75">
      <c r="A142" s="24" t="s">
        <v>136</v>
      </c>
      <c r="B142" s="43">
        <f>SUM(B135-B139)</f>
        <v>-9250571</v>
      </c>
      <c r="C142" s="43">
        <f>SUM(C135-C139)</f>
        <v>-7531235</v>
      </c>
      <c r="D142" s="43">
        <f>SUM(D135-D139)</f>
        <v>-6536896</v>
      </c>
      <c r="E142" s="154">
        <f t="shared" si="23"/>
        <v>0.7066478382793884</v>
      </c>
      <c r="F142" s="43">
        <f>SUM(F135-F139)</f>
        <v>-984979</v>
      </c>
      <c r="G142" s="24" t="s">
        <v>136</v>
      </c>
      <c r="H142" s="125">
        <f>SUM(H135-H139)</f>
        <v>-9251</v>
      </c>
      <c r="I142" s="125">
        <f>SUM(I135-I139)</f>
        <v>-7531</v>
      </c>
      <c r="J142" s="125">
        <f>SUM(J135-J139)</f>
        <v>-6537</v>
      </c>
      <c r="K142" s="27">
        <f t="shared" si="24"/>
        <v>0.7066263106691169</v>
      </c>
      <c r="L142" s="125">
        <f>SUM(L135-L139)</f>
        <v>-985</v>
      </c>
    </row>
    <row r="143" spans="1:12" ht="12.75">
      <c r="A143" s="24" t="s">
        <v>121</v>
      </c>
      <c r="B143" s="167"/>
      <c r="C143" s="167"/>
      <c r="D143" s="167"/>
      <c r="E143" s="154" t="str">
        <f t="shared" si="23"/>
        <v> </v>
      </c>
      <c r="F143" s="43">
        <f>D143-'[3]Aprīlis'!D143</f>
        <v>0</v>
      </c>
      <c r="G143" s="24" t="s">
        <v>121</v>
      </c>
      <c r="H143" s="155">
        <f>ROUND(B143/1000,0)</f>
        <v>0</v>
      </c>
      <c r="I143" s="155">
        <f>ROUND(C143/1000,0)</f>
        <v>0</v>
      </c>
      <c r="J143" s="155">
        <f>ROUND(D143/1000,0)</f>
        <v>0</v>
      </c>
      <c r="K143" s="27"/>
      <c r="L143" s="155">
        <f>J143-'[3]Aprīlis'!J143</f>
        <v>0</v>
      </c>
    </row>
    <row r="144" spans="1:12" ht="12.75">
      <c r="A144" s="158" t="s">
        <v>185</v>
      </c>
      <c r="B144" s="43"/>
      <c r="C144" s="43"/>
      <c r="D144" s="43"/>
      <c r="E144" s="154" t="str">
        <f t="shared" si="23"/>
        <v> </v>
      </c>
      <c r="F144" s="43"/>
      <c r="G144" s="158" t="s">
        <v>185</v>
      </c>
      <c r="H144" s="125"/>
      <c r="I144" s="125"/>
      <c r="J144" s="125"/>
      <c r="K144" s="27" t="str">
        <f t="shared" si="24"/>
        <v> </v>
      </c>
      <c r="L144" s="125"/>
    </row>
    <row r="145" spans="1:12" ht="12.75">
      <c r="A145" s="24" t="s">
        <v>139</v>
      </c>
      <c r="B145" s="43">
        <f>SUM(B146:B148)</f>
        <v>1119050</v>
      </c>
      <c r="C145" s="43">
        <v>437735</v>
      </c>
      <c r="D145" s="43">
        <f>SUM(D146:D148)</f>
        <v>433222</v>
      </c>
      <c r="E145" s="154">
        <f t="shared" si="23"/>
        <v>0.3871337295027032</v>
      </c>
      <c r="F145" s="43">
        <f>SUM(F146:F148)</f>
        <v>84496</v>
      </c>
      <c r="G145" s="24" t="s">
        <v>139</v>
      </c>
      <c r="H145" s="125">
        <f>SUM(H146:H148)</f>
        <v>1120</v>
      </c>
      <c r="I145" s="164">
        <f>ROUND(C145/1000,0)</f>
        <v>438</v>
      </c>
      <c r="J145" s="125">
        <f>SUM(J146:J148)</f>
        <v>433</v>
      </c>
      <c r="K145" s="27">
        <f t="shared" si="24"/>
        <v>0.38660714285714287</v>
      </c>
      <c r="L145" s="125">
        <f>SUM(L146:L148)</f>
        <v>85</v>
      </c>
    </row>
    <row r="146" spans="1:33" s="120" customFormat="1" ht="12.75">
      <c r="A146" s="159" t="s">
        <v>178</v>
      </c>
      <c r="B146" s="74">
        <v>1086520</v>
      </c>
      <c r="C146" s="74"/>
      <c r="D146" s="74">
        <v>425727</v>
      </c>
      <c r="E146" s="154">
        <f t="shared" si="23"/>
        <v>0.3918261974008762</v>
      </c>
      <c r="F146" s="43">
        <f>D146-'[3]Aprīlis'!D146</f>
        <v>84496</v>
      </c>
      <c r="G146" s="159" t="s">
        <v>178</v>
      </c>
      <c r="H146" s="164">
        <f>ROUND(B146/1000,0)</f>
        <v>1087</v>
      </c>
      <c r="I146" s="164">
        <f>ROUND(C146/1000,0)</f>
        <v>0</v>
      </c>
      <c r="J146" s="164">
        <f>ROUND(D146/1000,0)</f>
        <v>426</v>
      </c>
      <c r="K146" s="122">
        <f t="shared" si="24"/>
        <v>0.39190432382704693</v>
      </c>
      <c r="L146" s="155">
        <f>J146-'[3]Aprīlis'!J146</f>
        <v>85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</row>
    <row r="147" spans="1:33" s="120" customFormat="1" ht="13.5" customHeight="1" hidden="1">
      <c r="A147" s="159"/>
      <c r="B147" s="74"/>
      <c r="C147" s="74"/>
      <c r="D147" s="74"/>
      <c r="E147" s="154" t="str">
        <f t="shared" si="23"/>
        <v> </v>
      </c>
      <c r="F147" s="74"/>
      <c r="G147" s="159"/>
      <c r="H147" s="168"/>
      <c r="I147" s="168"/>
      <c r="J147" s="168"/>
      <c r="K147" s="122" t="str">
        <f t="shared" si="24"/>
        <v> </v>
      </c>
      <c r="L147" s="168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</row>
    <row r="148" spans="1:33" s="120" customFormat="1" ht="12.75">
      <c r="A148" s="159" t="s">
        <v>180</v>
      </c>
      <c r="B148" s="74">
        <v>32530</v>
      </c>
      <c r="C148" s="74"/>
      <c r="D148" s="74">
        <v>7495</v>
      </c>
      <c r="E148" s="154">
        <f t="shared" si="23"/>
        <v>0.23040270519520442</v>
      </c>
      <c r="F148" s="43">
        <f>D148-'[3]Aprīlis'!D148</f>
        <v>0</v>
      </c>
      <c r="G148" s="159" t="s">
        <v>180</v>
      </c>
      <c r="H148" s="164">
        <f>ROUND(B148/1000,0)</f>
        <v>33</v>
      </c>
      <c r="I148" s="164">
        <f>ROUND(C148/1000,0)</f>
        <v>0</v>
      </c>
      <c r="J148" s="164">
        <f>ROUND(D148/1000,0)</f>
        <v>7</v>
      </c>
      <c r="K148" s="122">
        <f t="shared" si="24"/>
        <v>0.21212121212121213</v>
      </c>
      <c r="L148" s="155">
        <f>J148-'[3]Aprīlis'!J148</f>
        <v>0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</row>
    <row r="149" spans="1:33" s="120" customFormat="1" ht="12.75">
      <c r="A149" s="24" t="s">
        <v>140</v>
      </c>
      <c r="B149" s="74">
        <f>SUM(B150:B151)</f>
        <v>1184169</v>
      </c>
      <c r="C149" s="74">
        <f>SUM(C150:C151)</f>
        <v>259586</v>
      </c>
      <c r="D149" s="74">
        <f>SUM(D150:D151)</f>
        <v>207997</v>
      </c>
      <c r="E149" s="154">
        <f t="shared" si="23"/>
        <v>0.1756480705034501</v>
      </c>
      <c r="F149" s="74">
        <f>SUM(F150:F151)</f>
        <v>49461</v>
      </c>
      <c r="G149" s="24" t="s">
        <v>140</v>
      </c>
      <c r="H149" s="125">
        <f>SUM(H150:H151)</f>
        <v>1184</v>
      </c>
      <c r="I149" s="125">
        <f>SUM(I150:I151)</f>
        <v>260</v>
      </c>
      <c r="J149" s="125">
        <f>SUM(J150:J151)</f>
        <v>208</v>
      </c>
      <c r="K149" s="27">
        <f t="shared" si="24"/>
        <v>0.17567567567567569</v>
      </c>
      <c r="L149" s="125">
        <f>SUM(L150:L151)</f>
        <v>49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</row>
    <row r="150" spans="1:12" ht="12.75">
      <c r="A150" s="24" t="s">
        <v>182</v>
      </c>
      <c r="B150" s="43">
        <v>1184169</v>
      </c>
      <c r="C150" s="43">
        <v>259586</v>
      </c>
      <c r="D150" s="43">
        <v>207997</v>
      </c>
      <c r="E150" s="154">
        <f t="shared" si="23"/>
        <v>0.1756480705034501</v>
      </c>
      <c r="F150" s="43">
        <f>D150-'[3]Aprīlis'!D150</f>
        <v>49461</v>
      </c>
      <c r="G150" s="159" t="s">
        <v>182</v>
      </c>
      <c r="H150" s="164">
        <f>ROUND(B150/1000,0)</f>
        <v>1184</v>
      </c>
      <c r="I150" s="164">
        <f>ROUND(C150/1000,0)</f>
        <v>260</v>
      </c>
      <c r="J150" s="164">
        <f>ROUND(D150/1000,0)</f>
        <v>208</v>
      </c>
      <c r="K150" s="122">
        <f t="shared" si="24"/>
        <v>0.17567567567567569</v>
      </c>
      <c r="L150" s="155">
        <f>J150-'[3]Aprīlis'!J150</f>
        <v>49</v>
      </c>
    </row>
    <row r="151" spans="1:12" ht="12.75" hidden="1">
      <c r="A151" s="24"/>
      <c r="B151" s="43"/>
      <c r="C151" s="43"/>
      <c r="D151" s="43"/>
      <c r="E151" s="154" t="str">
        <f t="shared" si="23"/>
        <v> </v>
      </c>
      <c r="F151" s="43"/>
      <c r="G151" s="24"/>
      <c r="H151" s="125"/>
      <c r="I151" s="125"/>
      <c r="J151" s="125"/>
      <c r="K151" s="27" t="str">
        <f t="shared" si="24"/>
        <v> </v>
      </c>
      <c r="L151" s="125"/>
    </row>
    <row r="152" spans="1:12" ht="12.75">
      <c r="A152" s="24" t="s">
        <v>136</v>
      </c>
      <c r="B152" s="43">
        <f>SUM(B145-B149)</f>
        <v>-65119</v>
      </c>
      <c r="C152" s="43">
        <f>SUM(C145-C149)</f>
        <v>178149</v>
      </c>
      <c r="D152" s="43">
        <f>SUM(D145-D149)</f>
        <v>225225</v>
      </c>
      <c r="E152" s="154">
        <f t="shared" si="23"/>
        <v>-3.4586679770881004</v>
      </c>
      <c r="F152" s="43">
        <f>SUM(F145-F149)</f>
        <v>35035</v>
      </c>
      <c r="G152" s="24" t="s">
        <v>136</v>
      </c>
      <c r="H152" s="125">
        <f>SUM(H145-H149)</f>
        <v>-64</v>
      </c>
      <c r="I152" s="125">
        <f>SUM(I145-I149)</f>
        <v>178</v>
      </c>
      <c r="J152" s="125">
        <f>SUM(J145-J149)</f>
        <v>225</v>
      </c>
      <c r="K152" s="27">
        <f t="shared" si="24"/>
        <v>-3.515625</v>
      </c>
      <c r="L152" s="125">
        <f>SUM(L145-L149)</f>
        <v>36</v>
      </c>
    </row>
    <row r="153" spans="1:12" ht="12.75">
      <c r="A153" s="24" t="s">
        <v>121</v>
      </c>
      <c r="B153" s="167"/>
      <c r="C153" s="167"/>
      <c r="D153" s="167"/>
      <c r="E153" s="154" t="str">
        <f t="shared" si="23"/>
        <v> </v>
      </c>
      <c r="F153" s="43">
        <f>D153-'[3]Aprīlis'!D153</f>
        <v>0</v>
      </c>
      <c r="G153" s="24" t="s">
        <v>121</v>
      </c>
      <c r="H153" s="155">
        <f>ROUND(B153/1000,0)</f>
        <v>0</v>
      </c>
      <c r="I153" s="155">
        <f>ROUND(C153/1000,0)</f>
        <v>0</v>
      </c>
      <c r="J153" s="155">
        <f>ROUND(D153/1000,0)</f>
        <v>0</v>
      </c>
      <c r="K153" s="27" t="str">
        <f t="shared" si="24"/>
        <v> </v>
      </c>
      <c r="L153" s="155">
        <f>J153-'[3]Aprīlis'!J153</f>
        <v>0</v>
      </c>
    </row>
    <row r="154" spans="1:12" ht="28.5" customHeight="1">
      <c r="A154" s="160" t="s">
        <v>186</v>
      </c>
      <c r="B154" s="43"/>
      <c r="C154" s="43"/>
      <c r="D154" s="43"/>
      <c r="E154" s="154" t="str">
        <f t="shared" si="23"/>
        <v> </v>
      </c>
      <c r="F154" s="43"/>
      <c r="G154" s="160" t="s">
        <v>186</v>
      </c>
      <c r="H154" s="125"/>
      <c r="I154" s="125"/>
      <c r="J154" s="125"/>
      <c r="K154" s="27"/>
      <c r="L154" s="125"/>
    </row>
    <row r="155" spans="1:12" ht="12.75">
      <c r="A155" s="24" t="s">
        <v>139</v>
      </c>
      <c r="B155" s="43">
        <f>SUM(B156:B158)</f>
        <v>92682400</v>
      </c>
      <c r="C155" s="43">
        <v>34264395</v>
      </c>
      <c r="D155" s="43">
        <f>SUM(D156:D158)</f>
        <v>31432750</v>
      </c>
      <c r="E155" s="154">
        <f t="shared" si="23"/>
        <v>0.3391447567175645</v>
      </c>
      <c r="F155" s="43">
        <f>SUM(F156:F158)</f>
        <v>6539489</v>
      </c>
      <c r="G155" s="24" t="s">
        <v>139</v>
      </c>
      <c r="H155" s="125">
        <f>SUM(H156:H158)</f>
        <v>92682</v>
      </c>
      <c r="I155" s="155">
        <f>ROUND(C155/1000,0)</f>
        <v>34264</v>
      </c>
      <c r="J155" s="125">
        <f>SUM(J156:J158)</f>
        <v>31432</v>
      </c>
      <c r="K155" s="27">
        <f t="shared" si="24"/>
        <v>0.3391381282233875</v>
      </c>
      <c r="L155" s="125">
        <f>SUM(L156:L158)</f>
        <v>6539</v>
      </c>
    </row>
    <row r="156" spans="1:33" s="120" customFormat="1" ht="12" customHeight="1">
      <c r="A156" s="159" t="s">
        <v>178</v>
      </c>
      <c r="B156" s="74">
        <v>84276160</v>
      </c>
      <c r="C156" s="74"/>
      <c r="D156" s="74">
        <v>30033387</v>
      </c>
      <c r="E156" s="154">
        <f t="shared" si="23"/>
        <v>0.3563687168470894</v>
      </c>
      <c r="F156" s="43">
        <f>D156-'[3]Aprīlis'!D156</f>
        <v>6553917</v>
      </c>
      <c r="G156" s="159" t="s">
        <v>178</v>
      </c>
      <c r="H156" s="164">
        <f>ROUND(B156/1000,0)</f>
        <v>84276</v>
      </c>
      <c r="I156" s="164">
        <f>ROUND(C156/1000,0)</f>
        <v>0</v>
      </c>
      <c r="J156" s="164">
        <f>ROUND(D156/1000,0)</f>
        <v>30033</v>
      </c>
      <c r="K156" s="122">
        <f t="shared" si="24"/>
        <v>0.3563648013669372</v>
      </c>
      <c r="L156" s="155">
        <f>J156-'[3]Aprīlis'!J156</f>
        <v>6554</v>
      </c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</row>
    <row r="157" spans="1:33" s="120" customFormat="1" ht="12.75" hidden="1">
      <c r="A157" s="159"/>
      <c r="B157" s="74"/>
      <c r="C157" s="74"/>
      <c r="D157" s="74"/>
      <c r="E157" s="154" t="str">
        <f t="shared" si="23"/>
        <v> </v>
      </c>
      <c r="F157" s="74"/>
      <c r="G157" s="159"/>
      <c r="H157" s="168"/>
      <c r="I157" s="168"/>
      <c r="J157" s="168"/>
      <c r="K157" s="122" t="str">
        <f t="shared" si="24"/>
        <v> </v>
      </c>
      <c r="L157" s="168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</row>
    <row r="158" spans="1:33" s="120" customFormat="1" ht="12.75">
      <c r="A158" s="159" t="s">
        <v>180</v>
      </c>
      <c r="B158" s="74">
        <v>8406240</v>
      </c>
      <c r="C158" s="74"/>
      <c r="D158" s="74">
        <v>1399363</v>
      </c>
      <c r="E158" s="154">
        <f t="shared" si="23"/>
        <v>0.16646717200555777</v>
      </c>
      <c r="F158" s="43">
        <f>D158-'[3]Aprīlis'!D158</f>
        <v>-14428</v>
      </c>
      <c r="G158" s="159" t="s">
        <v>180</v>
      </c>
      <c r="H158" s="164">
        <f>ROUND(B158/1000,0)</f>
        <v>8406</v>
      </c>
      <c r="I158" s="164">
        <f>ROUND(C158/1000,0)</f>
        <v>0</v>
      </c>
      <c r="J158" s="164">
        <f>ROUND(D158/1000,0)</f>
        <v>1399</v>
      </c>
      <c r="K158" s="122">
        <f t="shared" si="24"/>
        <v>0.1664287413752082</v>
      </c>
      <c r="L158" s="155">
        <f>J158-'[3]Aprīlis'!J158</f>
        <v>-15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</row>
    <row r="159" spans="1:33" s="120" customFormat="1" ht="12.75">
      <c r="A159" s="24" t="s">
        <v>140</v>
      </c>
      <c r="B159" s="74">
        <f>B160</f>
        <v>92906905</v>
      </c>
      <c r="C159" s="74">
        <f>C160</f>
        <v>38096744</v>
      </c>
      <c r="D159" s="74">
        <f>D160</f>
        <v>35833180</v>
      </c>
      <c r="E159" s="154">
        <f t="shared" si="23"/>
        <v>0.3856890938300011</v>
      </c>
      <c r="F159" s="74">
        <f>F160</f>
        <v>7749412</v>
      </c>
      <c r="G159" s="24" t="s">
        <v>140</v>
      </c>
      <c r="H159" s="125">
        <f>H160</f>
        <v>92907</v>
      </c>
      <c r="I159" s="125">
        <f>I160</f>
        <v>38097</v>
      </c>
      <c r="J159" s="125">
        <f>J160</f>
        <v>35833</v>
      </c>
      <c r="K159" s="27">
        <f t="shared" si="24"/>
        <v>0.38568676203084806</v>
      </c>
      <c r="L159" s="125">
        <f>L160</f>
        <v>7749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</row>
    <row r="160" spans="1:12" ht="12.75">
      <c r="A160" s="24" t="s">
        <v>182</v>
      </c>
      <c r="B160" s="43">
        <v>92906905</v>
      </c>
      <c r="C160" s="43">
        <v>38096744</v>
      </c>
      <c r="D160" s="43">
        <v>35833180</v>
      </c>
      <c r="E160" s="154">
        <f t="shared" si="23"/>
        <v>0.3856890938300011</v>
      </c>
      <c r="F160" s="43">
        <f>D160-'[3]Aprīlis'!D160</f>
        <v>7749412</v>
      </c>
      <c r="G160" s="159" t="s">
        <v>182</v>
      </c>
      <c r="H160" s="164">
        <f>ROUND(B160/1000,0)</f>
        <v>92907</v>
      </c>
      <c r="I160" s="164">
        <f>ROUND(C160/1000,0)</f>
        <v>38097</v>
      </c>
      <c r="J160" s="164">
        <f>ROUND(D160/1000,0)</f>
        <v>35833</v>
      </c>
      <c r="K160" s="122">
        <f t="shared" si="24"/>
        <v>0.38568676203084806</v>
      </c>
      <c r="L160" s="155">
        <f>J160-'[3]Aprīlis'!J160</f>
        <v>7749</v>
      </c>
    </row>
    <row r="161" spans="1:12" ht="12.75">
      <c r="A161" s="24" t="s">
        <v>136</v>
      </c>
      <c r="B161" s="43">
        <f>SUM(B155-B159)</f>
        <v>-224505</v>
      </c>
      <c r="C161" s="43">
        <f>SUM(C155-C159)</f>
        <v>-3832349</v>
      </c>
      <c r="D161" s="43">
        <f>SUM(D155-D159)</f>
        <v>-4400430</v>
      </c>
      <c r="E161" s="154">
        <f t="shared" si="23"/>
        <v>19.60058796017906</v>
      </c>
      <c r="F161" s="43">
        <f>SUM(F155-F159)</f>
        <v>-1209923</v>
      </c>
      <c r="G161" s="24" t="s">
        <v>136</v>
      </c>
      <c r="H161" s="125">
        <f>SUM(H155-H159)</f>
        <v>-225</v>
      </c>
      <c r="I161" s="125">
        <f>SUM(I155-I159)</f>
        <v>-3833</v>
      </c>
      <c r="J161" s="125">
        <f>SUM(J155-J159)</f>
        <v>-4401</v>
      </c>
      <c r="K161" s="27">
        <f t="shared" si="24"/>
        <v>19.56</v>
      </c>
      <c r="L161" s="125">
        <f>SUM(L155-L159)</f>
        <v>-1210</v>
      </c>
    </row>
    <row r="162" spans="1:12" ht="12.75">
      <c r="A162" s="24" t="s">
        <v>121</v>
      </c>
      <c r="B162" s="43"/>
      <c r="C162" s="43"/>
      <c r="D162" s="43">
        <v>3216254</v>
      </c>
      <c r="E162" s="154" t="str">
        <f t="shared" si="23"/>
        <v> </v>
      </c>
      <c r="F162" s="43">
        <f>D162-'[3]Aprīlis'!D162</f>
        <v>1181194</v>
      </c>
      <c r="G162" s="24" t="s">
        <v>121</v>
      </c>
      <c r="H162" s="155">
        <f>ROUND(B162/1000,0)</f>
        <v>0</v>
      </c>
      <c r="I162" s="155">
        <f>ROUND(C162/1000,0)</f>
        <v>0</v>
      </c>
      <c r="J162" s="155">
        <f>ROUND(D162/1000,0)</f>
        <v>3216</v>
      </c>
      <c r="K162" s="27" t="str">
        <f t="shared" si="24"/>
        <v> </v>
      </c>
      <c r="L162" s="155">
        <f>J162-'[3]Aprīlis'!J162</f>
        <v>1181</v>
      </c>
    </row>
    <row r="163" spans="1:12" ht="12.75">
      <c r="A163" s="158" t="s">
        <v>187</v>
      </c>
      <c r="B163" s="43"/>
      <c r="C163" s="43"/>
      <c r="D163" s="43"/>
      <c r="E163" s="154" t="str">
        <f t="shared" si="23"/>
        <v> </v>
      </c>
      <c r="F163" s="43"/>
      <c r="G163" s="158" t="s">
        <v>187</v>
      </c>
      <c r="H163" s="125"/>
      <c r="I163" s="125"/>
      <c r="J163" s="125"/>
      <c r="K163" s="27"/>
      <c r="L163" s="125"/>
    </row>
    <row r="164" spans="1:12" ht="12.75">
      <c r="A164" s="24" t="s">
        <v>139</v>
      </c>
      <c r="B164" s="43">
        <f>SUM(B165:B166)</f>
        <v>10677018</v>
      </c>
      <c r="C164" s="43">
        <v>4413437</v>
      </c>
      <c r="D164" s="43">
        <f>SUM(D165:D166)</f>
        <v>4160501</v>
      </c>
      <c r="E164" s="154">
        <f t="shared" si="23"/>
        <v>0.38966881951496196</v>
      </c>
      <c r="F164" s="43">
        <f>SUM(F165:F166)</f>
        <v>671624</v>
      </c>
      <c r="G164" s="24" t="s">
        <v>139</v>
      </c>
      <c r="H164" s="125">
        <f>SUM(H165:H166)</f>
        <v>10677</v>
      </c>
      <c r="I164" s="155">
        <f aca="true" t="shared" si="26" ref="H164:J166">ROUND(C164/1000,0)</f>
        <v>4413</v>
      </c>
      <c r="J164" s="125">
        <f>SUM(J165:J166)</f>
        <v>4161</v>
      </c>
      <c r="K164" s="27">
        <f t="shared" si="24"/>
        <v>0.3897162124192189</v>
      </c>
      <c r="L164" s="155">
        <f>SUM(L165:L166)</f>
        <v>673</v>
      </c>
    </row>
    <row r="165" spans="1:33" s="120" customFormat="1" ht="12.75">
      <c r="A165" s="159" t="s">
        <v>179</v>
      </c>
      <c r="B165" s="74">
        <f>200000+1890000</f>
        <v>2090000</v>
      </c>
      <c r="C165" s="74"/>
      <c r="D165" s="74">
        <f>761250+74262</f>
        <v>835512</v>
      </c>
      <c r="E165" s="154">
        <f t="shared" si="23"/>
        <v>0.3997665071770335</v>
      </c>
      <c r="F165" s="43">
        <f>D165-'[3]Aprīlis'!D165</f>
        <v>196131</v>
      </c>
      <c r="G165" s="159" t="s">
        <v>179</v>
      </c>
      <c r="H165" s="164">
        <f t="shared" si="26"/>
        <v>2090</v>
      </c>
      <c r="I165" s="164">
        <f t="shared" si="26"/>
        <v>0</v>
      </c>
      <c r="J165" s="164">
        <f t="shared" si="26"/>
        <v>836</v>
      </c>
      <c r="K165" s="122">
        <f t="shared" si="24"/>
        <v>0.4</v>
      </c>
      <c r="L165" s="155">
        <f>J165-'[3]Aprīlis'!J165</f>
        <v>197</v>
      </c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</row>
    <row r="166" spans="1:33" s="120" customFormat="1" ht="12.75">
      <c r="A166" s="159" t="s">
        <v>180</v>
      </c>
      <c r="B166" s="74">
        <v>8587018</v>
      </c>
      <c r="C166" s="74"/>
      <c r="D166" s="74">
        <v>3324989</v>
      </c>
      <c r="E166" s="154">
        <f t="shared" si="23"/>
        <v>0.38721113662507756</v>
      </c>
      <c r="F166" s="43">
        <f>D166-'[3]Aprīlis'!D166</f>
        <v>475493</v>
      </c>
      <c r="G166" s="159" t="s">
        <v>180</v>
      </c>
      <c r="H166" s="164">
        <f t="shared" si="26"/>
        <v>8587</v>
      </c>
      <c r="I166" s="164">
        <f t="shared" si="26"/>
        <v>0</v>
      </c>
      <c r="J166" s="164">
        <f t="shared" si="26"/>
        <v>3325</v>
      </c>
      <c r="K166" s="122">
        <f t="shared" si="24"/>
        <v>0.3872132293001048</v>
      </c>
      <c r="L166" s="155">
        <f>J166-'[3]Aprīlis'!J166</f>
        <v>476</v>
      </c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</row>
    <row r="167" spans="1:33" s="120" customFormat="1" ht="12.75">
      <c r="A167" s="24" t="s">
        <v>140</v>
      </c>
      <c r="B167" s="43">
        <f>SUM(B168:B169)</f>
        <v>15954834</v>
      </c>
      <c r="C167" s="43">
        <f>SUM(C168:C169)</f>
        <v>0</v>
      </c>
      <c r="D167" s="43">
        <f>SUM(D168:D169)</f>
        <v>4951056</v>
      </c>
      <c r="E167" s="154">
        <f t="shared" si="23"/>
        <v>0.31031698606202984</v>
      </c>
      <c r="F167" s="43">
        <f>SUM(F168:F169)</f>
        <v>1174808</v>
      </c>
      <c r="G167" s="24" t="s">
        <v>140</v>
      </c>
      <c r="H167" s="125">
        <f>SUM(H168:H169)</f>
        <v>15955</v>
      </c>
      <c r="I167" s="125">
        <f>SUM(I168:I169)</f>
        <v>5997647</v>
      </c>
      <c r="J167" s="125">
        <f>SUM(J168:J169)</f>
        <v>4951</v>
      </c>
      <c r="K167" s="27">
        <f t="shared" si="24"/>
        <v>0.3103102475712943</v>
      </c>
      <c r="L167" s="125">
        <f>SUM(L168:L169)</f>
        <v>1175</v>
      </c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</row>
    <row r="168" spans="1:12" ht="225">
      <c r="A168" s="31" t="s">
        <v>182</v>
      </c>
      <c r="B168" s="43">
        <v>10477018</v>
      </c>
      <c r="C168" s="43"/>
      <c r="D168" s="43">
        <v>3777303</v>
      </c>
      <c r="E168" s="154">
        <f t="shared" si="23"/>
        <v>0.36053226213794803</v>
      </c>
      <c r="F168" s="43">
        <f>D168-'[3]Aprīlis'!D168</f>
        <v>853029</v>
      </c>
      <c r="G168" s="169" t="s">
        <v>182</v>
      </c>
      <c r="H168" s="164">
        <f aca="true" t="shared" si="27" ref="H168:J169">ROUND(B168/1000,0)</f>
        <v>10477</v>
      </c>
      <c r="I168" s="164">
        <v>4339175</v>
      </c>
      <c r="J168" s="164">
        <f t="shared" si="27"/>
        <v>3777</v>
      </c>
      <c r="K168" s="122">
        <f t="shared" si="24"/>
        <v>0.36050396105755467</v>
      </c>
      <c r="L168" s="155">
        <f>J168-'[3]Aprīlis'!J168</f>
        <v>853</v>
      </c>
    </row>
    <row r="169" spans="1:12" ht="326.25">
      <c r="A169" s="31" t="s">
        <v>184</v>
      </c>
      <c r="B169" s="43">
        <v>5477816</v>
      </c>
      <c r="C169" s="43"/>
      <c r="D169" s="43">
        <v>1173753</v>
      </c>
      <c r="E169" s="154">
        <f t="shared" si="23"/>
        <v>0.21427390040118177</v>
      </c>
      <c r="F169" s="43">
        <f>D169-'[3]Aprīlis'!D169</f>
        <v>321779</v>
      </c>
      <c r="G169" s="169" t="s">
        <v>184</v>
      </c>
      <c r="H169" s="164">
        <f t="shared" si="27"/>
        <v>5478</v>
      </c>
      <c r="I169" s="164">
        <v>1658472</v>
      </c>
      <c r="J169" s="164">
        <f t="shared" si="27"/>
        <v>1174</v>
      </c>
      <c r="K169" s="122">
        <f t="shared" si="24"/>
        <v>0.21431179262504563</v>
      </c>
      <c r="L169" s="155">
        <f>J169-'[3]Aprīlis'!J169</f>
        <v>322</v>
      </c>
    </row>
    <row r="170" spans="1:12" ht="12.75">
      <c r="A170" s="24" t="s">
        <v>136</v>
      </c>
      <c r="B170" s="43">
        <f>SUM(B164-B167)</f>
        <v>-5277816</v>
      </c>
      <c r="C170" s="43">
        <f>SUM(C164-C167)</f>
        <v>4413437</v>
      </c>
      <c r="D170" s="43">
        <f>SUM(D164-D167)</f>
        <v>-790555</v>
      </c>
      <c r="E170" s="154">
        <f t="shared" si="23"/>
        <v>0.14978828363853533</v>
      </c>
      <c r="F170" s="43">
        <f>SUM(F164-F167)</f>
        <v>-503184</v>
      </c>
      <c r="G170" s="24" t="s">
        <v>136</v>
      </c>
      <c r="H170" s="125">
        <f>SUM(H164-H167)</f>
        <v>-5278</v>
      </c>
      <c r="I170" s="125">
        <f>SUM(I164-I167)</f>
        <v>-5993234</v>
      </c>
      <c r="J170" s="125">
        <f>SUM(J164-J167)</f>
        <v>-790</v>
      </c>
      <c r="K170" s="27">
        <f t="shared" si="24"/>
        <v>0.14967790829859795</v>
      </c>
      <c r="L170" s="125">
        <f>SUM(L164-L167)</f>
        <v>-502</v>
      </c>
    </row>
    <row r="171" spans="1:12" ht="12.75">
      <c r="A171" s="24" t="s">
        <v>121</v>
      </c>
      <c r="B171" s="43">
        <v>5277816</v>
      </c>
      <c r="C171" s="43"/>
      <c r="D171" s="43">
        <v>519669</v>
      </c>
      <c r="E171" s="154">
        <f t="shared" si="23"/>
        <v>0.09846288692140841</v>
      </c>
      <c r="F171" s="43">
        <f>D171-'[3]Aprīlis'!D171</f>
        <v>76680</v>
      </c>
      <c r="G171" s="24" t="s">
        <v>121</v>
      </c>
      <c r="H171" s="155">
        <f>ROUND(B171/1000,0)</f>
        <v>5278</v>
      </c>
      <c r="I171" s="155">
        <f>ROUND(C171/1000,0)</f>
        <v>0</v>
      </c>
      <c r="J171" s="155">
        <f>ROUND(D171/1000,0)</f>
        <v>520</v>
      </c>
      <c r="K171" s="27">
        <f t="shared" si="24"/>
        <v>0.09852216748768473</v>
      </c>
      <c r="L171" s="155">
        <f>J171-'[3]Aprīlis'!J171</f>
        <v>77</v>
      </c>
    </row>
    <row r="172" spans="1:12" ht="12.75">
      <c r="A172" s="158" t="s">
        <v>188</v>
      </c>
      <c r="B172" s="43"/>
      <c r="C172" s="43"/>
      <c r="D172" s="43"/>
      <c r="E172" s="154" t="str">
        <f t="shared" si="23"/>
        <v> </v>
      </c>
      <c r="F172" s="43"/>
      <c r="G172" s="158" t="s">
        <v>188</v>
      </c>
      <c r="H172" s="125"/>
      <c r="I172" s="125"/>
      <c r="J172" s="125"/>
      <c r="K172" s="27"/>
      <c r="L172" s="125"/>
    </row>
    <row r="173" spans="1:12" ht="12.75">
      <c r="A173" s="24" t="s">
        <v>139</v>
      </c>
      <c r="B173" s="43">
        <f>SUM(B174:B176)</f>
        <v>139035440</v>
      </c>
      <c r="C173" s="43">
        <v>54658255</v>
      </c>
      <c r="D173" s="43">
        <f>SUM(D174:D176)</f>
        <v>55102770</v>
      </c>
      <c r="E173" s="154">
        <f t="shared" si="23"/>
        <v>0.3963217579632934</v>
      </c>
      <c r="F173" s="43">
        <f>SUM(F174:F176)</f>
        <v>12418443</v>
      </c>
      <c r="G173" s="24" t="s">
        <v>139</v>
      </c>
      <c r="H173" s="125">
        <f>SUM(H174:H176)</f>
        <v>139036</v>
      </c>
      <c r="I173" s="155">
        <f>ROUND(C173/1000,0)</f>
        <v>54658</v>
      </c>
      <c r="J173" s="125">
        <f>SUM(J174:J176)</f>
        <v>55103</v>
      </c>
      <c r="K173" s="27">
        <f t="shared" si="24"/>
        <v>0.3963218159325642</v>
      </c>
      <c r="L173" s="125">
        <f>SUM(L174:L176)</f>
        <v>12419</v>
      </c>
    </row>
    <row r="174" spans="1:12" ht="12.75">
      <c r="A174" s="24" t="s">
        <v>189</v>
      </c>
      <c r="B174" s="43">
        <v>69125600</v>
      </c>
      <c r="C174" s="43"/>
      <c r="D174" s="43">
        <v>27798264</v>
      </c>
      <c r="E174" s="154">
        <f t="shared" si="23"/>
        <v>0.4021413774346986</v>
      </c>
      <c r="F174" s="43">
        <f>D174-'[3]Aprīlis'!D174</f>
        <v>5894887</v>
      </c>
      <c r="G174" s="24" t="s">
        <v>189</v>
      </c>
      <c r="H174" s="155">
        <f>ROUND(B174/1000,0)</f>
        <v>69126</v>
      </c>
      <c r="I174" s="155">
        <f>ROUND(C174/1000,0)</f>
        <v>0</v>
      </c>
      <c r="J174" s="155">
        <f>ROUND(D174/1000,0)</f>
        <v>27798</v>
      </c>
      <c r="K174" s="27">
        <f t="shared" si="24"/>
        <v>0.40213523131672596</v>
      </c>
      <c r="L174" s="155">
        <f>J174-'[3]Aprīlis'!J174</f>
        <v>5895</v>
      </c>
    </row>
    <row r="175" spans="1:12" ht="12.75">
      <c r="A175" s="24" t="s">
        <v>190</v>
      </c>
      <c r="B175" s="43">
        <v>59428840</v>
      </c>
      <c r="C175" s="43"/>
      <c r="D175" s="43">
        <v>22881595</v>
      </c>
      <c r="E175" s="154">
        <f t="shared" si="23"/>
        <v>0.3850250989250337</v>
      </c>
      <c r="F175" s="43">
        <f>D175-'[3]Aprīlis'!D175</f>
        <v>5450933</v>
      </c>
      <c r="G175" s="24" t="s">
        <v>190</v>
      </c>
      <c r="H175" s="155">
        <f>ROUND(B175/1000,0)</f>
        <v>59429</v>
      </c>
      <c r="I175" s="155">
        <f>ROUND(C175/1000,0)</f>
        <v>0</v>
      </c>
      <c r="J175" s="155">
        <f>ROUND(D175/1000,0)</f>
        <v>22882</v>
      </c>
      <c r="K175" s="27">
        <f t="shared" si="24"/>
        <v>0.3850308771811742</v>
      </c>
      <c r="L175" s="155">
        <f>J175-'[3]Aprīlis'!J175</f>
        <v>5451</v>
      </c>
    </row>
    <row r="176" spans="1:12" ht="12.75">
      <c r="A176" s="24" t="s">
        <v>171</v>
      </c>
      <c r="B176" s="43">
        <v>10481000</v>
      </c>
      <c r="C176" s="43"/>
      <c r="D176" s="43">
        <v>4422911</v>
      </c>
      <c r="E176" s="154">
        <f t="shared" si="23"/>
        <v>0.42199322583722926</v>
      </c>
      <c r="F176" s="43">
        <f>D176-'[3]Aprīlis'!D176</f>
        <v>1072623</v>
      </c>
      <c r="G176" s="24" t="s">
        <v>171</v>
      </c>
      <c r="H176" s="155">
        <f>ROUND(B176/1000,0)</f>
        <v>10481</v>
      </c>
      <c r="I176" s="155">
        <f>ROUND(C176/1000,0)</f>
        <v>0</v>
      </c>
      <c r="J176" s="155">
        <f>ROUND(D176/1000,0)</f>
        <v>4423</v>
      </c>
      <c r="K176" s="27">
        <f t="shared" si="24"/>
        <v>0.4220017173933785</v>
      </c>
      <c r="L176" s="155">
        <f>J176-'[3]Aprīlis'!J176</f>
        <v>1073</v>
      </c>
    </row>
    <row r="177" spans="1:12" ht="12.75">
      <c r="A177" s="24" t="s">
        <v>140</v>
      </c>
      <c r="B177" s="43">
        <f>SUM(B178:B179)</f>
        <v>147053440</v>
      </c>
      <c r="C177" s="43">
        <f>SUM(C178:C179)</f>
        <v>54781555</v>
      </c>
      <c r="D177" s="43">
        <f>SUM(D178:D179)</f>
        <v>50901725</v>
      </c>
      <c r="E177" s="154">
        <f t="shared" si="23"/>
        <v>0.34614440165425575</v>
      </c>
      <c r="F177" s="43">
        <f>SUM(F178:F179)</f>
        <v>15309486</v>
      </c>
      <c r="G177" s="24" t="s">
        <v>140</v>
      </c>
      <c r="H177" s="125">
        <f>SUM(H178:H179)</f>
        <v>147053</v>
      </c>
      <c r="I177" s="125">
        <f>SUM(I178:I179)</f>
        <v>54782</v>
      </c>
      <c r="J177" s="125">
        <f>SUM(J178:J179)</f>
        <v>50901</v>
      </c>
      <c r="K177" s="27">
        <f t="shared" si="24"/>
        <v>0.3461405071640837</v>
      </c>
      <c r="L177" s="125">
        <f>SUM(L178:L179)</f>
        <v>15309</v>
      </c>
    </row>
    <row r="178" spans="1:12" ht="225">
      <c r="A178" s="31" t="s">
        <v>132</v>
      </c>
      <c r="B178" s="43">
        <v>136798140</v>
      </c>
      <c r="C178" s="43">
        <v>53998696</v>
      </c>
      <c r="D178" s="43">
        <v>50373298</v>
      </c>
      <c r="E178" s="154">
        <f t="shared" si="23"/>
        <v>0.36823086922088266</v>
      </c>
      <c r="F178" s="43">
        <f>D178-'[3]Aprīlis'!D178</f>
        <v>14805059</v>
      </c>
      <c r="G178" s="31" t="s">
        <v>132</v>
      </c>
      <c r="H178" s="155">
        <f aca="true" t="shared" si="28" ref="H178:J179">ROUND(B178/1000,0)</f>
        <v>136798</v>
      </c>
      <c r="I178" s="155">
        <f>ROUND(C178/1000,0)</f>
        <v>53999</v>
      </c>
      <c r="J178" s="155">
        <f t="shared" si="28"/>
        <v>50373</v>
      </c>
      <c r="K178" s="27">
        <f t="shared" si="24"/>
        <v>0.36822906767642805</v>
      </c>
      <c r="L178" s="155">
        <f>J178-'[3]Aprīlis'!J178</f>
        <v>14805</v>
      </c>
    </row>
    <row r="179" spans="1:12" ht="12.75">
      <c r="A179" s="24" t="s">
        <v>133</v>
      </c>
      <c r="B179" s="43">
        <v>10255300</v>
      </c>
      <c r="C179" s="43">
        <v>782859</v>
      </c>
      <c r="D179" s="43">
        <v>528427</v>
      </c>
      <c r="E179" s="154">
        <f t="shared" si="23"/>
        <v>0.05152721032051719</v>
      </c>
      <c r="F179" s="43">
        <f>D179-'[3]Aprīlis'!D179</f>
        <v>504427</v>
      </c>
      <c r="G179" s="24" t="s">
        <v>133</v>
      </c>
      <c r="H179" s="155">
        <f t="shared" si="28"/>
        <v>10255</v>
      </c>
      <c r="I179" s="155">
        <f t="shared" si="28"/>
        <v>783</v>
      </c>
      <c r="J179" s="155">
        <f t="shared" si="28"/>
        <v>528</v>
      </c>
      <c r="K179" s="27">
        <f t="shared" si="24"/>
        <v>0.051487079473427594</v>
      </c>
      <c r="L179" s="155">
        <f>J179-'[3]Aprīlis'!J179</f>
        <v>504</v>
      </c>
    </row>
    <row r="180" spans="1:12" ht="12.75">
      <c r="A180" s="24" t="s">
        <v>136</v>
      </c>
      <c r="B180" s="43">
        <f>SUM(B173-B177)</f>
        <v>-8018000</v>
      </c>
      <c r="C180" s="43"/>
      <c r="D180" s="43">
        <f>SUM(D173-D177)</f>
        <v>4201045</v>
      </c>
      <c r="E180" s="154">
        <f t="shared" si="23"/>
        <v>-0.5239517335994014</v>
      </c>
      <c r="F180" s="43">
        <f>SUM(F173-F177)</f>
        <v>-2891043</v>
      </c>
      <c r="G180" s="24" t="s">
        <v>136</v>
      </c>
      <c r="H180" s="125">
        <f>SUM(H173-H177)</f>
        <v>-8017</v>
      </c>
      <c r="I180" s="125">
        <f>SUM(I173-I177)</f>
        <v>-124</v>
      </c>
      <c r="J180" s="125">
        <f>SUM(J173-J177)</f>
        <v>4202</v>
      </c>
      <c r="K180" s="27">
        <f t="shared" si="24"/>
        <v>-0.5241362105525758</v>
      </c>
      <c r="L180" s="125">
        <f>SUM(L173-L177)</f>
        <v>-2890</v>
      </c>
    </row>
    <row r="181" spans="1:12" ht="12.75">
      <c r="A181" s="24" t="s">
        <v>121</v>
      </c>
      <c r="B181" s="43">
        <f>-B180</f>
        <v>8018000</v>
      </c>
      <c r="C181" s="43"/>
      <c r="D181" s="43"/>
      <c r="E181" s="154">
        <f t="shared" si="23"/>
        <v>0</v>
      </c>
      <c r="F181" s="43">
        <f>-F180</f>
        <v>2891043</v>
      </c>
      <c r="G181" s="24" t="s">
        <v>121</v>
      </c>
      <c r="H181" s="125">
        <f>-H180</f>
        <v>8017</v>
      </c>
      <c r="I181" s="125">
        <f>-I180</f>
        <v>124</v>
      </c>
      <c r="J181" s="125"/>
      <c r="K181" s="27">
        <f t="shared" si="24"/>
        <v>0</v>
      </c>
      <c r="L181" s="125">
        <f>-L180</f>
        <v>2890</v>
      </c>
    </row>
    <row r="182" spans="1:12" ht="45" customHeight="1">
      <c r="A182" s="127" t="s">
        <v>191</v>
      </c>
      <c r="B182" s="62"/>
      <c r="C182" s="62"/>
      <c r="D182" s="62"/>
      <c r="E182" s="154" t="str">
        <f t="shared" si="23"/>
        <v> </v>
      </c>
      <c r="F182" s="62"/>
      <c r="G182" s="127" t="s">
        <v>191</v>
      </c>
      <c r="H182" s="106"/>
      <c r="I182" s="106"/>
      <c r="J182" s="106"/>
      <c r="K182" s="27"/>
      <c r="L182" s="106"/>
    </row>
    <row r="183" spans="1:12" ht="15" customHeight="1">
      <c r="A183" s="158" t="s">
        <v>192</v>
      </c>
      <c r="B183" s="43"/>
      <c r="C183" s="43"/>
      <c r="D183" s="43"/>
      <c r="E183" s="154" t="str">
        <f t="shared" si="23"/>
        <v> </v>
      </c>
      <c r="F183" s="43"/>
      <c r="G183" s="158" t="s">
        <v>192</v>
      </c>
      <c r="H183" s="125"/>
      <c r="I183" s="125"/>
      <c r="J183" s="125"/>
      <c r="K183" s="27"/>
      <c r="L183" s="125"/>
    </row>
    <row r="184" spans="1:12" ht="12.75">
      <c r="A184" s="24" t="s">
        <v>139</v>
      </c>
      <c r="B184" s="43">
        <f>SUM(B185:B187)</f>
        <v>8837000</v>
      </c>
      <c r="C184" s="43">
        <v>4286626</v>
      </c>
      <c r="D184" s="43">
        <f>SUM(D185:D187)</f>
        <v>2489674</v>
      </c>
      <c r="E184" s="154">
        <f t="shared" si="23"/>
        <v>0.2817329410433405</v>
      </c>
      <c r="F184" s="43">
        <f>SUM(F185:F187)</f>
        <v>656751</v>
      </c>
      <c r="G184" s="24" t="s">
        <v>139</v>
      </c>
      <c r="H184" s="125">
        <f>SUM(H185:H187)</f>
        <v>8837</v>
      </c>
      <c r="I184" s="155">
        <f>ROUND(C184/1000,0)</f>
        <v>4287</v>
      </c>
      <c r="J184" s="125">
        <f>SUM(J185:J187)</f>
        <v>2490</v>
      </c>
      <c r="K184" s="27">
        <f t="shared" si="24"/>
        <v>0.28176983139074346</v>
      </c>
      <c r="L184" s="125">
        <f>SUM(L185:L187)</f>
        <v>657</v>
      </c>
    </row>
    <row r="185" spans="1:12" ht="12.75">
      <c r="A185" s="24" t="s">
        <v>193</v>
      </c>
      <c r="B185" s="43">
        <v>8245000</v>
      </c>
      <c r="C185" s="43"/>
      <c r="D185" s="43">
        <v>2397704</v>
      </c>
      <c r="E185" s="154">
        <f t="shared" si="23"/>
        <v>0.2908070345664039</v>
      </c>
      <c r="F185" s="43">
        <f>D185-'[3]Aprīlis'!D185</f>
        <v>637126</v>
      </c>
      <c r="G185" s="24" t="s">
        <v>193</v>
      </c>
      <c r="H185" s="155">
        <f>ROUND(B185/1000,0)</f>
        <v>8245</v>
      </c>
      <c r="I185" s="155">
        <f>ROUND(C185/1000,0)</f>
        <v>0</v>
      </c>
      <c r="J185" s="155">
        <f>ROUND(D185/1000,0)</f>
        <v>2398</v>
      </c>
      <c r="K185" s="27">
        <f t="shared" si="24"/>
        <v>0.2908429351121892</v>
      </c>
      <c r="L185" s="155">
        <f>J185-'[3]Aprīlis'!J185</f>
        <v>637</v>
      </c>
    </row>
    <row r="186" spans="1:12" ht="12.75">
      <c r="A186" s="24" t="s">
        <v>194</v>
      </c>
      <c r="B186" s="43">
        <v>300000</v>
      </c>
      <c r="C186" s="43"/>
      <c r="D186" s="43">
        <v>73577</v>
      </c>
      <c r="E186" s="154">
        <f t="shared" si="23"/>
        <v>0.24525666666666668</v>
      </c>
      <c r="F186" s="43">
        <f>D186-'[3]Aprīlis'!D186</f>
        <v>16267</v>
      </c>
      <c r="G186" s="24" t="s">
        <v>194</v>
      </c>
      <c r="H186" s="155">
        <f>ROUND(B186/1000,0)</f>
        <v>300</v>
      </c>
      <c r="I186" s="155">
        <f>ROUND(C186/1000,0)</f>
        <v>0</v>
      </c>
      <c r="J186" s="155">
        <f>ROUND(D186/1000,0)</f>
        <v>74</v>
      </c>
      <c r="K186" s="27">
        <f t="shared" si="24"/>
        <v>0.24666666666666667</v>
      </c>
      <c r="L186" s="155">
        <f>J186-'[3]Aprīlis'!J186</f>
        <v>17</v>
      </c>
    </row>
    <row r="187" spans="1:12" ht="12.75">
      <c r="A187" s="24" t="s">
        <v>163</v>
      </c>
      <c r="B187" s="43">
        <f>255000+37000</f>
        <v>292000</v>
      </c>
      <c r="C187" s="43"/>
      <c r="D187" s="43">
        <v>18393</v>
      </c>
      <c r="E187" s="154">
        <f t="shared" si="23"/>
        <v>0.06298972602739726</v>
      </c>
      <c r="F187" s="43">
        <f>D187-'[3]Aprīlis'!D187</f>
        <v>3358</v>
      </c>
      <c r="G187" s="24" t="s">
        <v>163</v>
      </c>
      <c r="H187" s="155">
        <f>ROUND(B187/1000,0)</f>
        <v>292</v>
      </c>
      <c r="I187" s="155">
        <f>ROUND(C187/1000,0)</f>
        <v>0</v>
      </c>
      <c r="J187" s="155">
        <f>ROUND(D187/1000,0)</f>
        <v>18</v>
      </c>
      <c r="K187" s="27">
        <f t="shared" si="24"/>
        <v>0.06164383561643835</v>
      </c>
      <c r="L187" s="155">
        <f>J187-'[3]Aprīlis'!J187</f>
        <v>3</v>
      </c>
    </row>
    <row r="188" spans="1:12" ht="12.75">
      <c r="A188" s="24" t="s">
        <v>140</v>
      </c>
      <c r="B188" s="43">
        <f>SUM(B189:B190)</f>
        <v>8837000</v>
      </c>
      <c r="C188" s="43">
        <f>SUM(C189:C190)</f>
        <v>4286626</v>
      </c>
      <c r="D188" s="43">
        <f>SUM(D189:D190)</f>
        <v>2940658</v>
      </c>
      <c r="E188" s="154">
        <f t="shared" si="23"/>
        <v>0.33276654973407266</v>
      </c>
      <c r="F188" s="43">
        <f>SUM(F189:F190)</f>
        <v>671770</v>
      </c>
      <c r="G188" s="24" t="s">
        <v>140</v>
      </c>
      <c r="H188" s="125">
        <f>SUM(H189:H190)</f>
        <v>8838</v>
      </c>
      <c r="I188" s="125">
        <f>SUM(I189:I190)</f>
        <v>4286</v>
      </c>
      <c r="J188" s="125">
        <f>SUM(J189:J190)</f>
        <v>2941</v>
      </c>
      <c r="K188" s="27">
        <f t="shared" si="24"/>
        <v>0.3327675944783888</v>
      </c>
      <c r="L188" s="125">
        <f>SUM(L189:L190)</f>
        <v>672</v>
      </c>
    </row>
    <row r="189" spans="1:12" ht="12.75">
      <c r="A189" s="24" t="s">
        <v>132</v>
      </c>
      <c r="B189" s="43">
        <v>6642500</v>
      </c>
      <c r="C189" s="43">
        <v>3462076</v>
      </c>
      <c r="D189" s="43">
        <v>2621756</v>
      </c>
      <c r="E189" s="154">
        <f t="shared" si="23"/>
        <v>0.39469416635302973</v>
      </c>
      <c r="F189" s="43">
        <f>D189-'[3]Aprīlis'!D189</f>
        <v>389966</v>
      </c>
      <c r="G189" s="24" t="s">
        <v>132</v>
      </c>
      <c r="H189" s="155">
        <f aca="true" t="shared" si="29" ref="H189:J190">ROUND(B189/1000,0)</f>
        <v>6643</v>
      </c>
      <c r="I189" s="155">
        <f t="shared" si="29"/>
        <v>3462</v>
      </c>
      <c r="J189" s="155">
        <f t="shared" si="29"/>
        <v>2622</v>
      </c>
      <c r="K189" s="27">
        <f t="shared" si="24"/>
        <v>0.3947011892217372</v>
      </c>
      <c r="L189" s="155">
        <f>J189-'[3]Aprīlis'!J189</f>
        <v>390</v>
      </c>
    </row>
    <row r="190" spans="1:12" ht="12.75">
      <c r="A190" s="24" t="s">
        <v>133</v>
      </c>
      <c r="B190" s="43">
        <v>2194500</v>
      </c>
      <c r="C190" s="43">
        <v>824550</v>
      </c>
      <c r="D190" s="43">
        <v>318902</v>
      </c>
      <c r="E190" s="154">
        <f t="shared" si="23"/>
        <v>0.14531875142401457</v>
      </c>
      <c r="F190" s="43">
        <f>D190-'[3]Aprīlis'!D190</f>
        <v>281804</v>
      </c>
      <c r="G190" s="24" t="s">
        <v>133</v>
      </c>
      <c r="H190" s="155">
        <f t="shared" si="29"/>
        <v>2195</v>
      </c>
      <c r="I190" s="155">
        <f>ROUND(C190/1000,0)-1</f>
        <v>824</v>
      </c>
      <c r="J190" s="155">
        <f t="shared" si="29"/>
        <v>319</v>
      </c>
      <c r="K190" s="27">
        <f t="shared" si="24"/>
        <v>0.14533029612756265</v>
      </c>
      <c r="L190" s="155">
        <f>J190-'[3]Aprīlis'!J190</f>
        <v>282</v>
      </c>
    </row>
    <row r="191" spans="1:12" ht="16.5" customHeight="1">
      <c r="A191" s="158" t="s">
        <v>195</v>
      </c>
      <c r="B191" s="43"/>
      <c r="C191" s="43"/>
      <c r="D191" s="43"/>
      <c r="E191" s="154" t="str">
        <f t="shared" si="23"/>
        <v> </v>
      </c>
      <c r="F191" s="43"/>
      <c r="G191" s="158" t="s">
        <v>195</v>
      </c>
      <c r="H191" s="125"/>
      <c r="I191" s="125"/>
      <c r="J191" s="125"/>
      <c r="K191" s="27"/>
      <c r="L191" s="125"/>
    </row>
    <row r="192" spans="1:12" ht="12.75">
      <c r="A192" s="24" t="s">
        <v>139</v>
      </c>
      <c r="B192" s="43">
        <v>1450000</v>
      </c>
      <c r="C192" s="43">
        <v>945500</v>
      </c>
      <c r="D192" s="43">
        <v>711250</v>
      </c>
      <c r="E192" s="154">
        <f t="shared" si="23"/>
        <v>0.49051724137931035</v>
      </c>
      <c r="F192" s="43">
        <f>D192-'[3]Aprīlis'!D192</f>
        <v>0</v>
      </c>
      <c r="G192" s="24" t="s">
        <v>139</v>
      </c>
      <c r="H192" s="155">
        <f>ROUND(B192/1000,0)</f>
        <v>1450</v>
      </c>
      <c r="I192" s="155">
        <f>ROUND(C192/1000,0)</f>
        <v>946</v>
      </c>
      <c r="J192" s="155">
        <f>ROUND(D192/1000,0)</f>
        <v>711</v>
      </c>
      <c r="K192" s="27">
        <f t="shared" si="24"/>
        <v>0.4903448275862069</v>
      </c>
      <c r="L192" s="155">
        <f>J192-'[3]Aprīlis'!J192</f>
        <v>0</v>
      </c>
    </row>
    <row r="193" spans="1:12" ht="12.75">
      <c r="A193" s="24" t="s">
        <v>140</v>
      </c>
      <c r="B193" s="43">
        <f>SUM(B194:B195)</f>
        <v>1450000</v>
      </c>
      <c r="C193" s="43">
        <f>SUM(C194:C195)</f>
        <v>945500</v>
      </c>
      <c r="D193" s="43">
        <f>SUM(D194:D195)</f>
        <v>667531</v>
      </c>
      <c r="E193" s="154">
        <f t="shared" si="23"/>
        <v>0.4603662068965517</v>
      </c>
      <c r="F193" s="43">
        <f>SUM(F194:F195)</f>
        <v>418776</v>
      </c>
      <c r="G193" s="24" t="s">
        <v>140</v>
      </c>
      <c r="H193" s="125">
        <f>SUM(H194:H195)</f>
        <v>1450</v>
      </c>
      <c r="I193" s="125">
        <f>SUM(I194:I195)</f>
        <v>945</v>
      </c>
      <c r="J193" s="125">
        <f>SUM(J194:J195)</f>
        <v>668</v>
      </c>
      <c r="K193" s="27">
        <f t="shared" si="24"/>
        <v>0.4606896551724138</v>
      </c>
      <c r="L193" s="125">
        <f>SUM(L194:L195)</f>
        <v>419</v>
      </c>
    </row>
    <row r="194" spans="1:12" ht="12.75">
      <c r="A194" s="24" t="s">
        <v>132</v>
      </c>
      <c r="B194" s="43">
        <v>45000</v>
      </c>
      <c r="C194" s="43">
        <v>21000</v>
      </c>
      <c r="D194" s="43">
        <v>15939</v>
      </c>
      <c r="E194" s="154">
        <f t="shared" si="23"/>
        <v>0.3542</v>
      </c>
      <c r="F194" s="43">
        <f>D194-'[3]Aprīlis'!D194</f>
        <v>1402</v>
      </c>
      <c r="G194" s="24" t="s">
        <v>132</v>
      </c>
      <c r="H194" s="155">
        <f aca="true" t="shared" si="30" ref="H194:J195">ROUND(B194/1000,0)</f>
        <v>45</v>
      </c>
      <c r="I194" s="155">
        <f t="shared" si="30"/>
        <v>21</v>
      </c>
      <c r="J194" s="155">
        <f t="shared" si="30"/>
        <v>16</v>
      </c>
      <c r="K194" s="27">
        <f t="shared" si="24"/>
        <v>0.35555555555555557</v>
      </c>
      <c r="L194" s="155">
        <f>J194-'[3]Aprīlis'!J194</f>
        <v>1</v>
      </c>
    </row>
    <row r="195" spans="1:12" ht="12.75">
      <c r="A195" s="24" t="s">
        <v>133</v>
      </c>
      <c r="B195" s="43">
        <v>1405000</v>
      </c>
      <c r="C195" s="43">
        <v>924500</v>
      </c>
      <c r="D195" s="43">
        <v>651592</v>
      </c>
      <c r="E195" s="154">
        <f t="shared" si="23"/>
        <v>0.4637665480427046</v>
      </c>
      <c r="F195" s="43">
        <f>D195-'[3]Aprīlis'!D195</f>
        <v>417374</v>
      </c>
      <c r="G195" s="24" t="s">
        <v>133</v>
      </c>
      <c r="H195" s="155">
        <f>ROUND(B195/1000,0)</f>
        <v>1405</v>
      </c>
      <c r="I195" s="155">
        <f>ROUND(C195/1000,0)-1</f>
        <v>924</v>
      </c>
      <c r="J195" s="155">
        <f t="shared" si="30"/>
        <v>652</v>
      </c>
      <c r="K195" s="27">
        <f t="shared" si="24"/>
        <v>0.46405693950177934</v>
      </c>
      <c r="L195" s="155">
        <f>J195-'[3]Aprīlis'!J195</f>
        <v>418</v>
      </c>
    </row>
    <row r="196" spans="1:12" ht="22.5" customHeight="1">
      <c r="A196" s="150" t="s">
        <v>196</v>
      </c>
      <c r="B196" s="62"/>
      <c r="C196" s="62"/>
      <c r="D196" s="62"/>
      <c r="E196" s="154" t="str">
        <f t="shared" si="23"/>
        <v> </v>
      </c>
      <c r="F196" s="62"/>
      <c r="G196" s="150" t="s">
        <v>196</v>
      </c>
      <c r="H196" s="106"/>
      <c r="I196" s="106"/>
      <c r="J196" s="106"/>
      <c r="K196" s="27"/>
      <c r="L196" s="106"/>
    </row>
    <row r="197" spans="1:12" ht="15" customHeight="1">
      <c r="A197" s="158" t="s">
        <v>197</v>
      </c>
      <c r="B197" s="43"/>
      <c r="C197" s="43"/>
      <c r="D197" s="43"/>
      <c r="E197" s="154" t="str">
        <f t="shared" si="23"/>
        <v> </v>
      </c>
      <c r="F197" s="43"/>
      <c r="G197" s="158" t="s">
        <v>197</v>
      </c>
      <c r="H197" s="125"/>
      <c r="I197" s="125"/>
      <c r="J197" s="125"/>
      <c r="K197" s="27"/>
      <c r="L197" s="125"/>
    </row>
    <row r="198" spans="1:12" ht="12.75">
      <c r="A198" s="24" t="s">
        <v>139</v>
      </c>
      <c r="B198" s="43">
        <f>SUM(B199:B200)</f>
        <v>2600000</v>
      </c>
      <c r="C198" s="43">
        <v>700000</v>
      </c>
      <c r="D198" s="43">
        <f>SUM(D199:D200)</f>
        <v>804680</v>
      </c>
      <c r="E198" s="154">
        <f t="shared" si="23"/>
        <v>0.3094923076923077</v>
      </c>
      <c r="F198" s="43">
        <f>SUM(F199:F200)</f>
        <v>-11720</v>
      </c>
      <c r="G198" s="24" t="s">
        <v>139</v>
      </c>
      <c r="H198" s="125">
        <f>SUM(H199:H200)</f>
        <v>2600</v>
      </c>
      <c r="I198" s="155">
        <f>ROUND(C198/1000,0)</f>
        <v>700</v>
      </c>
      <c r="J198" s="125">
        <f>SUM(J199:J200)</f>
        <v>805</v>
      </c>
      <c r="K198" s="27">
        <f t="shared" si="24"/>
        <v>0.3096153846153846</v>
      </c>
      <c r="L198" s="125">
        <f>SUM(L199:L200)</f>
        <v>-11</v>
      </c>
    </row>
    <row r="199" spans="1:12" ht="409.5">
      <c r="A199" s="31" t="s">
        <v>198</v>
      </c>
      <c r="B199" s="43">
        <v>1400000</v>
      </c>
      <c r="C199" s="43"/>
      <c r="D199" s="43">
        <v>804680</v>
      </c>
      <c r="E199" s="154">
        <f t="shared" si="23"/>
        <v>0.5747714285714286</v>
      </c>
      <c r="F199" s="43">
        <f>D199-'[3]Aprīlis'!D199</f>
        <v>-11720</v>
      </c>
      <c r="G199" s="31" t="s">
        <v>198</v>
      </c>
      <c r="H199" s="155">
        <f>ROUND(B199/1000,0)</f>
        <v>1400</v>
      </c>
      <c r="I199" s="155">
        <f>ROUND(C199/1000,0)</f>
        <v>0</v>
      </c>
      <c r="J199" s="155">
        <f>ROUND(D199/1000,0)</f>
        <v>805</v>
      </c>
      <c r="K199" s="27">
        <f t="shared" si="24"/>
        <v>0.575</v>
      </c>
      <c r="L199" s="155">
        <f>J199-'[3]Aprīlis'!J199</f>
        <v>-11</v>
      </c>
    </row>
    <row r="200" spans="1:12" ht="12.75">
      <c r="A200" s="24" t="s">
        <v>190</v>
      </c>
      <c r="B200" s="43">
        <v>1200000</v>
      </c>
      <c r="C200" s="43"/>
      <c r="D200" s="43"/>
      <c r="E200" s="154">
        <f t="shared" si="23"/>
        <v>0</v>
      </c>
      <c r="F200" s="43">
        <f>D200-'[3]Aprīlis'!D200</f>
        <v>0</v>
      </c>
      <c r="G200" s="24" t="s">
        <v>190</v>
      </c>
      <c r="H200" s="155">
        <f>ROUND(B200/1000,0)</f>
        <v>1200</v>
      </c>
      <c r="I200" s="155">
        <f>ROUND(C200/1000,0)</f>
        <v>0</v>
      </c>
      <c r="J200" s="155">
        <f>ROUND(D200/1000,0)</f>
        <v>0</v>
      </c>
      <c r="K200" s="27">
        <f t="shared" si="24"/>
        <v>0</v>
      </c>
      <c r="L200" s="155">
        <f>J200-'[3]Aprīlis'!J200</f>
        <v>0</v>
      </c>
    </row>
    <row r="201" spans="1:12" ht="12.75">
      <c r="A201" s="24" t="s">
        <v>140</v>
      </c>
      <c r="B201" s="43">
        <f>B202</f>
        <v>2600000</v>
      </c>
      <c r="C201" s="43">
        <f>C202</f>
        <v>1050000</v>
      </c>
      <c r="D201" s="43">
        <f>D202</f>
        <v>769430</v>
      </c>
      <c r="E201" s="154">
        <f t="shared" si="23"/>
        <v>0.2959346153846154</v>
      </c>
      <c r="F201" s="43">
        <f>F202</f>
        <v>88789</v>
      </c>
      <c r="G201" s="24" t="s">
        <v>140</v>
      </c>
      <c r="H201" s="125">
        <f>H202</f>
        <v>2600</v>
      </c>
      <c r="I201" s="125">
        <f>I202</f>
        <v>1050</v>
      </c>
      <c r="J201" s="125">
        <f>J202</f>
        <v>769</v>
      </c>
      <c r="K201" s="27">
        <f t="shared" si="24"/>
        <v>0.2957692307692308</v>
      </c>
      <c r="L201" s="125">
        <f>L202</f>
        <v>88</v>
      </c>
    </row>
    <row r="202" spans="1:12" ht="12.75">
      <c r="A202" s="24" t="s">
        <v>132</v>
      </c>
      <c r="B202" s="43">
        <v>2600000</v>
      </c>
      <c r="C202" s="43">
        <v>1050000</v>
      </c>
      <c r="D202" s="43">
        <v>769430</v>
      </c>
      <c r="E202" s="154">
        <f aca="true" t="shared" si="31" ref="E202:E217">IF(ISERROR(D202/B202)," ",(D202/B202))</f>
        <v>0.2959346153846154</v>
      </c>
      <c r="F202" s="43">
        <f>D202-'[3]Aprīlis'!D202</f>
        <v>88789</v>
      </c>
      <c r="G202" s="24" t="s">
        <v>132</v>
      </c>
      <c r="H202" s="155">
        <f>ROUND(B202/1000,0)</f>
        <v>2600</v>
      </c>
      <c r="I202" s="155">
        <f>ROUND(C202/1000,0)</f>
        <v>1050</v>
      </c>
      <c r="J202" s="155">
        <f>ROUND(D202/1000,0)</f>
        <v>769</v>
      </c>
      <c r="K202" s="27">
        <f aca="true" t="shared" si="32" ref="K202:K217">IF(ISERROR(ROUND(J202,0)/ROUND(H202,0))," ",(ROUND(J202,)/ROUND(H202,)))</f>
        <v>0.2957692307692308</v>
      </c>
      <c r="L202" s="155">
        <f>J202-'[3]Aprīlis'!J202</f>
        <v>88</v>
      </c>
    </row>
    <row r="203" spans="1:12" ht="15.75" customHeight="1">
      <c r="A203" s="150" t="s">
        <v>199</v>
      </c>
      <c r="B203" s="62"/>
      <c r="C203" s="62"/>
      <c r="D203" s="62"/>
      <c r="E203" s="154" t="str">
        <f t="shared" si="31"/>
        <v> </v>
      </c>
      <c r="F203" s="62"/>
      <c r="G203" s="150" t="s">
        <v>199</v>
      </c>
      <c r="H203" s="106"/>
      <c r="I203" s="106"/>
      <c r="J203" s="106"/>
      <c r="K203" s="27"/>
      <c r="L203" s="106"/>
    </row>
    <row r="204" spans="1:12" ht="12.75">
      <c r="A204" s="24" t="s">
        <v>139</v>
      </c>
      <c r="B204" s="43">
        <f>SUM(B205:B206)</f>
        <v>65000</v>
      </c>
      <c r="C204" s="43">
        <v>31400</v>
      </c>
      <c r="D204" s="43">
        <f>SUM(D205:D206)</f>
        <v>55600</v>
      </c>
      <c r="E204" s="154">
        <f t="shared" si="31"/>
        <v>0.8553846153846154</v>
      </c>
      <c r="F204" s="43">
        <f>SUM(F205:F206)</f>
        <v>-3441</v>
      </c>
      <c r="G204" s="24" t="s">
        <v>139</v>
      </c>
      <c r="H204" s="125">
        <f>SUM(H205:H206)</f>
        <v>65</v>
      </c>
      <c r="I204" s="155">
        <f aca="true" t="shared" si="33" ref="I204:J206">ROUND(C204/1000,0)</f>
        <v>31</v>
      </c>
      <c r="J204" s="155">
        <f t="shared" si="33"/>
        <v>56</v>
      </c>
      <c r="K204" s="27">
        <f t="shared" si="32"/>
        <v>0.8615384615384616</v>
      </c>
      <c r="L204" s="125">
        <f>SUM(L205:L206)</f>
        <v>-3</v>
      </c>
    </row>
    <row r="205" spans="1:12" ht="12.75">
      <c r="A205" s="24" t="s">
        <v>200</v>
      </c>
      <c r="B205" s="43">
        <v>61000</v>
      </c>
      <c r="C205" s="43"/>
      <c r="D205" s="43">
        <v>20903</v>
      </c>
      <c r="E205" s="154">
        <f t="shared" si="31"/>
        <v>0.34267213114754097</v>
      </c>
      <c r="F205" s="43">
        <f>D205-'[3]Aprīlis'!D205</f>
        <v>-17235</v>
      </c>
      <c r="G205" s="24" t="s">
        <v>200</v>
      </c>
      <c r="H205" s="155">
        <f>ROUND(B205/1000,0)</f>
        <v>61</v>
      </c>
      <c r="I205" s="155">
        <f t="shared" si="33"/>
        <v>0</v>
      </c>
      <c r="J205" s="155">
        <f t="shared" si="33"/>
        <v>21</v>
      </c>
      <c r="K205" s="27">
        <f t="shared" si="32"/>
        <v>0.3442622950819672</v>
      </c>
      <c r="L205" s="155">
        <f>J205-'[3]Aprīlis'!J205</f>
        <v>-17</v>
      </c>
    </row>
    <row r="206" spans="1:33" s="130" customFormat="1" ht="12.75">
      <c r="A206" s="24" t="s">
        <v>201</v>
      </c>
      <c r="B206" s="24">
        <v>4000</v>
      </c>
      <c r="C206" s="24"/>
      <c r="D206" s="24">
        <v>34697</v>
      </c>
      <c r="E206" s="154">
        <f t="shared" si="31"/>
        <v>8.67425</v>
      </c>
      <c r="F206" s="43">
        <f>D206-'[3]Aprīlis'!D206</f>
        <v>13794</v>
      </c>
      <c r="G206" s="24" t="s">
        <v>201</v>
      </c>
      <c r="H206" s="155">
        <f>ROUND(B206/1000,0)</f>
        <v>4</v>
      </c>
      <c r="I206" s="155">
        <f t="shared" si="33"/>
        <v>0</v>
      </c>
      <c r="J206" s="155">
        <f t="shared" si="33"/>
        <v>35</v>
      </c>
      <c r="K206" s="27">
        <f t="shared" si="32"/>
        <v>8.75</v>
      </c>
      <c r="L206" s="155">
        <f>J206-'[3]Aprīlis'!J206</f>
        <v>14</v>
      </c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</row>
    <row r="207" spans="1:33" s="130" customFormat="1" ht="12.75">
      <c r="A207" s="24" t="s">
        <v>140</v>
      </c>
      <c r="B207" s="43">
        <f>SUM(B208:B209)</f>
        <v>65000</v>
      </c>
      <c r="C207" s="43">
        <f>SUM(C208:C209)</f>
        <v>59999</v>
      </c>
      <c r="D207" s="43">
        <f>SUM(D208:D209)</f>
        <v>55682</v>
      </c>
      <c r="E207" s="154">
        <f t="shared" si="31"/>
        <v>0.8566461538461538</v>
      </c>
      <c r="F207" s="43">
        <f>SUM(F208:F209)</f>
        <v>5003</v>
      </c>
      <c r="G207" s="24" t="s">
        <v>140</v>
      </c>
      <c r="H207" s="125">
        <f>SUM(H208:H209)</f>
        <v>65</v>
      </c>
      <c r="I207" s="125">
        <f>SUM(I208:I209)</f>
        <v>60</v>
      </c>
      <c r="J207" s="125">
        <f>SUM(J208:J209)</f>
        <v>56</v>
      </c>
      <c r="K207" s="27">
        <f t="shared" si="32"/>
        <v>0.8615384615384616</v>
      </c>
      <c r="L207" s="125">
        <f>SUM(L208:L209)</f>
        <v>5</v>
      </c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</row>
    <row r="208" spans="1:12" ht="12.75">
      <c r="A208" s="24" t="s">
        <v>132</v>
      </c>
      <c r="B208" s="43">
        <v>62000</v>
      </c>
      <c r="C208" s="43">
        <v>59249</v>
      </c>
      <c r="D208" s="43">
        <v>54932</v>
      </c>
      <c r="E208" s="154">
        <f t="shared" si="31"/>
        <v>0.886</v>
      </c>
      <c r="F208" s="43">
        <f>D208-'[3]Aprīlis'!D208</f>
        <v>5003</v>
      </c>
      <c r="G208" s="24" t="s">
        <v>132</v>
      </c>
      <c r="H208" s="155">
        <f aca="true" t="shared" si="34" ref="H208:J209">ROUND(B208/1000,0)</f>
        <v>62</v>
      </c>
      <c r="I208" s="155">
        <f t="shared" si="34"/>
        <v>59</v>
      </c>
      <c r="J208" s="155">
        <f t="shared" si="34"/>
        <v>55</v>
      </c>
      <c r="K208" s="27">
        <f t="shared" si="32"/>
        <v>0.8870967741935484</v>
      </c>
      <c r="L208" s="155">
        <f>J208-'[3]Aprīlis'!J208</f>
        <v>5</v>
      </c>
    </row>
    <row r="209" spans="1:12" ht="12.75">
      <c r="A209" s="24" t="s">
        <v>133</v>
      </c>
      <c r="B209" s="43">
        <v>3000</v>
      </c>
      <c r="C209" s="43">
        <v>750</v>
      </c>
      <c r="D209" s="43">
        <v>750</v>
      </c>
      <c r="E209" s="154">
        <f t="shared" si="31"/>
        <v>0.25</v>
      </c>
      <c r="F209" s="43"/>
      <c r="G209" s="24" t="s">
        <v>133</v>
      </c>
      <c r="H209" s="155">
        <f t="shared" si="34"/>
        <v>3</v>
      </c>
      <c r="I209" s="155">
        <f t="shared" si="34"/>
        <v>1</v>
      </c>
      <c r="J209" s="155">
        <f t="shared" si="34"/>
        <v>1</v>
      </c>
      <c r="K209" s="27">
        <f t="shared" si="32"/>
        <v>0.3333333333333333</v>
      </c>
      <c r="L209" s="155">
        <f>J209-'[3]Aprīlis'!J209</f>
        <v>0</v>
      </c>
    </row>
    <row r="210" spans="1:33" s="130" customFormat="1" ht="27" customHeight="1">
      <c r="A210" s="127" t="s">
        <v>202</v>
      </c>
      <c r="B210" s="24"/>
      <c r="C210" s="24"/>
      <c r="D210" s="24"/>
      <c r="E210" s="154" t="str">
        <f t="shared" si="31"/>
        <v> </v>
      </c>
      <c r="F210" s="24"/>
      <c r="G210" s="127" t="s">
        <v>202</v>
      </c>
      <c r="H210" s="125"/>
      <c r="I210" s="125"/>
      <c r="J210" s="125"/>
      <c r="K210" s="27"/>
      <c r="L210" s="125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</row>
    <row r="211" spans="1:33" s="130" customFormat="1" ht="12.75">
      <c r="A211" s="24" t="s">
        <v>139</v>
      </c>
      <c r="B211" s="24">
        <f>B212</f>
        <v>69988</v>
      </c>
      <c r="C211" s="24">
        <v>15552</v>
      </c>
      <c r="D211" s="24">
        <f>D212</f>
        <v>0</v>
      </c>
      <c r="E211" s="154">
        <f t="shared" si="31"/>
        <v>0</v>
      </c>
      <c r="F211" s="24">
        <f>F212</f>
        <v>0</v>
      </c>
      <c r="G211" s="24" t="s">
        <v>139</v>
      </c>
      <c r="H211" s="125">
        <f>H212</f>
        <v>70</v>
      </c>
      <c r="I211" s="155">
        <f>ROUND(C211/1000,0)</f>
        <v>16</v>
      </c>
      <c r="J211" s="125">
        <f>J212</f>
        <v>0</v>
      </c>
      <c r="K211" s="27">
        <f t="shared" si="32"/>
        <v>0</v>
      </c>
      <c r="L211" s="125">
        <f>L212</f>
        <v>0</v>
      </c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</row>
    <row r="212" spans="1:33" s="130" customFormat="1" ht="27" customHeight="1">
      <c r="A212" s="31" t="s">
        <v>203</v>
      </c>
      <c r="B212" s="24">
        <v>69988</v>
      </c>
      <c r="C212" s="24"/>
      <c r="D212" s="24"/>
      <c r="E212" s="154">
        <f t="shared" si="31"/>
        <v>0</v>
      </c>
      <c r="F212" s="43">
        <f>D212-'[3]Aprīlis'!D212</f>
        <v>0</v>
      </c>
      <c r="G212" s="31" t="s">
        <v>203</v>
      </c>
      <c r="H212" s="155">
        <f>ROUND(B212/1000,0)</f>
        <v>70</v>
      </c>
      <c r="I212" s="155">
        <f>ROUND(C212/1000,0)</f>
        <v>0</v>
      </c>
      <c r="J212" s="155">
        <f>ROUND(D212/1000,0)</f>
        <v>0</v>
      </c>
      <c r="K212" s="27">
        <f t="shared" si="32"/>
        <v>0</v>
      </c>
      <c r="L212" s="155">
        <f>J212-'[3]Aprīlis'!J212</f>
        <v>0</v>
      </c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</row>
    <row r="213" spans="1:12" ht="12.75">
      <c r="A213" s="24" t="s">
        <v>140</v>
      </c>
      <c r="B213" s="43">
        <f>SUM(B214:B215)</f>
        <v>132568</v>
      </c>
      <c r="C213" s="43">
        <f>SUM(C214:C215)</f>
        <v>29460</v>
      </c>
      <c r="D213" s="43">
        <f>SUM(D214:D215)</f>
        <v>3843</v>
      </c>
      <c r="E213" s="154">
        <f t="shared" si="31"/>
        <v>0.028988896264558566</v>
      </c>
      <c r="F213" s="43">
        <f>SUM(F214:F215)</f>
        <v>998</v>
      </c>
      <c r="G213" s="24" t="s">
        <v>140</v>
      </c>
      <c r="H213" s="125">
        <f>SUM(H214:H215)</f>
        <v>132</v>
      </c>
      <c r="I213" s="125">
        <f>SUM(I214:I215)</f>
        <v>30</v>
      </c>
      <c r="J213" s="125">
        <f>SUM(J214:J215)</f>
        <v>4</v>
      </c>
      <c r="K213" s="27">
        <f t="shared" si="32"/>
        <v>0.030303030303030304</v>
      </c>
      <c r="L213" s="125">
        <f>SUM(L214:L215)</f>
        <v>1</v>
      </c>
    </row>
    <row r="214" spans="1:12" ht="12.75">
      <c r="A214" s="24" t="s">
        <v>132</v>
      </c>
      <c r="B214" s="43">
        <v>124433</v>
      </c>
      <c r="C214" s="43">
        <v>27652</v>
      </c>
      <c r="D214" s="43">
        <v>3770</v>
      </c>
      <c r="E214" s="154">
        <f t="shared" si="31"/>
        <v>0.030297429138572564</v>
      </c>
      <c r="F214" s="43">
        <f>D214-'[3]Aprīlis'!D214</f>
        <v>998</v>
      </c>
      <c r="G214" s="24" t="s">
        <v>132</v>
      </c>
      <c r="H214" s="155">
        <f aca="true" t="shared" si="35" ref="H214:J215">ROUND(B214/1000,0)</f>
        <v>124</v>
      </c>
      <c r="I214" s="155">
        <f t="shared" si="35"/>
        <v>28</v>
      </c>
      <c r="J214" s="155">
        <f t="shared" si="35"/>
        <v>4</v>
      </c>
      <c r="K214" s="27">
        <f t="shared" si="32"/>
        <v>0.03225806451612903</v>
      </c>
      <c r="L214" s="155">
        <f>J214-'[3]Aprīlis'!J214</f>
        <v>1</v>
      </c>
    </row>
    <row r="215" spans="1:12" ht="12.75">
      <c r="A215" s="24" t="s">
        <v>133</v>
      </c>
      <c r="B215" s="43">
        <v>8135</v>
      </c>
      <c r="C215" s="43">
        <v>1808</v>
      </c>
      <c r="D215" s="43">
        <v>73</v>
      </c>
      <c r="E215" s="154">
        <f t="shared" si="31"/>
        <v>0.008973570989551321</v>
      </c>
      <c r="F215" s="43">
        <f>D215-'[3]Aprīlis'!D215</f>
        <v>0</v>
      </c>
      <c r="G215" s="24" t="s">
        <v>133</v>
      </c>
      <c r="H215" s="155">
        <f t="shared" si="35"/>
        <v>8</v>
      </c>
      <c r="I215" s="155">
        <f t="shared" si="35"/>
        <v>2</v>
      </c>
      <c r="J215" s="155">
        <f t="shared" si="35"/>
        <v>0</v>
      </c>
      <c r="K215" s="27">
        <f t="shared" si="32"/>
        <v>0</v>
      </c>
      <c r="L215" s="155">
        <f>J215-'[3]Aprīlis'!J215</f>
        <v>0</v>
      </c>
    </row>
    <row r="216" spans="1:12" ht="12.75">
      <c r="A216" s="24" t="s">
        <v>136</v>
      </c>
      <c r="B216" s="43">
        <f>SUM(B211-B213)</f>
        <v>-62580</v>
      </c>
      <c r="C216" s="43">
        <f>SUM(C211-C213)</f>
        <v>-13908</v>
      </c>
      <c r="D216" s="43">
        <f>SUM(D211-D213)</f>
        <v>-3843</v>
      </c>
      <c r="E216" s="154">
        <f t="shared" si="31"/>
        <v>0.06140939597315436</v>
      </c>
      <c r="F216" s="43">
        <f>SUM(F211-F213)</f>
        <v>-998</v>
      </c>
      <c r="G216" s="24" t="s">
        <v>136</v>
      </c>
      <c r="H216" s="125">
        <f>SUM(H211-H213)</f>
        <v>-62</v>
      </c>
      <c r="I216" s="125">
        <f>SUM(I211-I213)</f>
        <v>-14</v>
      </c>
      <c r="J216" s="125">
        <f>SUM(J211-J213)</f>
        <v>-4</v>
      </c>
      <c r="K216" s="27">
        <f t="shared" si="32"/>
        <v>0.06451612903225806</v>
      </c>
      <c r="L216" s="125">
        <f>SUM(L211-L213)</f>
        <v>-1</v>
      </c>
    </row>
    <row r="217" spans="1:12" ht="12.75">
      <c r="A217" s="24" t="s">
        <v>121</v>
      </c>
      <c r="B217" s="43">
        <f>-B216</f>
        <v>62580</v>
      </c>
      <c r="C217" s="43"/>
      <c r="D217" s="43"/>
      <c r="E217" s="154">
        <f t="shared" si="31"/>
        <v>0</v>
      </c>
      <c r="F217" s="43">
        <f>-F216</f>
        <v>998</v>
      </c>
      <c r="G217" s="24" t="s">
        <v>121</v>
      </c>
      <c r="H217" s="125">
        <f>-H216</f>
        <v>62</v>
      </c>
      <c r="I217" s="125"/>
      <c r="J217" s="125"/>
      <c r="K217" s="27">
        <f t="shared" si="32"/>
        <v>0</v>
      </c>
      <c r="L217" s="125">
        <f>-L216</f>
        <v>1</v>
      </c>
    </row>
    <row r="218" spans="1:12" ht="14.25">
      <c r="A218" s="171"/>
      <c r="B218" s="91"/>
      <c r="C218" s="91"/>
      <c r="D218" s="91"/>
      <c r="E218" s="91"/>
      <c r="G218" s="171"/>
      <c r="H218" s="91"/>
      <c r="I218" s="91"/>
      <c r="J218" s="91"/>
      <c r="K218" s="91"/>
      <c r="L218" s="46"/>
    </row>
    <row r="219" spans="1:12" ht="14.25">
      <c r="A219" s="171"/>
      <c r="B219" s="91"/>
      <c r="C219" s="91"/>
      <c r="D219" s="91"/>
      <c r="E219" s="91"/>
      <c r="G219" s="171"/>
      <c r="H219" s="91"/>
      <c r="I219" s="91"/>
      <c r="J219" s="91"/>
      <c r="K219" s="91"/>
      <c r="L219" s="46"/>
    </row>
    <row r="220" spans="1:12" ht="12.75">
      <c r="A220" s="88"/>
      <c r="B220" s="91"/>
      <c r="C220" s="91"/>
      <c r="D220" s="91"/>
      <c r="E220" s="91"/>
      <c r="G220" s="88"/>
      <c r="H220" s="91"/>
      <c r="I220" s="91"/>
      <c r="J220" s="91"/>
      <c r="K220" s="91"/>
      <c r="L220" s="46"/>
    </row>
    <row r="221" spans="1:12" ht="12.75">
      <c r="A221" s="7" t="s">
        <v>204</v>
      </c>
      <c r="B221" s="172"/>
      <c r="C221" s="172"/>
      <c r="D221" s="172"/>
      <c r="E221" s="45"/>
      <c r="G221" s="7"/>
      <c r="H221" s="172"/>
      <c r="I221" s="172"/>
      <c r="J221" s="172"/>
      <c r="K221" s="45"/>
      <c r="L221" s="46"/>
    </row>
    <row r="222" spans="1:12" ht="12.75">
      <c r="A222" s="95"/>
      <c r="B222" s="95"/>
      <c r="C222" s="95"/>
      <c r="D222" s="95"/>
      <c r="E222" s="47"/>
      <c r="G222" s="95"/>
      <c r="H222" s="95"/>
      <c r="I222" s="95"/>
      <c r="J222" s="95"/>
      <c r="K222" s="47"/>
      <c r="L222" s="46"/>
    </row>
    <row r="223" spans="1:12" ht="12.75">
      <c r="A223" s="95"/>
      <c r="B223" s="95"/>
      <c r="C223" s="95"/>
      <c r="D223" s="95"/>
      <c r="E223" s="47"/>
      <c r="G223" s="95"/>
      <c r="H223" s="95"/>
      <c r="I223" s="95"/>
      <c r="J223" s="95"/>
      <c r="K223" s="47"/>
      <c r="L223" s="46"/>
    </row>
    <row r="224" spans="1:12" ht="12.75">
      <c r="A224" s="95"/>
      <c r="B224" s="95"/>
      <c r="C224" s="95"/>
      <c r="D224" s="95"/>
      <c r="E224" s="47"/>
      <c r="G224" s="95"/>
      <c r="H224" s="95"/>
      <c r="I224" s="95"/>
      <c r="J224" s="95"/>
      <c r="K224" s="47"/>
      <c r="L224" s="46"/>
    </row>
    <row r="225" spans="1:12" ht="12.75">
      <c r="A225" s="95" t="s">
        <v>87</v>
      </c>
      <c r="B225" s="95"/>
      <c r="C225" s="95"/>
      <c r="D225" s="95"/>
      <c r="E225" s="47"/>
      <c r="G225" s="95"/>
      <c r="H225" s="95"/>
      <c r="I225" s="95"/>
      <c r="J225" s="95"/>
      <c r="K225" s="47"/>
      <c r="L225" s="46"/>
    </row>
    <row r="226" spans="1:12" ht="12.75">
      <c r="A226" s="95" t="s">
        <v>205</v>
      </c>
      <c r="B226" s="95"/>
      <c r="C226" s="95"/>
      <c r="D226" s="95"/>
      <c r="E226" s="47"/>
      <c r="G226" s="95"/>
      <c r="H226" s="95"/>
      <c r="I226" s="95"/>
      <c r="J226" s="95"/>
      <c r="K226" s="47"/>
      <c r="L226" s="46"/>
    </row>
    <row r="227" spans="1:12" ht="12.75">
      <c r="A227" s="95"/>
      <c r="B227" s="95"/>
      <c r="C227" s="95"/>
      <c r="D227" s="95"/>
      <c r="E227" s="47"/>
      <c r="G227" s="95"/>
      <c r="H227" s="95"/>
      <c r="I227" s="95"/>
      <c r="J227" s="95"/>
      <c r="K227" s="47"/>
      <c r="L227" s="46"/>
    </row>
    <row r="228" spans="1:12" ht="12.75">
      <c r="A228" s="95"/>
      <c r="B228" s="95"/>
      <c r="C228" s="95"/>
      <c r="D228" s="95"/>
      <c r="E228" s="47"/>
      <c r="G228" s="95"/>
      <c r="H228" s="95"/>
      <c r="I228" s="95"/>
      <c r="J228" s="95"/>
      <c r="K228" s="47"/>
      <c r="L228" s="46"/>
    </row>
    <row r="229" spans="2:11" ht="12.75">
      <c r="B229" s="95"/>
      <c r="C229" s="95"/>
      <c r="D229" s="95"/>
      <c r="E229" s="47"/>
      <c r="K229" s="173"/>
    </row>
    <row r="230" spans="1:11" ht="12.75">
      <c r="A230" s="95"/>
      <c r="B230" s="95"/>
      <c r="C230" s="95"/>
      <c r="D230" s="95"/>
      <c r="E230" s="47"/>
      <c r="K230" s="173"/>
    </row>
    <row r="231" spans="1:7" ht="12.75">
      <c r="A231" s="95"/>
      <c r="B231" s="95"/>
      <c r="C231" s="95"/>
      <c r="D231" s="95"/>
      <c r="E231" s="47"/>
      <c r="G231" s="7"/>
    </row>
    <row r="232" spans="1:7" ht="12.75">
      <c r="A232" s="95"/>
      <c r="B232" s="47"/>
      <c r="C232" s="47"/>
      <c r="D232" s="47"/>
      <c r="E232" s="47"/>
      <c r="G232" s="95"/>
    </row>
    <row r="233" spans="1:5" ht="12.75">
      <c r="A233" s="95"/>
      <c r="B233" s="47"/>
      <c r="C233" s="47"/>
      <c r="D233" s="47"/>
      <c r="E233" s="47"/>
    </row>
    <row r="234" spans="1:5" ht="12.75">
      <c r="A234" s="47"/>
      <c r="B234" s="47"/>
      <c r="C234" s="47"/>
      <c r="D234" s="47"/>
      <c r="E234" s="47"/>
    </row>
    <row r="235" spans="1:5" ht="12.75">
      <c r="A235" s="47"/>
      <c r="B235" s="47"/>
      <c r="C235" s="47"/>
      <c r="D235" s="47"/>
      <c r="E235" s="47"/>
    </row>
    <row r="236" spans="1:5" ht="12.75">
      <c r="A236" s="47"/>
      <c r="B236" s="47"/>
      <c r="C236" s="47"/>
      <c r="D236" s="47"/>
      <c r="E236" s="47"/>
    </row>
    <row r="237" spans="1:5" ht="12.75">
      <c r="A237" s="47"/>
      <c r="B237" s="47"/>
      <c r="C237" s="47"/>
      <c r="D237" s="47"/>
      <c r="E237" s="47"/>
    </row>
    <row r="238" spans="1:5" ht="12.75">
      <c r="A238" s="47"/>
      <c r="B238" s="47"/>
      <c r="C238" s="47"/>
      <c r="D238" s="47"/>
      <c r="E238" s="47"/>
    </row>
    <row r="239" spans="1:5" ht="12.75">
      <c r="A239" s="47"/>
      <c r="B239" s="47"/>
      <c r="C239" s="47"/>
      <c r="D239" s="47"/>
      <c r="E239" s="47"/>
    </row>
    <row r="240" spans="1:5" ht="12.75">
      <c r="A240" s="47"/>
      <c r="B240" s="47"/>
      <c r="C240" s="47"/>
      <c r="D240" s="47"/>
      <c r="E240" s="47"/>
    </row>
    <row r="241" spans="1:7" ht="12.75">
      <c r="A241" s="47"/>
      <c r="B241" s="47"/>
      <c r="C241" s="47"/>
      <c r="D241" s="47"/>
      <c r="E241" s="47"/>
      <c r="G241" s="7" t="s">
        <v>204</v>
      </c>
    </row>
    <row r="242" spans="1:5" ht="12.75">
      <c r="A242" s="47"/>
      <c r="B242" s="47"/>
      <c r="C242" s="47"/>
      <c r="D242" s="47"/>
      <c r="E242" s="47"/>
    </row>
    <row r="243" spans="1:5" ht="12.75">
      <c r="A243" s="47"/>
      <c r="B243" s="47"/>
      <c r="C243" s="47"/>
      <c r="D243" s="47"/>
      <c r="E243" s="47"/>
    </row>
    <row r="244" spans="1:5" ht="12.75">
      <c r="A244" s="47"/>
      <c r="B244" s="47"/>
      <c r="C244" s="47"/>
      <c r="D244" s="47"/>
      <c r="E244" s="47"/>
    </row>
    <row r="245" spans="1:5" ht="12.75">
      <c r="A245" s="47"/>
      <c r="B245" s="47"/>
      <c r="C245" s="47"/>
      <c r="D245" s="47"/>
      <c r="E245" s="47"/>
    </row>
    <row r="246" ht="12.75">
      <c r="G246" s="95" t="s">
        <v>87</v>
      </c>
    </row>
    <row r="247" ht="12.75">
      <c r="G247" s="95" t="s">
        <v>35</v>
      </c>
    </row>
  </sheetData>
  <mergeCells count="5">
    <mergeCell ref="G2:L2"/>
    <mergeCell ref="A4:F4"/>
    <mergeCell ref="G4:L4"/>
    <mergeCell ref="A5:F5"/>
    <mergeCell ref="G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323"/>
  <sheetViews>
    <sheetView workbookViewId="0" topLeftCell="H1">
      <selection activeCell="A6" sqref="A6"/>
    </sheetView>
  </sheetViews>
  <sheetFormatPr defaultColWidth="9.140625" defaultRowHeight="12.75"/>
  <cols>
    <col min="1" max="1" width="36.140625" style="2" hidden="1" customWidth="1"/>
    <col min="2" max="2" width="11.7109375" style="2" hidden="1" customWidth="1"/>
    <col min="3" max="4" width="11.421875" style="2" hidden="1" customWidth="1"/>
    <col min="5" max="5" width="9.140625" style="2" hidden="1" customWidth="1"/>
    <col min="6" max="6" width="8.28125" style="2" hidden="1" customWidth="1"/>
    <col min="7" max="7" width="10.28125" style="2" hidden="1" customWidth="1"/>
    <col min="8" max="8" width="32.8515625" style="2" customWidth="1"/>
    <col min="9" max="9" width="11.28125" style="2" customWidth="1"/>
    <col min="10" max="10" width="11.140625" style="2" customWidth="1"/>
    <col min="11" max="11" width="11.57421875" style="2" customWidth="1"/>
    <col min="12" max="12" width="11.421875" style="2" customWidth="1"/>
    <col min="13" max="13" width="11.7109375" style="2" customWidth="1"/>
    <col min="14" max="14" width="11.8515625" style="2" customWidth="1"/>
    <col min="15" max="16384" width="9.140625" style="2" customWidth="1"/>
  </cols>
  <sheetData>
    <row r="1" spans="1:14" ht="21" customHeight="1">
      <c r="A1" s="44" t="s">
        <v>88</v>
      </c>
      <c r="B1" s="44"/>
      <c r="C1" s="45"/>
      <c r="D1" s="45"/>
      <c r="E1" s="44"/>
      <c r="F1" s="44"/>
      <c r="G1" s="2" t="s">
        <v>89</v>
      </c>
      <c r="H1" s="44" t="s">
        <v>88</v>
      </c>
      <c r="I1" s="44"/>
      <c r="J1" s="45"/>
      <c r="K1" s="45"/>
      <c r="L1" s="44"/>
      <c r="M1" s="44"/>
      <c r="N1" s="4" t="s">
        <v>89</v>
      </c>
    </row>
    <row r="2" spans="1:11" ht="0.75" customHeight="1" hidden="1">
      <c r="A2" s="101"/>
      <c r="B2" s="101"/>
      <c r="C2" s="101"/>
      <c r="D2" s="101"/>
      <c r="H2" s="101"/>
      <c r="I2" s="101"/>
      <c r="J2" s="101"/>
      <c r="K2" s="101"/>
    </row>
    <row r="3" spans="1:11" ht="11.25" customHeight="1">
      <c r="A3" s="101"/>
      <c r="B3" s="101"/>
      <c r="C3" s="101"/>
      <c r="D3" s="101"/>
      <c r="H3" s="101"/>
      <c r="I3" s="101"/>
      <c r="J3" s="101"/>
      <c r="K3" s="101"/>
    </row>
    <row r="4" spans="1:14" ht="18.75" customHeight="1">
      <c r="A4" s="48" t="s">
        <v>90</v>
      </c>
      <c r="B4" s="49"/>
      <c r="C4" s="49"/>
      <c r="D4" s="49"/>
      <c r="E4" s="49"/>
      <c r="F4" s="49"/>
      <c r="H4" s="283" t="s">
        <v>90</v>
      </c>
      <c r="I4" s="283"/>
      <c r="J4" s="283"/>
      <c r="K4" s="283"/>
      <c r="L4" s="283"/>
      <c r="M4" s="283"/>
      <c r="N4" s="283"/>
    </row>
    <row r="5" spans="1:14" ht="20.25" customHeight="1">
      <c r="A5" s="48"/>
      <c r="B5" s="49"/>
      <c r="C5" s="49"/>
      <c r="D5" s="49"/>
      <c r="E5" s="49"/>
      <c r="F5" s="49"/>
      <c r="H5" s="283" t="s">
        <v>91</v>
      </c>
      <c r="I5" s="283"/>
      <c r="J5" s="283"/>
      <c r="K5" s="283"/>
      <c r="L5" s="283"/>
      <c r="M5" s="283"/>
      <c r="N5" s="283"/>
    </row>
    <row r="6" spans="1:14" ht="20.25">
      <c r="A6" s="48" t="s">
        <v>92</v>
      </c>
      <c r="B6" s="49"/>
      <c r="C6" s="49"/>
      <c r="D6" s="49"/>
      <c r="E6" s="49"/>
      <c r="F6" s="49"/>
      <c r="H6" s="283" t="s">
        <v>93</v>
      </c>
      <c r="I6" s="283"/>
      <c r="J6" s="283"/>
      <c r="K6" s="283"/>
      <c r="L6" s="283"/>
      <c r="M6" s="283"/>
      <c r="N6" s="283"/>
    </row>
    <row r="7" spans="1:14" ht="17.25" customHeight="1">
      <c r="A7" s="101"/>
      <c r="B7" s="101"/>
      <c r="C7" s="101"/>
      <c r="D7" s="101"/>
      <c r="G7" s="101"/>
      <c r="H7" s="101"/>
      <c r="I7" s="101"/>
      <c r="J7" s="101"/>
      <c r="K7" s="101"/>
      <c r="N7" s="51" t="s">
        <v>6</v>
      </c>
    </row>
    <row r="8" spans="1:14" ht="58.5" customHeight="1">
      <c r="A8" s="12" t="s">
        <v>7</v>
      </c>
      <c r="B8" s="12" t="s">
        <v>9</v>
      </c>
      <c r="C8" s="12" t="s">
        <v>53</v>
      </c>
      <c r="D8" s="12" t="s">
        <v>10</v>
      </c>
      <c r="E8" s="12" t="s">
        <v>94</v>
      </c>
      <c r="F8" s="12" t="s">
        <v>95</v>
      </c>
      <c r="G8" s="12" t="s">
        <v>96</v>
      </c>
      <c r="H8" s="12" t="s">
        <v>7</v>
      </c>
      <c r="I8" s="12" t="s">
        <v>9</v>
      </c>
      <c r="J8" s="12" t="s">
        <v>53</v>
      </c>
      <c r="K8" s="12" t="s">
        <v>10</v>
      </c>
      <c r="L8" s="12" t="s">
        <v>94</v>
      </c>
      <c r="M8" s="12" t="s">
        <v>95</v>
      </c>
      <c r="N8" s="12" t="s">
        <v>96</v>
      </c>
    </row>
    <row r="9" spans="1:14" ht="12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1</v>
      </c>
      <c r="I9" s="12">
        <v>2</v>
      </c>
      <c r="J9" s="12">
        <v>3</v>
      </c>
      <c r="K9" s="12">
        <v>4</v>
      </c>
      <c r="L9" s="12">
        <v>5</v>
      </c>
      <c r="M9" s="12">
        <v>6</v>
      </c>
      <c r="N9" s="12">
        <v>7</v>
      </c>
    </row>
    <row r="10" spans="1:14" ht="18.75" customHeight="1">
      <c r="A10" s="53" t="s">
        <v>97</v>
      </c>
      <c r="B10" s="54">
        <f>SUM(B11:B12)</f>
        <v>810358111</v>
      </c>
      <c r="C10" s="54">
        <f>SUM(C11:C12)</f>
        <v>295075038</v>
      </c>
      <c r="D10" s="54">
        <f>SUM(D11:D12)</f>
        <v>274469000</v>
      </c>
      <c r="E10" s="102">
        <f>IF(ISERROR(D10/B10)," ",(D10/B10))</f>
        <v>0.3387008734463077</v>
      </c>
      <c r="F10" s="102">
        <f>IF(ISERROR(D10/C10)," ",(D10/C10))</f>
        <v>0.9301667869309908</v>
      </c>
      <c r="G10" s="54">
        <f>SUM(G11:G12)</f>
        <v>59094000</v>
      </c>
      <c r="H10" s="53" t="s">
        <v>97</v>
      </c>
      <c r="I10" s="103">
        <f>SUM(I11:I12)</f>
        <v>810358</v>
      </c>
      <c r="J10" s="103">
        <f>SUM(J11:J12)</f>
        <v>295075</v>
      </c>
      <c r="K10" s="103">
        <f>SUM(K11:K12)</f>
        <v>274469</v>
      </c>
      <c r="L10" s="104">
        <f>IF(ISERROR(ROUND(K10,0)/ROUND(I10,0))," ",(ROUND(K10,)/ROUND(I10,)))</f>
        <v>0.3387009198403669</v>
      </c>
      <c r="M10" s="104">
        <f>IF(ISERROR(ROUND(K10,0)/ROUND(J10,0))," ",(ROUND(K10,)/ROUND(J10,)))</f>
        <v>0.9301669067186309</v>
      </c>
      <c r="N10" s="103">
        <f>SUM(N11:N12)</f>
        <v>59094</v>
      </c>
    </row>
    <row r="11" spans="1:14" ht="22.5" customHeight="1">
      <c r="A11" s="31" t="s">
        <v>98</v>
      </c>
      <c r="B11" s="52">
        <v>775745348</v>
      </c>
      <c r="C11" s="59">
        <f>187331427+14457897+14735328+17075341+31727605+22905386</f>
        <v>288232984</v>
      </c>
      <c r="D11" s="52">
        <v>269652000</v>
      </c>
      <c r="E11" s="27">
        <f aca="true" t="shared" si="0" ref="E11:E16">IF(ISERROR(D11/B11)," ",(D11/B11))</f>
        <v>0.34760376029995865</v>
      </c>
      <c r="F11" s="27">
        <f aca="true" t="shared" si="1" ref="F11:F16">IF(ISERROR(D11/C11)," ",(D11/C11))</f>
        <v>0.9355348449641697</v>
      </c>
      <c r="G11" s="29">
        <f>D11-'[2]Aprīlis'!D11</f>
        <v>80801000</v>
      </c>
      <c r="H11" s="31" t="s">
        <v>98</v>
      </c>
      <c r="I11" s="105">
        <f aca="true" t="shared" si="2" ref="I11:K12">ROUND(B11/1000,0)</f>
        <v>775745</v>
      </c>
      <c r="J11" s="105">
        <f t="shared" si="2"/>
        <v>288233</v>
      </c>
      <c r="K11" s="105">
        <f t="shared" si="2"/>
        <v>269652</v>
      </c>
      <c r="L11" s="27">
        <f aca="true" t="shared" si="3" ref="L11:L16">IF(ISERROR(ROUND(K11,0)/ROUND(I11,0))," ",(ROUND(K11,)/ROUND(I11,)))</f>
        <v>0.34760391623536085</v>
      </c>
      <c r="M11" s="27">
        <f aca="true" t="shared" si="4" ref="M11:M16">IF(ISERROR(ROUND(K11,0)/ROUND(J11,0))," ",(ROUND(K11,)/ROUND(J11,)))</f>
        <v>0.9355347930320261</v>
      </c>
      <c r="N11" s="105">
        <f>K11-'[2]Aprīlis'!K11</f>
        <v>80801</v>
      </c>
    </row>
    <row r="12" spans="1:14" ht="15.75" customHeight="1">
      <c r="A12" s="31" t="s">
        <v>99</v>
      </c>
      <c r="B12" s="52">
        <v>34612763</v>
      </c>
      <c r="C12" s="59">
        <f>508000+508000+509000+4086631+1230423</f>
        <v>6842054</v>
      </c>
      <c r="D12" s="52">
        <v>4817000</v>
      </c>
      <c r="E12" s="27">
        <f t="shared" si="0"/>
        <v>0.13916831776763963</v>
      </c>
      <c r="F12" s="27">
        <f t="shared" si="1"/>
        <v>0.7040283517201121</v>
      </c>
      <c r="G12" s="29">
        <f>D12-'[2]Aprīlis'!D12</f>
        <v>-21707000</v>
      </c>
      <c r="H12" s="31" t="s">
        <v>99</v>
      </c>
      <c r="I12" s="105">
        <f t="shared" si="2"/>
        <v>34613</v>
      </c>
      <c r="J12" s="105">
        <f t="shared" si="2"/>
        <v>6842</v>
      </c>
      <c r="K12" s="105">
        <f t="shared" si="2"/>
        <v>4817</v>
      </c>
      <c r="L12" s="27">
        <f t="shared" si="3"/>
        <v>0.13916736486291278</v>
      </c>
      <c r="M12" s="27">
        <f t="shared" si="4"/>
        <v>0.7040339082139725</v>
      </c>
      <c r="N12" s="105">
        <f>K12-'[2]Aprīlis'!K12</f>
        <v>-21707</v>
      </c>
    </row>
    <row r="13" spans="1:14" ht="21.75" customHeight="1">
      <c r="A13" s="53" t="s">
        <v>100</v>
      </c>
      <c r="B13" s="62">
        <f>SUM(B14,B40)</f>
        <v>870883731</v>
      </c>
      <c r="C13" s="62">
        <f>SUM(C14,C40)</f>
        <v>329881791</v>
      </c>
      <c r="D13" s="62">
        <f>SUM(D14,D40)</f>
        <v>307810862</v>
      </c>
      <c r="E13" s="102">
        <f t="shared" si="0"/>
        <v>0.35344656358036847</v>
      </c>
      <c r="F13" s="102">
        <f t="shared" si="1"/>
        <v>0.9330944307865723</v>
      </c>
      <c r="G13" s="62">
        <f>SUM(G14,G40)</f>
        <v>72206348</v>
      </c>
      <c r="H13" s="53" t="s">
        <v>100</v>
      </c>
      <c r="I13" s="106">
        <f>SUM(I14,I40)</f>
        <v>870884</v>
      </c>
      <c r="J13" s="106">
        <f>SUM(J14,J40)</f>
        <v>329881</v>
      </c>
      <c r="K13" s="106">
        <f>SUM(K14,K40)</f>
        <v>307811</v>
      </c>
      <c r="L13" s="104">
        <f t="shared" si="3"/>
        <v>0.353446612866926</v>
      </c>
      <c r="M13" s="104">
        <f t="shared" si="4"/>
        <v>0.9330970865251409</v>
      </c>
      <c r="N13" s="106">
        <f>SUM(N14,N40)</f>
        <v>72206</v>
      </c>
    </row>
    <row r="14" spans="1:14" ht="20.25" customHeight="1">
      <c r="A14" s="63" t="s">
        <v>62</v>
      </c>
      <c r="B14" s="16">
        <f>SUM(B15,B24,B27)</f>
        <v>804930855</v>
      </c>
      <c r="C14" s="16">
        <f>SUM(C15,C24,C27)</f>
        <v>311799858</v>
      </c>
      <c r="D14" s="16">
        <f>SUM(D15,D24,D27)</f>
        <v>296345022</v>
      </c>
      <c r="E14" s="102">
        <f t="shared" si="0"/>
        <v>0.368162085176869</v>
      </c>
      <c r="F14" s="102">
        <f t="shared" si="1"/>
        <v>0.9504334732570661</v>
      </c>
      <c r="G14" s="16">
        <f>SUM(G15,G24,G27)</f>
        <v>67290773</v>
      </c>
      <c r="H14" s="63" t="s">
        <v>62</v>
      </c>
      <c r="I14" s="107">
        <f>SUM(I15,I24,I27)</f>
        <v>804931</v>
      </c>
      <c r="J14" s="107">
        <f>SUM(J15,J24,J27)</f>
        <v>311799</v>
      </c>
      <c r="K14" s="107">
        <f>SUM(K15,K24,K27)</f>
        <v>296345</v>
      </c>
      <c r="L14" s="104">
        <f t="shared" si="3"/>
        <v>0.3681619915247394</v>
      </c>
      <c r="M14" s="104">
        <f t="shared" si="4"/>
        <v>0.9504360180757475</v>
      </c>
      <c r="N14" s="107">
        <f>SUM(N15,N24,N27)</f>
        <v>67290</v>
      </c>
    </row>
    <row r="15" spans="1:14" ht="18.75" customHeight="1">
      <c r="A15" s="64" t="s">
        <v>63</v>
      </c>
      <c r="B15" s="108">
        <v>137219699</v>
      </c>
      <c r="C15" s="108">
        <f>499787+500727+381090+589889+434889+6037683+4148965+6838712+11375080+6721405</f>
        <v>37528227</v>
      </c>
      <c r="D15" s="108">
        <f>SUM(D16,D17,D18,D23)</f>
        <v>32060218</v>
      </c>
      <c r="E15" s="102">
        <f t="shared" si="0"/>
        <v>0.23364151236040825</v>
      </c>
      <c r="F15" s="102">
        <f t="shared" si="1"/>
        <v>0.854296100905593</v>
      </c>
      <c r="G15" s="108">
        <f>SUM(G16,G17,G18,G23)</f>
        <v>-3172606</v>
      </c>
      <c r="H15" s="64" t="s">
        <v>63</v>
      </c>
      <c r="I15" s="109">
        <f>ROUND(B15/1000,0)</f>
        <v>137220</v>
      </c>
      <c r="J15" s="109">
        <f>ROUND(C15/1000,0)</f>
        <v>37528</v>
      </c>
      <c r="K15" s="110">
        <f>SUM(K16,K17,K18,K23)</f>
        <v>32061</v>
      </c>
      <c r="L15" s="102">
        <f t="shared" si="3"/>
        <v>0.23364669873196328</v>
      </c>
      <c r="M15" s="102">
        <f t="shared" si="4"/>
        <v>0.8543221061607333</v>
      </c>
      <c r="N15" s="111">
        <f>SUM(N16,N17,N18,N23)</f>
        <v>-3172</v>
      </c>
    </row>
    <row r="16" spans="1:14" ht="12.75">
      <c r="A16" s="24" t="s">
        <v>64</v>
      </c>
      <c r="B16" s="112">
        <v>19960471</v>
      </c>
      <c r="C16" s="112">
        <f>7037+7037+7037+18086+15000+746828+746828+746828+2182103+1130460</f>
        <v>5607244</v>
      </c>
      <c r="D16" s="112">
        <v>5277832</v>
      </c>
      <c r="E16" s="27">
        <f t="shared" si="0"/>
        <v>0.2644142014484528</v>
      </c>
      <c r="F16" s="27">
        <f t="shared" si="1"/>
        <v>0.9412524227588456</v>
      </c>
      <c r="G16" s="29">
        <f>D16-'[2]Aprīlis'!D16</f>
        <v>1380872</v>
      </c>
      <c r="H16" s="24" t="s">
        <v>64</v>
      </c>
      <c r="I16" s="113">
        <f>ROUND(B16/1000,0)</f>
        <v>19960</v>
      </c>
      <c r="J16" s="113">
        <f>ROUND(C16/1000,0)</f>
        <v>5607</v>
      </c>
      <c r="K16" s="105">
        <f>ROUND(D16/1000,0)</f>
        <v>5278</v>
      </c>
      <c r="L16" s="27">
        <f t="shared" si="3"/>
        <v>0.26442885771543084</v>
      </c>
      <c r="M16" s="27">
        <f t="shared" si="4"/>
        <v>0.9413233458177278</v>
      </c>
      <c r="N16" s="105">
        <f>K16-'[2]Aprīlis'!K16</f>
        <v>1381</v>
      </c>
    </row>
    <row r="17" spans="1:14" ht="22.5">
      <c r="A17" s="31" t="s">
        <v>101</v>
      </c>
      <c r="B17" s="70" t="s">
        <v>59</v>
      </c>
      <c r="C17" s="70" t="s">
        <v>59</v>
      </c>
      <c r="D17" s="112">
        <v>1423621</v>
      </c>
      <c r="E17" s="114" t="s">
        <v>59</v>
      </c>
      <c r="F17" s="70" t="s">
        <v>59</v>
      </c>
      <c r="G17" s="29">
        <f>D17-'[2]Aprīlis'!D17</f>
        <v>387684</v>
      </c>
      <c r="H17" s="31" t="s">
        <v>101</v>
      </c>
      <c r="I17" s="115" t="s">
        <v>59</v>
      </c>
      <c r="J17" s="115" t="s">
        <v>59</v>
      </c>
      <c r="K17" s="105">
        <f aca="true" t="shared" si="5" ref="K17:K22">ROUND(D17/1000,0)</f>
        <v>1424</v>
      </c>
      <c r="L17" s="114" t="s">
        <v>59</v>
      </c>
      <c r="M17" s="70" t="s">
        <v>59</v>
      </c>
      <c r="N17" s="105">
        <f>K17-'[2]Aprīlis'!K17</f>
        <v>388</v>
      </c>
    </row>
    <row r="18" spans="1:14" ht="12.75">
      <c r="A18" s="31" t="s">
        <v>66</v>
      </c>
      <c r="B18" s="70" t="s">
        <v>59</v>
      </c>
      <c r="C18" s="70" t="s">
        <v>59</v>
      </c>
      <c r="D18" s="112">
        <f>SUM(D19:D22)</f>
        <v>24636370</v>
      </c>
      <c r="E18" s="114" t="s">
        <v>59</v>
      </c>
      <c r="F18" s="70" t="s">
        <v>59</v>
      </c>
      <c r="G18" s="29">
        <f>D18-'[2]Aprīlis'!D18</f>
        <v>-4954912</v>
      </c>
      <c r="H18" s="31" t="s">
        <v>66</v>
      </c>
      <c r="I18" s="115" t="s">
        <v>59</v>
      </c>
      <c r="J18" s="115" t="s">
        <v>59</v>
      </c>
      <c r="K18" s="105">
        <f t="shared" si="5"/>
        <v>24636</v>
      </c>
      <c r="L18" s="114" t="s">
        <v>59</v>
      </c>
      <c r="M18" s="70" t="s">
        <v>59</v>
      </c>
      <c r="N18" s="105">
        <f>K18-'[2]Aprīlis'!K18</f>
        <v>-4955</v>
      </c>
    </row>
    <row r="19" spans="1:14" s="120" customFormat="1" ht="22.5" customHeight="1">
      <c r="A19" s="72" t="s">
        <v>67</v>
      </c>
      <c r="B19" s="73" t="s">
        <v>59</v>
      </c>
      <c r="C19" s="73" t="s">
        <v>59</v>
      </c>
      <c r="D19" s="116">
        <v>18845095</v>
      </c>
      <c r="E19" s="117" t="s">
        <v>59</v>
      </c>
      <c r="F19" s="73" t="s">
        <v>59</v>
      </c>
      <c r="G19" s="29">
        <f>D19-'[2]Aprīlis'!D19</f>
        <v>-8636976</v>
      </c>
      <c r="H19" s="72" t="s">
        <v>67</v>
      </c>
      <c r="I19" s="118" t="s">
        <v>59</v>
      </c>
      <c r="J19" s="118" t="s">
        <v>59</v>
      </c>
      <c r="K19" s="119">
        <f t="shared" si="5"/>
        <v>18845</v>
      </c>
      <c r="L19" s="117" t="s">
        <v>59</v>
      </c>
      <c r="M19" s="73" t="s">
        <v>59</v>
      </c>
      <c r="N19" s="105">
        <f>K19-'[2]Aprīlis'!K19</f>
        <v>-8637</v>
      </c>
    </row>
    <row r="20" spans="1:14" s="120" customFormat="1" ht="18.75" customHeight="1">
      <c r="A20" s="72" t="s">
        <v>102</v>
      </c>
      <c r="B20" s="121">
        <v>48012000</v>
      </c>
      <c r="C20" s="73" t="s">
        <v>59</v>
      </c>
      <c r="D20" s="116">
        <f>3321619-400399</f>
        <v>2921220</v>
      </c>
      <c r="E20" s="122">
        <f>IF(ISERROR(D20/B20)," ",(D20/B20))</f>
        <v>0.060843539115221196</v>
      </c>
      <c r="F20" s="123" t="s">
        <v>59</v>
      </c>
      <c r="G20" s="29">
        <f>D20-'[2]Aprīlis'!D20</f>
        <v>2921220</v>
      </c>
      <c r="H20" s="72" t="s">
        <v>102</v>
      </c>
      <c r="I20" s="118"/>
      <c r="J20" s="118" t="s">
        <v>59</v>
      </c>
      <c r="K20" s="119">
        <f t="shared" si="5"/>
        <v>2921</v>
      </c>
      <c r="L20" s="122" t="str">
        <f>IF(ISERROR(ROUND(K20,0)/ROUND(I20,0))," ",(ROUND(K20,)/ROUND(I20,)))</f>
        <v> </v>
      </c>
      <c r="M20" s="123" t="s">
        <v>59</v>
      </c>
      <c r="N20" s="105">
        <f>K20-'[2]Aprīlis'!K20</f>
        <v>2921</v>
      </c>
    </row>
    <row r="21" spans="1:14" s="120" customFormat="1" ht="25.5" customHeight="1">
      <c r="A21" s="72" t="s">
        <v>103</v>
      </c>
      <c r="B21" s="121">
        <v>8578000</v>
      </c>
      <c r="C21" s="73" t="s">
        <v>59</v>
      </c>
      <c r="D21" s="116">
        <v>2100000</v>
      </c>
      <c r="E21" s="122">
        <f>IF(ISERROR(D21/B21)," ",(D21/B21))</f>
        <v>0.24481231056190253</v>
      </c>
      <c r="F21" s="73" t="s">
        <v>59</v>
      </c>
      <c r="G21" s="29">
        <f>D21-'[2]Aprīlis'!D21</f>
        <v>2100000</v>
      </c>
      <c r="H21" s="72" t="s">
        <v>103</v>
      </c>
      <c r="I21" s="119">
        <f>ROUND(B21/1000,0)</f>
        <v>8578</v>
      </c>
      <c r="J21" s="118" t="s">
        <v>59</v>
      </c>
      <c r="K21" s="119">
        <f t="shared" si="5"/>
        <v>2100</v>
      </c>
      <c r="L21" s="122">
        <f>IF(ISERROR(ROUND(K21,0)/ROUND(I21,0))," ",(ROUND(K21,)/ROUND(I21,)))</f>
        <v>0.24481231056190253</v>
      </c>
      <c r="M21" s="73" t="s">
        <v>59</v>
      </c>
      <c r="N21" s="105">
        <f>K21-'[2]Aprīlis'!K21</f>
        <v>2100</v>
      </c>
    </row>
    <row r="22" spans="1:14" s="120" customFormat="1" ht="12.75">
      <c r="A22" s="72" t="s">
        <v>104</v>
      </c>
      <c r="B22" s="73" t="s">
        <v>59</v>
      </c>
      <c r="C22" s="73" t="s">
        <v>59</v>
      </c>
      <c r="D22" s="116">
        <v>770055</v>
      </c>
      <c r="E22" s="117" t="s">
        <v>59</v>
      </c>
      <c r="F22" s="73" t="s">
        <v>59</v>
      </c>
      <c r="G22" s="29">
        <f>D22-'[2]Aprīlis'!D22</f>
        <v>-1339156</v>
      </c>
      <c r="H22" s="72" t="s">
        <v>104</v>
      </c>
      <c r="I22" s="118" t="s">
        <v>59</v>
      </c>
      <c r="J22" s="118" t="s">
        <v>59</v>
      </c>
      <c r="K22" s="119">
        <f t="shared" si="5"/>
        <v>770</v>
      </c>
      <c r="L22" s="117" t="s">
        <v>59</v>
      </c>
      <c r="M22" s="73" t="s">
        <v>59</v>
      </c>
      <c r="N22" s="105">
        <f>K22-'[2]Aprīlis'!K22</f>
        <v>-1339</v>
      </c>
    </row>
    <row r="23" spans="1:14" ht="12.75">
      <c r="A23" s="31" t="s">
        <v>69</v>
      </c>
      <c r="B23" s="70" t="s">
        <v>59</v>
      </c>
      <c r="C23" s="70" t="s">
        <v>59</v>
      </c>
      <c r="D23" s="112">
        <v>722395</v>
      </c>
      <c r="E23" s="114" t="s">
        <v>59</v>
      </c>
      <c r="F23" s="70" t="s">
        <v>59</v>
      </c>
      <c r="G23" s="29">
        <f>D23-'[2]Aprīlis'!D23</f>
        <v>13750</v>
      </c>
      <c r="H23" s="31" t="s">
        <v>69</v>
      </c>
      <c r="I23" s="115" t="s">
        <v>59</v>
      </c>
      <c r="J23" s="115" t="s">
        <v>59</v>
      </c>
      <c r="K23" s="105">
        <f>ROUND(D23/1000,0)+1</f>
        <v>723</v>
      </c>
      <c r="L23" s="114" t="s">
        <v>59</v>
      </c>
      <c r="M23" s="70" t="s">
        <v>59</v>
      </c>
      <c r="N23" s="105">
        <f>K23-'[2]Aprīlis'!K23</f>
        <v>14</v>
      </c>
    </row>
    <row r="24" spans="1:14" ht="26.25" customHeight="1">
      <c r="A24" s="77" t="s">
        <v>70</v>
      </c>
      <c r="B24" s="112">
        <v>3475250</v>
      </c>
      <c r="C24" s="112">
        <f>90000+95000+13929+784886+18288+55181+82028</f>
        <v>1139312</v>
      </c>
      <c r="D24" s="112">
        <f>SUM(D25:D26)</f>
        <v>789850</v>
      </c>
      <c r="E24" s="27">
        <f>IF(ISERROR(D24/B24)," ",(D24/B24))</f>
        <v>0.2272786130494209</v>
      </c>
      <c r="F24" s="27">
        <f>IF(ISERROR(D24/C24)," ",(D24/C24))</f>
        <v>0.693269271279509</v>
      </c>
      <c r="G24" s="112">
        <f>SUM(G25:G26)</f>
        <v>74531</v>
      </c>
      <c r="H24" s="77" t="s">
        <v>70</v>
      </c>
      <c r="I24" s="109">
        <f>ROUND(B24/1000,0)</f>
        <v>3475</v>
      </c>
      <c r="J24" s="109">
        <f>ROUND(C24/1000,0)</f>
        <v>1139</v>
      </c>
      <c r="K24" s="110">
        <f>SUM(K25:K26)</f>
        <v>790</v>
      </c>
      <c r="L24" s="102">
        <f>IF(ISERROR(ROUND(K24,0)/ROUND(I24,0))," ",(ROUND(K24,)/ROUND(I24,)))</f>
        <v>0.2273381294964029</v>
      </c>
      <c r="M24" s="102">
        <f>IF(ISERROR(ROUND(K24,0)/ROUND(J24,0))," ",(ROUND(K24,)/ROUND(J24,)))</f>
        <v>0.6935908691834943</v>
      </c>
      <c r="N24" s="110">
        <f>SUM(N25:N26)</f>
        <v>74</v>
      </c>
    </row>
    <row r="25" spans="1:14" ht="23.25" customHeight="1">
      <c r="A25" s="31" t="s">
        <v>105</v>
      </c>
      <c r="B25" s="70" t="s">
        <v>59</v>
      </c>
      <c r="C25" s="70" t="s">
        <v>59</v>
      </c>
      <c r="D25" s="112">
        <v>295588</v>
      </c>
      <c r="E25" s="114" t="s">
        <v>59</v>
      </c>
      <c r="F25" s="70" t="s">
        <v>59</v>
      </c>
      <c r="G25" s="29">
        <f>D25-'[2]Aprīlis'!D25</f>
        <v>33786</v>
      </c>
      <c r="H25" s="31" t="s">
        <v>105</v>
      </c>
      <c r="I25" s="115" t="s">
        <v>59</v>
      </c>
      <c r="J25" s="115" t="s">
        <v>59</v>
      </c>
      <c r="K25" s="105">
        <f>ROUND(D25/1000,0)</f>
        <v>296</v>
      </c>
      <c r="L25" s="114" t="s">
        <v>59</v>
      </c>
      <c r="M25" s="70" t="s">
        <v>59</v>
      </c>
      <c r="N25" s="105">
        <f>K25-'[2]Aprīlis'!K25</f>
        <v>34</v>
      </c>
    </row>
    <row r="26" spans="1:14" ht="24.75" customHeight="1">
      <c r="A26" s="31" t="s">
        <v>106</v>
      </c>
      <c r="B26" s="70" t="s">
        <v>59</v>
      </c>
      <c r="C26" s="70" t="s">
        <v>59</v>
      </c>
      <c r="D26" s="112">
        <v>494262</v>
      </c>
      <c r="E26" s="114" t="s">
        <v>59</v>
      </c>
      <c r="F26" s="70" t="s">
        <v>59</v>
      </c>
      <c r="G26" s="29">
        <f>D26-'[2]Aprīlis'!D26</f>
        <v>40745</v>
      </c>
      <c r="H26" s="31" t="s">
        <v>106</v>
      </c>
      <c r="I26" s="115" t="s">
        <v>59</v>
      </c>
      <c r="J26" s="115" t="s">
        <v>59</v>
      </c>
      <c r="K26" s="105">
        <f>ROUND(D26/1000,0)</f>
        <v>494</v>
      </c>
      <c r="L26" s="114" t="s">
        <v>59</v>
      </c>
      <c r="M26" s="70" t="s">
        <v>59</v>
      </c>
      <c r="N26" s="105">
        <f>K26-'[2]Aprīlis'!K26</f>
        <v>40</v>
      </c>
    </row>
    <row r="27" spans="1:14" ht="16.5" customHeight="1">
      <c r="A27" s="78" t="s">
        <v>73</v>
      </c>
      <c r="B27" s="112">
        <v>664235906</v>
      </c>
      <c r="C27" s="112">
        <f>37328650+41271350+45237942+39713819+43384196+10681028+9108475+10003436+21729546+14673877</f>
        <v>273132319</v>
      </c>
      <c r="D27" s="112">
        <f>SUM(D28,D29,D30,D31,D34,D39)</f>
        <v>263494954</v>
      </c>
      <c r="E27" s="27">
        <f>IF(ISERROR(D27/B27)," ",(D27/B27))</f>
        <v>0.39668881435024383</v>
      </c>
      <c r="F27" s="27">
        <f>IF(ISERROR(D27/C27)," ",(D27/C27))</f>
        <v>0.9647153986196705</v>
      </c>
      <c r="G27" s="124">
        <f>SUM(G28,G29,G30,G31,G34,G39)</f>
        <v>70388848</v>
      </c>
      <c r="H27" s="78" t="s">
        <v>73</v>
      </c>
      <c r="I27" s="109">
        <f>ROUND(B27/1000,0)</f>
        <v>664236</v>
      </c>
      <c r="J27" s="109">
        <f>ROUND(C27/1000,0)</f>
        <v>273132</v>
      </c>
      <c r="K27" s="110">
        <f>SUM(K28,K29,K30,K31,K34,K39)</f>
        <v>263494</v>
      </c>
      <c r="L27" s="102">
        <f>IF(ISERROR(ROUND(K27,0)/ROUND(I27,0))," ",(ROUND(K27,)/ROUND(I27,)))</f>
        <v>0.3966873219759242</v>
      </c>
      <c r="M27" s="102">
        <f>IF(ISERROR(ROUND(K27,0)/ROUND(J27,0))," ",(ROUND(K27,)/ROUND(J27,)))</f>
        <v>0.9647130325263975</v>
      </c>
      <c r="N27" s="110">
        <f>SUM(N28,N29,N30,N31,N34,N39)</f>
        <v>70388</v>
      </c>
    </row>
    <row r="28" spans="1:14" ht="15.75" customHeight="1">
      <c r="A28" s="24" t="s">
        <v>74</v>
      </c>
      <c r="B28" s="70" t="s">
        <v>59</v>
      </c>
      <c r="C28" s="70" t="s">
        <v>59</v>
      </c>
      <c r="D28" s="112">
        <v>1216191</v>
      </c>
      <c r="E28" s="114" t="s">
        <v>59</v>
      </c>
      <c r="F28" s="70" t="s">
        <v>59</v>
      </c>
      <c r="G28" s="29">
        <f>D28-'[2]Aprīlis'!D28</f>
        <v>202397</v>
      </c>
      <c r="H28" s="24" t="s">
        <v>74</v>
      </c>
      <c r="I28" s="115" t="s">
        <v>59</v>
      </c>
      <c r="J28" s="115" t="s">
        <v>59</v>
      </c>
      <c r="K28" s="105">
        <f>ROUND(D28/1000,0)</f>
        <v>1216</v>
      </c>
      <c r="L28" s="114" t="s">
        <v>59</v>
      </c>
      <c r="M28" s="70" t="s">
        <v>59</v>
      </c>
      <c r="N28" s="105">
        <f>K28-'[2]Aprīlis'!K28</f>
        <v>202</v>
      </c>
    </row>
    <row r="29" spans="1:14" ht="15.75" customHeight="1">
      <c r="A29" s="24" t="s">
        <v>75</v>
      </c>
      <c r="B29" s="70" t="s">
        <v>59</v>
      </c>
      <c r="C29" s="70" t="s">
        <v>59</v>
      </c>
      <c r="D29" s="112">
        <v>4493601</v>
      </c>
      <c r="E29" s="114" t="s">
        <v>59</v>
      </c>
      <c r="F29" s="70" t="s">
        <v>59</v>
      </c>
      <c r="G29" s="29">
        <f>D29-'[2]Aprīlis'!D29</f>
        <v>4493601</v>
      </c>
      <c r="H29" s="24" t="s">
        <v>75</v>
      </c>
      <c r="I29" s="115" t="s">
        <v>59</v>
      </c>
      <c r="J29" s="115" t="s">
        <v>59</v>
      </c>
      <c r="K29" s="105">
        <f>ROUND(D29/1000,0)</f>
        <v>4494</v>
      </c>
      <c r="L29" s="114" t="s">
        <v>59</v>
      </c>
      <c r="M29" s="70" t="s">
        <v>59</v>
      </c>
      <c r="N29" s="105">
        <f>K29-'[2]Aprīlis'!K29</f>
        <v>4494</v>
      </c>
    </row>
    <row r="30" spans="1:14" ht="17.25" customHeight="1">
      <c r="A30" s="31" t="s">
        <v>76</v>
      </c>
      <c r="B30" s="70" t="s">
        <v>59</v>
      </c>
      <c r="C30" s="70" t="s">
        <v>59</v>
      </c>
      <c r="D30" s="112"/>
      <c r="E30" s="114" t="s">
        <v>59</v>
      </c>
      <c r="F30" s="70" t="s">
        <v>59</v>
      </c>
      <c r="G30" s="29">
        <f>D30-'[2]Aprīlis'!D30</f>
        <v>-6189847</v>
      </c>
      <c r="H30" s="31" t="s">
        <v>76</v>
      </c>
      <c r="I30" s="115" t="s">
        <v>59</v>
      </c>
      <c r="J30" s="115" t="s">
        <v>59</v>
      </c>
      <c r="K30" s="105">
        <f>ROUND(D30/1000,0)</f>
        <v>0</v>
      </c>
      <c r="L30" s="114" t="s">
        <v>59</v>
      </c>
      <c r="M30" s="70" t="s">
        <v>59</v>
      </c>
      <c r="N30" s="105">
        <f>K30-'[2]Aprīlis'!K30</f>
        <v>-6190</v>
      </c>
    </row>
    <row r="31" spans="1:14" ht="12.75">
      <c r="A31" s="31" t="s">
        <v>107</v>
      </c>
      <c r="B31" s="70" t="s">
        <v>59</v>
      </c>
      <c r="C31" s="70" t="s">
        <v>59</v>
      </c>
      <c r="D31" s="112">
        <f>SUM(D32:D33)</f>
        <v>58226921</v>
      </c>
      <c r="E31" s="114" t="s">
        <v>59</v>
      </c>
      <c r="F31" s="70" t="s">
        <v>59</v>
      </c>
      <c r="G31" s="112">
        <f>SUM(G32:G33)</f>
        <v>34152921</v>
      </c>
      <c r="H31" s="31" t="s">
        <v>107</v>
      </c>
      <c r="I31" s="115" t="s">
        <v>59</v>
      </c>
      <c r="J31" s="115" t="s">
        <v>59</v>
      </c>
      <c r="K31" s="125">
        <f>SUM(K32:K33)</f>
        <v>58226</v>
      </c>
      <c r="L31" s="114" t="s">
        <v>59</v>
      </c>
      <c r="M31" s="70" t="s">
        <v>59</v>
      </c>
      <c r="N31" s="125">
        <f>SUM(N32:N33)</f>
        <v>34152</v>
      </c>
    </row>
    <row r="32" spans="1:14" s="120" customFormat="1" ht="26.25" customHeight="1">
      <c r="A32" s="72" t="s">
        <v>108</v>
      </c>
      <c r="B32" s="121">
        <v>1201200</v>
      </c>
      <c r="C32" s="73" t="s">
        <v>59</v>
      </c>
      <c r="D32" s="116">
        <v>400399</v>
      </c>
      <c r="E32" s="27">
        <f>IF(ISERROR(D32/B32)," ",(D32/B32))</f>
        <v>0.3333325008325008</v>
      </c>
      <c r="F32" s="73" t="s">
        <v>59</v>
      </c>
      <c r="G32" s="29">
        <f>D32-'[2]Aprīlis'!D32</f>
        <v>75399</v>
      </c>
      <c r="H32" s="72" t="s">
        <v>108</v>
      </c>
      <c r="I32" s="119">
        <f>ROUND(B32/1000,0)</f>
        <v>1201</v>
      </c>
      <c r="J32" s="118" t="s">
        <v>59</v>
      </c>
      <c r="K32" s="119">
        <f>ROUND(D32/1000,0)</f>
        <v>400</v>
      </c>
      <c r="L32" s="122">
        <f>IF(ISERROR(ROUND(K32,0)/ROUND(I32,0))," ",(ROUND(K32,)/ROUND(I32,)))</f>
        <v>0.33305578684429643</v>
      </c>
      <c r="M32" s="73" t="s">
        <v>59</v>
      </c>
      <c r="N32" s="105">
        <f>K32-'[2]Aprīlis'!K32</f>
        <v>75</v>
      </c>
    </row>
    <row r="33" spans="1:14" s="120" customFormat="1" ht="12.75">
      <c r="A33" s="72" t="s">
        <v>109</v>
      </c>
      <c r="B33" s="73" t="s">
        <v>59</v>
      </c>
      <c r="C33" s="73" t="s">
        <v>59</v>
      </c>
      <c r="D33" s="116">
        <f>53064959+4761563</f>
        <v>57826522</v>
      </c>
      <c r="E33" s="117" t="s">
        <v>59</v>
      </c>
      <c r="F33" s="73" t="s">
        <v>59</v>
      </c>
      <c r="G33" s="29">
        <f>D33-'[2]Aprīlis'!D33</f>
        <v>34077522</v>
      </c>
      <c r="H33" s="72" t="s">
        <v>109</v>
      </c>
      <c r="I33" s="118" t="s">
        <v>59</v>
      </c>
      <c r="J33" s="118" t="s">
        <v>59</v>
      </c>
      <c r="K33" s="119">
        <f>ROUND(D33/1000,0)-1</f>
        <v>57826</v>
      </c>
      <c r="L33" s="117" t="s">
        <v>59</v>
      </c>
      <c r="M33" s="73" t="s">
        <v>59</v>
      </c>
      <c r="N33" s="105">
        <f>K33-'[2]Aprīlis'!K33</f>
        <v>34077</v>
      </c>
    </row>
    <row r="34" spans="1:14" ht="15" customHeight="1">
      <c r="A34" s="31" t="s">
        <v>78</v>
      </c>
      <c r="B34" s="70" t="s">
        <v>59</v>
      </c>
      <c r="C34" s="70" t="s">
        <v>59</v>
      </c>
      <c r="D34" s="112">
        <f>SUM(D35:D38)</f>
        <v>199517278</v>
      </c>
      <c r="E34" s="114" t="s">
        <v>59</v>
      </c>
      <c r="F34" s="70" t="s">
        <v>59</v>
      </c>
      <c r="G34" s="112">
        <f>SUM(G35:G38)</f>
        <v>37729784</v>
      </c>
      <c r="H34" s="31" t="s">
        <v>78</v>
      </c>
      <c r="I34" s="115" t="s">
        <v>59</v>
      </c>
      <c r="J34" s="115" t="s">
        <v>59</v>
      </c>
      <c r="K34" s="125">
        <f>SUM(K35:K38)</f>
        <v>199517</v>
      </c>
      <c r="L34" s="114" t="s">
        <v>59</v>
      </c>
      <c r="M34" s="70" t="s">
        <v>59</v>
      </c>
      <c r="N34" s="125">
        <f>SUM(N35:N38)</f>
        <v>37730</v>
      </c>
    </row>
    <row r="35" spans="1:14" s="120" customFormat="1" ht="15" customHeight="1">
      <c r="A35" s="72" t="s">
        <v>110</v>
      </c>
      <c r="B35" s="73" t="s">
        <v>59</v>
      </c>
      <c r="C35" s="73" t="s">
        <v>59</v>
      </c>
      <c r="D35" s="116">
        <v>162561143</v>
      </c>
      <c r="E35" s="117" t="s">
        <v>59</v>
      </c>
      <c r="F35" s="73" t="s">
        <v>59</v>
      </c>
      <c r="G35" s="29">
        <f>D35-'[2]Aprīlis'!D35</f>
        <v>19010487</v>
      </c>
      <c r="H35" s="72" t="s">
        <v>110</v>
      </c>
      <c r="I35" s="118" t="s">
        <v>59</v>
      </c>
      <c r="J35" s="118" t="s">
        <v>59</v>
      </c>
      <c r="K35" s="105">
        <f>ROUND(D35/1000,0)</f>
        <v>162561</v>
      </c>
      <c r="L35" s="117" t="s">
        <v>59</v>
      </c>
      <c r="M35" s="73" t="s">
        <v>59</v>
      </c>
      <c r="N35" s="105">
        <f>K35-'[2]Aprīlis'!K35</f>
        <v>19010</v>
      </c>
    </row>
    <row r="36" spans="1:14" s="120" customFormat="1" ht="15" customHeight="1">
      <c r="A36" s="72" t="s">
        <v>111</v>
      </c>
      <c r="B36" s="73" t="s">
        <v>59</v>
      </c>
      <c r="C36" s="73" t="s">
        <v>59</v>
      </c>
      <c r="D36" s="116">
        <v>19200746</v>
      </c>
      <c r="E36" s="117" t="s">
        <v>59</v>
      </c>
      <c r="F36" s="73" t="s">
        <v>59</v>
      </c>
      <c r="G36" s="29">
        <f>D36-'[2]Aprīlis'!D36</f>
        <v>3773499</v>
      </c>
      <c r="H36" s="72" t="s">
        <v>111</v>
      </c>
      <c r="I36" s="118" t="s">
        <v>59</v>
      </c>
      <c r="J36" s="118" t="s">
        <v>59</v>
      </c>
      <c r="K36" s="105">
        <f>ROUND(D36/1000,0)</f>
        <v>19201</v>
      </c>
      <c r="L36" s="117" t="s">
        <v>59</v>
      </c>
      <c r="M36" s="73" t="s">
        <v>59</v>
      </c>
      <c r="N36" s="105">
        <f>K36-'[2]Aprīlis'!K36</f>
        <v>3774</v>
      </c>
    </row>
    <row r="37" spans="1:14" s="120" customFormat="1" ht="15" customHeight="1">
      <c r="A37" s="72" t="s">
        <v>112</v>
      </c>
      <c r="B37" s="73" t="s">
        <v>59</v>
      </c>
      <c r="C37" s="73" t="s">
        <v>59</v>
      </c>
      <c r="D37" s="116">
        <v>564138</v>
      </c>
      <c r="E37" s="117" t="s">
        <v>59</v>
      </c>
      <c r="F37" s="73" t="s">
        <v>59</v>
      </c>
      <c r="G37" s="29">
        <f>D37-'[2]Aprīlis'!D37</f>
        <v>132818</v>
      </c>
      <c r="H37" s="72" t="s">
        <v>112</v>
      </c>
      <c r="I37" s="118" t="s">
        <v>59</v>
      </c>
      <c r="J37" s="118" t="s">
        <v>59</v>
      </c>
      <c r="K37" s="105">
        <f>ROUND(D37/1000,0)</f>
        <v>564</v>
      </c>
      <c r="L37" s="117" t="s">
        <v>59</v>
      </c>
      <c r="M37" s="73" t="s">
        <v>59</v>
      </c>
      <c r="N37" s="105">
        <f>K37-'[2]Aprīlis'!K37</f>
        <v>133</v>
      </c>
    </row>
    <row r="38" spans="1:14" s="120" customFormat="1" ht="15" customHeight="1">
      <c r="A38" s="72" t="s">
        <v>113</v>
      </c>
      <c r="B38" s="73" t="s">
        <v>59</v>
      </c>
      <c r="C38" s="73" t="s">
        <v>59</v>
      </c>
      <c r="D38" s="116">
        <v>17191251</v>
      </c>
      <c r="E38" s="117" t="s">
        <v>59</v>
      </c>
      <c r="F38" s="73" t="s">
        <v>59</v>
      </c>
      <c r="G38" s="29">
        <f>D38-'[2]Aprīlis'!D38</f>
        <v>14812980</v>
      </c>
      <c r="H38" s="72" t="s">
        <v>113</v>
      </c>
      <c r="I38" s="118" t="s">
        <v>59</v>
      </c>
      <c r="J38" s="118" t="s">
        <v>59</v>
      </c>
      <c r="K38" s="119">
        <f>ROUND(D38/1000,0)</f>
        <v>17191</v>
      </c>
      <c r="L38" s="117" t="s">
        <v>59</v>
      </c>
      <c r="M38" s="73" t="s">
        <v>59</v>
      </c>
      <c r="N38" s="105">
        <f>K38-'[2]Aprīlis'!K38</f>
        <v>14813</v>
      </c>
    </row>
    <row r="39" spans="1:14" ht="12.75">
      <c r="A39" s="31" t="s">
        <v>114</v>
      </c>
      <c r="B39" s="71">
        <v>84198</v>
      </c>
      <c r="C39" s="71">
        <f>28066+28066</f>
        <v>56132</v>
      </c>
      <c r="D39" s="112">
        <v>40963</v>
      </c>
      <c r="E39" s="27">
        <f>IF(ISERROR(D39/B39)," ",(D39/B39))</f>
        <v>0.48650799306396825</v>
      </c>
      <c r="F39" s="27">
        <f>IF(ISERROR(D39/C39)," ",(D39/C39))</f>
        <v>0.7297619895959524</v>
      </c>
      <c r="G39" s="29">
        <f>D39-'[2]Aprīlis'!D39</f>
        <v>-8</v>
      </c>
      <c r="H39" s="31" t="s">
        <v>114</v>
      </c>
      <c r="I39" s="105">
        <f>ROUND(B39/1000,0)</f>
        <v>84</v>
      </c>
      <c r="J39" s="105">
        <f>ROUND(C39/1000,0)</f>
        <v>56</v>
      </c>
      <c r="K39" s="105">
        <f>ROUND(D39/1000,0)</f>
        <v>41</v>
      </c>
      <c r="L39" s="27">
        <f>IF(ISERROR(ROUND(K39,0)/ROUND(I39,0))," ",(ROUND(K39,)/ROUND(I39,)))</f>
        <v>0.4880952380952381</v>
      </c>
      <c r="M39" s="27">
        <f>IF(ISERROR(ROUND(K39,0)/ROUND(J39,0))," ",(ROUND(K39,)/ROUND(J39,)))</f>
        <v>0.7321428571428571</v>
      </c>
      <c r="N39" s="105">
        <f>K39-'[2]Aprīlis'!K39</f>
        <v>0</v>
      </c>
    </row>
    <row r="40" spans="1:14" ht="32.25" customHeight="1">
      <c r="A40" s="79" t="s">
        <v>115</v>
      </c>
      <c r="B40" s="80">
        <f>SUM(B41:B42)</f>
        <v>65952876</v>
      </c>
      <c r="C40" s="80">
        <f>SUM(C41:C42)</f>
        <v>18081933</v>
      </c>
      <c r="D40" s="80">
        <f>SUM(D41:D42)</f>
        <v>11465840</v>
      </c>
      <c r="E40" s="102">
        <f>IF(ISERROR(D40/B40)," ",(D40/B40))</f>
        <v>0.17384897665417956</v>
      </c>
      <c r="F40" s="102">
        <f>IF(ISERROR(D40/C40)," ",(D40/C40))</f>
        <v>0.6341047718736708</v>
      </c>
      <c r="G40" s="80">
        <f>SUM(G41:G42)</f>
        <v>4915575</v>
      </c>
      <c r="H40" s="79" t="s">
        <v>115</v>
      </c>
      <c r="I40" s="18">
        <f>SUM(I41:I42)</f>
        <v>65953</v>
      </c>
      <c r="J40" s="18">
        <f>SUM(J41:J42)</f>
        <v>18082</v>
      </c>
      <c r="K40" s="18">
        <f>SUM(K41:K42)</f>
        <v>11466</v>
      </c>
      <c r="L40" s="19">
        <f>IF(ISERROR(ROUND(K40,0)/ROUND(I40,0))," ",(ROUND(K40,)/ROUND(I40,)))</f>
        <v>0.17385107576607584</v>
      </c>
      <c r="M40" s="19">
        <f>IF(ISERROR(ROUND(K40,0)/ROUND(J40,0))," ",(ROUND(K40,)/ROUND(J40,)))</f>
        <v>0.6341112708771154</v>
      </c>
      <c r="N40" s="18">
        <f>SUM(N41:N42)</f>
        <v>4916</v>
      </c>
    </row>
    <row r="41" spans="1:14" ht="18" customHeight="1">
      <c r="A41" s="31" t="s">
        <v>80</v>
      </c>
      <c r="B41" s="71">
        <v>28417355</v>
      </c>
      <c r="C41" s="71">
        <f>15000+516000+736000+381904+3468469+3237749</f>
        <v>8355122</v>
      </c>
      <c r="D41" s="112">
        <v>4927031</v>
      </c>
      <c r="E41" s="27">
        <f>IF(ISERROR(D41/B41)," ",(D41/B41))</f>
        <v>0.1733810553445245</v>
      </c>
      <c r="F41" s="27">
        <f>IF(ISERROR(D41/C41)," ",(D41/C41))</f>
        <v>0.5897018619237397</v>
      </c>
      <c r="G41" s="29">
        <f>D41-'[2]Aprīlis'!D41</f>
        <v>2452410</v>
      </c>
      <c r="H41" s="31" t="s">
        <v>80</v>
      </c>
      <c r="I41" s="113">
        <f aca="true" t="shared" si="6" ref="I41:K42">ROUND(B41/1000,0)</f>
        <v>28417</v>
      </c>
      <c r="J41" s="113">
        <f>ROUND(C41/1000,0)</f>
        <v>8355</v>
      </c>
      <c r="K41" s="105">
        <f>ROUND(D41/1000,0)</f>
        <v>4927</v>
      </c>
      <c r="L41" s="27">
        <f>IF(ISERROR(ROUND(K41,0)/ROUND(I41,0))," ",(ROUND(K41,)/ROUND(I41,)))</f>
        <v>0.1733821304148925</v>
      </c>
      <c r="M41" s="27">
        <f>IF(ISERROR(ROUND(K41,0)/ROUND(J41,0))," ",(ROUND(K41,)/ROUND(J41,)))</f>
        <v>0.5897067624177139</v>
      </c>
      <c r="N41" s="105">
        <f>K41-'[2]Aprīlis'!K41</f>
        <v>2453</v>
      </c>
    </row>
    <row r="42" spans="1:14" ht="15.75" customHeight="1">
      <c r="A42" s="31" t="s">
        <v>81</v>
      </c>
      <c r="B42" s="121">
        <v>37535521</v>
      </c>
      <c r="C42" s="71">
        <f>58000+66182+95182+782839+656269+317257+841660+2009198+2393132+2507092</f>
        <v>9726811</v>
      </c>
      <c r="D42" s="116">
        <v>6538809</v>
      </c>
      <c r="E42" s="27">
        <f>IF(ISERROR(D42/B42)," ",(D42/B42))</f>
        <v>0.17420323005507238</v>
      </c>
      <c r="F42" s="27">
        <f>IF(ISERROR(D42/C42)," ",(D42/C42))</f>
        <v>0.6722459190375962</v>
      </c>
      <c r="G42" s="29">
        <f>D42-'[2]Aprīlis'!D42</f>
        <v>2463165</v>
      </c>
      <c r="H42" s="31" t="s">
        <v>81</v>
      </c>
      <c r="I42" s="113">
        <f t="shared" si="6"/>
        <v>37536</v>
      </c>
      <c r="J42" s="113">
        <f t="shared" si="6"/>
        <v>9727</v>
      </c>
      <c r="K42" s="105">
        <f t="shared" si="6"/>
        <v>6539</v>
      </c>
      <c r="L42" s="27">
        <f>IF(ISERROR(ROUND(K42,0)/ROUND(I42,0))," ",(ROUND(K42,)/ROUND(I42,)))</f>
        <v>0.17420609548167093</v>
      </c>
      <c r="M42" s="27">
        <f>IF(ISERROR(ROUND(K42,0)/ROUND(J42,0))," ",(ROUND(K42,)/ROUND(J42,)))</f>
        <v>0.6722524930605531</v>
      </c>
      <c r="N42" s="105">
        <f>K42-'[2]Aprīlis'!K42</f>
        <v>2463</v>
      </c>
    </row>
    <row r="43" spans="1:14" ht="67.5" customHeight="1" hidden="1">
      <c r="A43" s="12" t="s">
        <v>7</v>
      </c>
      <c r="B43" s="12" t="s">
        <v>9</v>
      </c>
      <c r="C43" s="12" t="s">
        <v>53</v>
      </c>
      <c r="D43" s="12" t="s">
        <v>10</v>
      </c>
      <c r="E43" s="12" t="s">
        <v>94</v>
      </c>
      <c r="F43" s="12" t="s">
        <v>95</v>
      </c>
      <c r="G43" s="12" t="s">
        <v>116</v>
      </c>
      <c r="H43" s="12" t="s">
        <v>7</v>
      </c>
      <c r="I43" s="126" t="s">
        <v>9</v>
      </c>
      <c r="J43" s="12" t="s">
        <v>53</v>
      </c>
      <c r="K43" s="12" t="s">
        <v>10</v>
      </c>
      <c r="L43" s="12" t="s">
        <v>94</v>
      </c>
      <c r="M43" s="12" t="s">
        <v>95</v>
      </c>
      <c r="N43" s="12" t="s">
        <v>116</v>
      </c>
    </row>
    <row r="44" spans="1:14" ht="12.75" hidden="1">
      <c r="A44" s="12">
        <v>1</v>
      </c>
      <c r="B44" s="12">
        <v>2</v>
      </c>
      <c r="C44" s="12">
        <v>3</v>
      </c>
      <c r="D44" s="12">
        <v>4</v>
      </c>
      <c r="E44" s="12">
        <v>5</v>
      </c>
      <c r="F44" s="12">
        <v>6</v>
      </c>
      <c r="G44" s="12">
        <v>8</v>
      </c>
      <c r="H44" s="12">
        <v>1</v>
      </c>
      <c r="I44" s="126">
        <v>2</v>
      </c>
      <c r="J44" s="12">
        <v>3</v>
      </c>
      <c r="K44" s="12">
        <v>4</v>
      </c>
      <c r="L44" s="12">
        <v>5</v>
      </c>
      <c r="M44" s="12">
        <v>6</v>
      </c>
      <c r="N44" s="12">
        <v>8</v>
      </c>
    </row>
    <row r="45" spans="1:14" ht="30.75" customHeight="1">
      <c r="A45" s="127" t="s">
        <v>117</v>
      </c>
      <c r="B45" s="70" t="s">
        <v>59</v>
      </c>
      <c r="C45" s="70" t="s">
        <v>59</v>
      </c>
      <c r="D45" s="16">
        <f>SUM(D46-D47)</f>
        <v>1233488</v>
      </c>
      <c r="E45" s="114" t="s">
        <v>59</v>
      </c>
      <c r="F45" s="70" t="s">
        <v>59</v>
      </c>
      <c r="G45" s="16">
        <f>SUM(G46-G47)</f>
        <v>1233488</v>
      </c>
      <c r="H45" s="127" t="s">
        <v>117</v>
      </c>
      <c r="I45" s="115" t="s">
        <v>59</v>
      </c>
      <c r="J45" s="115" t="s">
        <v>59</v>
      </c>
      <c r="K45" s="107">
        <f>SUM(K46-K47)</f>
        <v>1233</v>
      </c>
      <c r="L45" s="114" t="s">
        <v>59</v>
      </c>
      <c r="M45" s="70" t="s">
        <v>59</v>
      </c>
      <c r="N45" s="107">
        <f>SUM(N46-N47)</f>
        <v>1233</v>
      </c>
    </row>
    <row r="46" spans="1:14" ht="19.5" customHeight="1">
      <c r="A46" s="24" t="s">
        <v>118</v>
      </c>
      <c r="B46" s="71">
        <v>12756000</v>
      </c>
      <c r="C46" s="70">
        <f>1067103+281483</f>
        <v>1348586</v>
      </c>
      <c r="D46" s="112">
        <v>1233488</v>
      </c>
      <c r="E46" s="27">
        <f aca="true" t="shared" si="7" ref="E46:E51">IF(ISERROR(D46/B46)," ",(D46/B46))</f>
        <v>0.09669865161492631</v>
      </c>
      <c r="F46" s="27">
        <f>IF(ISERROR(D46/C46)," ",(D46/C46))</f>
        <v>0.9146528289630769</v>
      </c>
      <c r="G46" s="29">
        <f>D46-'[2]Aprīlis'!D46</f>
        <v>1233488</v>
      </c>
      <c r="H46" s="24" t="s">
        <v>118</v>
      </c>
      <c r="I46" s="105">
        <f aca="true" t="shared" si="8" ref="I46:I51">ROUND(B46/1000,0)</f>
        <v>12756</v>
      </c>
      <c r="J46" s="105">
        <f>ROUND(C46/1000,0)</f>
        <v>1349</v>
      </c>
      <c r="K46" s="105">
        <f>ROUND(D46/1000,0)</f>
        <v>1233</v>
      </c>
      <c r="L46" s="27">
        <f aca="true" t="shared" si="9" ref="L46:L51">IF(ISERROR(ROUND(K46,0)/ROUND(I46,0))," ",(ROUND(K46,)/ROUND(I46,)))</f>
        <v>0.09666039510818439</v>
      </c>
      <c r="M46" s="27">
        <f>IF(ISERROR(ROUND(K46,0)/ROUND(J46,0))," ",(ROUND(K46,)/ROUND(J46,)))</f>
        <v>0.9140103780578206</v>
      </c>
      <c r="N46" s="105">
        <f>K46-'[2]Aprīlis'!K46</f>
        <v>1233</v>
      </c>
    </row>
    <row r="47" spans="1:14" ht="27.75" customHeight="1">
      <c r="A47" s="84" t="s">
        <v>119</v>
      </c>
      <c r="B47" s="71">
        <v>5250</v>
      </c>
      <c r="C47" s="70"/>
      <c r="D47" s="112"/>
      <c r="E47" s="27">
        <f t="shared" si="7"/>
        <v>0</v>
      </c>
      <c r="F47" s="27" t="str">
        <f>IF(ISERROR(D47/C47)," ",(D47/C47))</f>
        <v> </v>
      </c>
      <c r="G47" s="29">
        <f>D47-'[2]Aprīlis'!D47</f>
        <v>0</v>
      </c>
      <c r="H47" s="84" t="s">
        <v>119</v>
      </c>
      <c r="I47" s="105">
        <f t="shared" si="8"/>
        <v>5</v>
      </c>
      <c r="J47" s="105">
        <f>ROUND(C47/1000,0)</f>
        <v>0</v>
      </c>
      <c r="K47" s="105">
        <f>ROUND(D47/1000,0)</f>
        <v>0</v>
      </c>
      <c r="L47" s="27">
        <f t="shared" si="9"/>
        <v>0</v>
      </c>
      <c r="M47" s="27" t="str">
        <f>IF(ISERROR(ROUND(K47,0)/ROUND(J47,0))," ",(ROUND(K47,)/ROUND(J47,)))</f>
        <v> </v>
      </c>
      <c r="N47" s="105">
        <f>K47-'[2]Aprīlis'!K47</f>
        <v>0</v>
      </c>
    </row>
    <row r="48" spans="1:163" s="130" customFormat="1" ht="21.75" customHeight="1">
      <c r="A48" s="127" t="s">
        <v>120</v>
      </c>
      <c r="B48" s="80">
        <v>-73276370</v>
      </c>
      <c r="C48" s="70" t="s">
        <v>59</v>
      </c>
      <c r="D48" s="80">
        <f>SUM(D10-D13-D45)</f>
        <v>-34575350</v>
      </c>
      <c r="E48" s="102">
        <f t="shared" si="7"/>
        <v>0.47184856455089136</v>
      </c>
      <c r="F48" s="70" t="s">
        <v>59</v>
      </c>
      <c r="G48" s="80">
        <f>SUM(G10-G13-G45)</f>
        <v>-14345836</v>
      </c>
      <c r="H48" s="127" t="s">
        <v>120</v>
      </c>
      <c r="I48" s="128">
        <f t="shared" si="8"/>
        <v>-73276</v>
      </c>
      <c r="J48" s="129" t="s">
        <v>59</v>
      </c>
      <c r="K48" s="18">
        <f>SUM(K10-K13-K45)</f>
        <v>-34575</v>
      </c>
      <c r="L48" s="19">
        <f t="shared" si="9"/>
        <v>0.47184617064250234</v>
      </c>
      <c r="M48" s="81" t="s">
        <v>59</v>
      </c>
      <c r="N48" s="18">
        <f>SUM(N10-N13-N45)</f>
        <v>-14345</v>
      </c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</row>
    <row r="49" spans="1:163" s="130" customFormat="1" ht="18" customHeight="1">
      <c r="A49" s="127" t="s">
        <v>83</v>
      </c>
      <c r="B49" s="16">
        <f>SUM(B50:B51)</f>
        <v>73276370</v>
      </c>
      <c r="C49" s="70" t="s">
        <v>59</v>
      </c>
      <c r="D49" s="16">
        <f>SUM(D50:D51)</f>
        <v>34575350</v>
      </c>
      <c r="E49" s="27">
        <f t="shared" si="7"/>
        <v>0.47184856455089136</v>
      </c>
      <c r="F49" s="70" t="s">
        <v>59</v>
      </c>
      <c r="G49" s="16">
        <f>SUM(G50:G51)</f>
        <v>14345350</v>
      </c>
      <c r="H49" s="127" t="s">
        <v>83</v>
      </c>
      <c r="I49" s="128">
        <f t="shared" si="8"/>
        <v>73276</v>
      </c>
      <c r="J49" s="129" t="s">
        <v>59</v>
      </c>
      <c r="K49" s="128">
        <f>ROUND(D49/1000,0)</f>
        <v>34575</v>
      </c>
      <c r="L49" s="19">
        <f t="shared" si="9"/>
        <v>0.47184617064250234</v>
      </c>
      <c r="M49" s="81" t="s">
        <v>59</v>
      </c>
      <c r="N49" s="131">
        <f>SUM(N50:N51)</f>
        <v>14345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</row>
    <row r="50" spans="1:163" s="130" customFormat="1" ht="17.25" customHeight="1">
      <c r="A50" s="31" t="s">
        <v>121</v>
      </c>
      <c r="B50" s="71">
        <v>58334396</v>
      </c>
      <c r="C50" s="70" t="s">
        <v>59</v>
      </c>
      <c r="D50" s="112">
        <v>19509000</v>
      </c>
      <c r="E50" s="27">
        <f t="shared" si="7"/>
        <v>0.3344339075697295</v>
      </c>
      <c r="F50" s="70" t="s">
        <v>59</v>
      </c>
      <c r="G50" s="29">
        <f>D50-'[2]Aprīlis'!D50</f>
        <v>6223000</v>
      </c>
      <c r="H50" s="31" t="s">
        <v>121</v>
      </c>
      <c r="I50" s="105">
        <f t="shared" si="8"/>
        <v>58334</v>
      </c>
      <c r="J50" s="115" t="s">
        <v>59</v>
      </c>
      <c r="K50" s="105">
        <f>ROUND(D50/1000,0)</f>
        <v>19509</v>
      </c>
      <c r="L50" s="27">
        <f t="shared" si="9"/>
        <v>0.3344361778722529</v>
      </c>
      <c r="M50" s="70" t="s">
        <v>59</v>
      </c>
      <c r="N50" s="105">
        <f>K50-'[2]Aprīlis'!K50</f>
        <v>6223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</row>
    <row r="51" spans="1:163" s="130" customFormat="1" ht="39.75" customHeight="1">
      <c r="A51" s="31" t="s">
        <v>122</v>
      </c>
      <c r="B51" s="71">
        <v>14941974</v>
      </c>
      <c r="C51" s="70" t="s">
        <v>59</v>
      </c>
      <c r="D51" s="112">
        <v>15066350</v>
      </c>
      <c r="E51" s="27">
        <f t="shared" si="7"/>
        <v>1.0083239336382195</v>
      </c>
      <c r="F51" s="70" t="s">
        <v>59</v>
      </c>
      <c r="G51" s="29">
        <f>D51-'[2]Aprīlis'!D51</f>
        <v>8122350</v>
      </c>
      <c r="H51" s="31" t="s">
        <v>122</v>
      </c>
      <c r="I51" s="105">
        <f t="shared" si="8"/>
        <v>14942</v>
      </c>
      <c r="J51" s="115" t="s">
        <v>59</v>
      </c>
      <c r="K51" s="105">
        <f>ROUND(D51/1000,0)</f>
        <v>15066</v>
      </c>
      <c r="L51" s="27">
        <f t="shared" si="9"/>
        <v>1.008298755186722</v>
      </c>
      <c r="M51" s="70" t="s">
        <v>59</v>
      </c>
      <c r="N51" s="105">
        <f>K51-'[2]Aprīlis'!K51</f>
        <v>8122</v>
      </c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</row>
    <row r="52" spans="1:13" s="137" customFormat="1" ht="12.75">
      <c r="A52" s="132"/>
      <c r="B52" s="133"/>
      <c r="C52" s="133"/>
      <c r="D52" s="134"/>
      <c r="E52" s="135"/>
      <c r="F52" s="136"/>
      <c r="H52" s="132"/>
      <c r="I52" s="133"/>
      <c r="J52" s="133"/>
      <c r="K52" s="134"/>
      <c r="L52" s="135"/>
      <c r="M52" s="136"/>
    </row>
    <row r="53" spans="1:13" s="137" customFormat="1" ht="12.75">
      <c r="A53" s="132"/>
      <c r="B53" s="133"/>
      <c r="C53" s="133"/>
      <c r="D53" s="134"/>
      <c r="E53" s="135"/>
      <c r="F53" s="136"/>
      <c r="H53" s="132"/>
      <c r="I53" s="133"/>
      <c r="J53" s="133"/>
      <c r="K53" s="134"/>
      <c r="L53" s="135"/>
      <c r="M53" s="136"/>
    </row>
    <row r="54" spans="1:13" s="137" customFormat="1" ht="12.75">
      <c r="A54" s="132"/>
      <c r="B54" s="133"/>
      <c r="C54" s="133"/>
      <c r="D54" s="134"/>
      <c r="E54" s="135"/>
      <c r="F54" s="136"/>
      <c r="H54" s="132"/>
      <c r="I54" s="133"/>
      <c r="J54" s="133"/>
      <c r="K54" s="134"/>
      <c r="L54" s="135"/>
      <c r="M54" s="136"/>
    </row>
    <row r="55" spans="1:13" s="137" customFormat="1" ht="12.75">
      <c r="A55" s="132"/>
      <c r="B55" s="133"/>
      <c r="C55" s="133"/>
      <c r="D55" s="134"/>
      <c r="E55" s="135"/>
      <c r="F55" s="136"/>
      <c r="I55" s="133"/>
      <c r="J55" s="133"/>
      <c r="K55" s="134"/>
      <c r="L55" s="135"/>
      <c r="M55" s="136"/>
    </row>
    <row r="56" spans="1:13" s="137" customFormat="1" ht="12.75">
      <c r="A56" s="132"/>
      <c r="B56" s="133"/>
      <c r="C56" s="133"/>
      <c r="D56" s="134"/>
      <c r="E56" s="135"/>
      <c r="F56" s="136"/>
      <c r="I56" s="133"/>
      <c r="J56" s="133"/>
      <c r="K56" s="134"/>
      <c r="L56" s="135"/>
      <c r="M56" s="136"/>
    </row>
    <row r="57" spans="1:13" s="137" customFormat="1" ht="12.75">
      <c r="A57" s="132"/>
      <c r="B57" s="133"/>
      <c r="C57" s="133"/>
      <c r="D57" s="134"/>
      <c r="E57" s="135"/>
      <c r="F57" s="136"/>
      <c r="I57" s="133"/>
      <c r="J57" s="133"/>
      <c r="K57" s="134"/>
      <c r="L57" s="135"/>
      <c r="M57" s="136"/>
    </row>
    <row r="58" spans="1:13" ht="12.75">
      <c r="A58" s="138"/>
      <c r="B58" s="139"/>
      <c r="C58" s="139"/>
      <c r="D58" s="33"/>
      <c r="E58" s="135"/>
      <c r="F58" s="140"/>
      <c r="I58" s="139"/>
      <c r="J58" s="139"/>
      <c r="K58" s="33"/>
      <c r="L58" s="135"/>
      <c r="M58" s="140"/>
    </row>
    <row r="59" spans="1:13" ht="14.25">
      <c r="A59" s="35"/>
      <c r="B59" s="139"/>
      <c r="C59" s="139"/>
      <c r="D59" s="33"/>
      <c r="E59" s="141"/>
      <c r="F59" s="140"/>
      <c r="I59" s="139"/>
      <c r="J59" s="139"/>
      <c r="K59" s="33"/>
      <c r="L59" s="141"/>
      <c r="M59" s="140"/>
    </row>
    <row r="60" spans="1:13" ht="12.75">
      <c r="A60" s="7" t="s">
        <v>86</v>
      </c>
      <c r="B60" s="96"/>
      <c r="C60" s="96"/>
      <c r="D60" s="96"/>
      <c r="E60" s="142"/>
      <c r="F60" s="97"/>
      <c r="I60" s="96"/>
      <c r="J60" s="96"/>
      <c r="K60" s="96"/>
      <c r="L60" s="142"/>
      <c r="M60" s="97"/>
    </row>
    <row r="61" spans="1:13" ht="12.75">
      <c r="A61" s="1"/>
      <c r="B61" s="143"/>
      <c r="C61" s="144"/>
      <c r="D61" s="37"/>
      <c r="E61" s="32"/>
      <c r="F61" s="145"/>
      <c r="I61" s="143"/>
      <c r="J61" s="144"/>
      <c r="K61" s="37"/>
      <c r="L61" s="32"/>
      <c r="M61" s="145"/>
    </row>
    <row r="62" spans="1:13" ht="12.75">
      <c r="A62" s="1"/>
      <c r="B62" s="143"/>
      <c r="C62" s="144"/>
      <c r="D62" s="37"/>
      <c r="E62" s="32"/>
      <c r="F62" s="146"/>
      <c r="I62" s="143"/>
      <c r="J62" s="144"/>
      <c r="K62" s="37"/>
      <c r="L62" s="32"/>
      <c r="M62" s="146"/>
    </row>
    <row r="63" spans="1:13" ht="12.75">
      <c r="A63" s="1"/>
      <c r="B63" s="143"/>
      <c r="C63" s="144"/>
      <c r="D63" s="37"/>
      <c r="E63" s="32"/>
      <c r="F63" s="146"/>
      <c r="I63" s="143"/>
      <c r="J63" s="144"/>
      <c r="K63" s="37"/>
      <c r="L63" s="32"/>
      <c r="M63" s="146"/>
    </row>
    <row r="64" spans="1:13" ht="12.75">
      <c r="A64" s="1"/>
      <c r="B64" s="143"/>
      <c r="C64" s="144"/>
      <c r="D64" s="37"/>
      <c r="E64" s="32"/>
      <c r="F64" s="146"/>
      <c r="H64" s="1"/>
      <c r="I64" s="143"/>
      <c r="J64" s="144"/>
      <c r="K64" s="37"/>
      <c r="L64" s="32"/>
      <c r="M64" s="146"/>
    </row>
    <row r="65" spans="1:13" ht="12.75">
      <c r="A65" s="1"/>
      <c r="B65" s="143"/>
      <c r="C65" s="144"/>
      <c r="D65" s="37"/>
      <c r="E65" s="32"/>
      <c r="F65" s="146"/>
      <c r="H65" s="1"/>
      <c r="I65" s="143"/>
      <c r="J65" s="144"/>
      <c r="K65" s="37"/>
      <c r="L65" s="32"/>
      <c r="M65" s="146"/>
    </row>
    <row r="66" spans="1:13" ht="12.75">
      <c r="A66" s="1"/>
      <c r="B66" s="143"/>
      <c r="C66" s="144"/>
      <c r="D66" s="37"/>
      <c r="E66" s="32"/>
      <c r="F66" s="146"/>
      <c r="H66" s="1"/>
      <c r="I66" s="143"/>
      <c r="J66" s="144"/>
      <c r="K66" s="37"/>
      <c r="L66" s="32"/>
      <c r="M66" s="146"/>
    </row>
    <row r="67" spans="2:13" ht="12.75">
      <c r="B67" s="147"/>
      <c r="C67" s="147"/>
      <c r="E67" s="147"/>
      <c r="F67" s="147"/>
      <c r="I67" s="147"/>
      <c r="J67" s="147"/>
      <c r="L67" s="147"/>
      <c r="M67" s="147"/>
    </row>
    <row r="68" spans="2:13" ht="12.75">
      <c r="B68" s="147"/>
      <c r="C68" s="147"/>
      <c r="E68" s="147"/>
      <c r="F68" s="147"/>
      <c r="I68" s="147"/>
      <c r="J68" s="147"/>
      <c r="L68" s="147"/>
      <c r="M68" s="147"/>
    </row>
    <row r="69" spans="1:13" ht="12.75">
      <c r="A69" s="1" t="s">
        <v>87</v>
      </c>
      <c r="B69" s="147"/>
      <c r="C69" s="147"/>
      <c r="D69" s="101"/>
      <c r="E69" s="147"/>
      <c r="F69" s="147"/>
      <c r="H69" s="7" t="s">
        <v>86</v>
      </c>
      <c r="I69" s="147"/>
      <c r="J69" s="147"/>
      <c r="K69" s="101"/>
      <c r="L69" s="147"/>
      <c r="M69" s="147"/>
    </row>
    <row r="70" spans="1:13" ht="12.75">
      <c r="A70" s="1" t="s">
        <v>46</v>
      </c>
      <c r="B70" s="101"/>
      <c r="C70" s="101"/>
      <c r="D70" s="101"/>
      <c r="E70" s="147"/>
      <c r="F70" s="147"/>
      <c r="H70" s="132"/>
      <c r="I70" s="101"/>
      <c r="J70" s="101"/>
      <c r="K70" s="101"/>
      <c r="L70" s="147"/>
      <c r="M70" s="147"/>
    </row>
    <row r="71" spans="1:13" ht="12.75">
      <c r="A71" s="101"/>
      <c r="B71" s="101"/>
      <c r="C71" s="101"/>
      <c r="D71" s="101"/>
      <c r="E71" s="147"/>
      <c r="F71" s="147"/>
      <c r="H71" s="132"/>
      <c r="I71" s="101"/>
      <c r="J71" s="101"/>
      <c r="K71" s="101"/>
      <c r="L71" s="147"/>
      <c r="M71" s="147"/>
    </row>
    <row r="72" spans="1:13" ht="12.75">
      <c r="A72" s="101"/>
      <c r="B72" s="101"/>
      <c r="C72" s="101"/>
      <c r="D72" s="101"/>
      <c r="E72" s="147"/>
      <c r="F72" s="147"/>
      <c r="H72" s="138"/>
      <c r="I72" s="101"/>
      <c r="J72" s="101"/>
      <c r="K72" s="101"/>
      <c r="L72" s="147"/>
      <c r="M72" s="147"/>
    </row>
    <row r="73" spans="1:8" ht="14.25">
      <c r="A73" s="101"/>
      <c r="B73" s="101"/>
      <c r="C73" s="101"/>
      <c r="D73" s="101"/>
      <c r="E73" s="147"/>
      <c r="F73" s="147"/>
      <c r="H73" s="35"/>
    </row>
    <row r="74" spans="1:6" ht="12.75">
      <c r="A74" s="101"/>
      <c r="B74" s="101"/>
      <c r="C74" s="101"/>
      <c r="D74" s="101"/>
      <c r="E74" s="147"/>
      <c r="F74" s="147"/>
    </row>
    <row r="75" spans="1:8" ht="12.75">
      <c r="A75" s="101"/>
      <c r="B75" s="101"/>
      <c r="C75" s="101"/>
      <c r="D75" s="101"/>
      <c r="E75" s="147"/>
      <c r="F75" s="147"/>
      <c r="H75" s="1"/>
    </row>
    <row r="76" spans="1:8" ht="12.75">
      <c r="A76" s="101"/>
      <c r="B76" s="101"/>
      <c r="C76" s="101"/>
      <c r="D76" s="101"/>
      <c r="E76" s="147"/>
      <c r="F76" s="147"/>
      <c r="H76" s="1" t="s">
        <v>87</v>
      </c>
    </row>
    <row r="77" spans="1:8" ht="12.75">
      <c r="A77" s="101"/>
      <c r="B77" s="101"/>
      <c r="C77" s="101"/>
      <c r="D77" s="101"/>
      <c r="E77" s="147"/>
      <c r="F77" s="147"/>
      <c r="H77" s="1" t="s">
        <v>35</v>
      </c>
    </row>
    <row r="78" spans="1:6" ht="12.75">
      <c r="A78" s="101"/>
      <c r="B78" s="101"/>
      <c r="C78" s="101"/>
      <c r="D78" s="101"/>
      <c r="E78" s="147"/>
      <c r="F78" s="147"/>
    </row>
    <row r="79" spans="1:6" ht="12.75">
      <c r="A79" s="101"/>
      <c r="B79" s="101"/>
      <c r="C79" s="101"/>
      <c r="D79" s="101"/>
      <c r="E79" s="147"/>
      <c r="F79" s="147"/>
    </row>
    <row r="80" spans="1:6" ht="12.75">
      <c r="A80" s="101"/>
      <c r="B80" s="101"/>
      <c r="C80" s="101"/>
      <c r="D80" s="101"/>
      <c r="E80" s="147"/>
      <c r="F80" s="147"/>
    </row>
    <row r="81" spans="1:6" ht="12.75">
      <c r="A81" s="101"/>
      <c r="B81" s="101"/>
      <c r="C81" s="101"/>
      <c r="D81" s="101"/>
      <c r="E81" s="147"/>
      <c r="F81" s="147"/>
    </row>
    <row r="82" spans="1:6" ht="12.75">
      <c r="A82" s="101"/>
      <c r="B82" s="101"/>
      <c r="C82" s="101"/>
      <c r="D82" s="101"/>
      <c r="E82" s="147"/>
      <c r="F82" s="147"/>
    </row>
    <row r="83" spans="1:6" ht="12.75">
      <c r="A83" s="101"/>
      <c r="B83" s="101"/>
      <c r="C83" s="101"/>
      <c r="D83" s="101"/>
      <c r="E83" s="147"/>
      <c r="F83" s="147"/>
    </row>
    <row r="84" spans="1:6" ht="12.75">
      <c r="A84" s="101"/>
      <c r="B84" s="101"/>
      <c r="C84" s="101"/>
      <c r="D84" s="101"/>
      <c r="E84" s="147"/>
      <c r="F84" s="147"/>
    </row>
    <row r="85" spans="5:6" ht="12.75">
      <c r="E85" s="148"/>
      <c r="F85" s="148"/>
    </row>
    <row r="86" spans="5:6" ht="12.75">
      <c r="E86" s="148"/>
      <c r="F86" s="148"/>
    </row>
    <row r="87" spans="5:6" ht="12.75">
      <c r="E87" s="148"/>
      <c r="F87" s="148"/>
    </row>
    <row r="88" spans="5:6" ht="12.75">
      <c r="E88" s="148"/>
      <c r="F88" s="148"/>
    </row>
    <row r="89" spans="5:6" ht="12.75">
      <c r="E89" s="148"/>
      <c r="F89" s="148"/>
    </row>
    <row r="90" spans="5:6" ht="12.75">
      <c r="E90" s="148"/>
      <c r="F90" s="148"/>
    </row>
    <row r="91" spans="5:6" ht="12.75">
      <c r="E91" s="148"/>
      <c r="F91" s="148"/>
    </row>
    <row r="92" spans="5:6" ht="12.75">
      <c r="E92" s="148"/>
      <c r="F92" s="148"/>
    </row>
    <row r="93" spans="5:6" ht="12.75">
      <c r="E93" s="148"/>
      <c r="F93" s="148"/>
    </row>
    <row r="94" spans="5:6" ht="12.75">
      <c r="E94" s="148"/>
      <c r="F94" s="148"/>
    </row>
    <row r="95" spans="5:6" ht="12.75">
      <c r="E95" s="148"/>
      <c r="F95" s="148"/>
    </row>
    <row r="96" spans="5:6" ht="12.75">
      <c r="E96" s="148"/>
      <c r="F96" s="148"/>
    </row>
    <row r="97" spans="5:6" ht="12.75">
      <c r="E97" s="148"/>
      <c r="F97" s="148"/>
    </row>
    <row r="98" spans="5:6" ht="12.75">
      <c r="E98" s="148"/>
      <c r="F98" s="148"/>
    </row>
    <row r="99" spans="5:6" ht="12.75">
      <c r="E99" s="148"/>
      <c r="F99" s="148"/>
    </row>
    <row r="100" spans="5:6" ht="12.75">
      <c r="E100" s="148"/>
      <c r="F100" s="148"/>
    </row>
    <row r="101" spans="5:6" ht="12.75">
      <c r="E101" s="148"/>
      <c r="F101" s="148"/>
    </row>
    <row r="102" spans="5:6" ht="12.75">
      <c r="E102" s="148"/>
      <c r="F102" s="148"/>
    </row>
    <row r="103" spans="5:6" ht="12.75">
      <c r="E103" s="148"/>
      <c r="F103" s="148"/>
    </row>
    <row r="104" spans="5:6" ht="12.75">
      <c r="E104" s="148"/>
      <c r="F104" s="148"/>
    </row>
    <row r="105" spans="5:6" ht="12.75">
      <c r="E105" s="148"/>
      <c r="F105" s="148"/>
    </row>
    <row r="106" spans="5:6" ht="12.75">
      <c r="E106" s="148"/>
      <c r="F106" s="148"/>
    </row>
    <row r="107" spans="5:6" ht="12.75">
      <c r="E107" s="148"/>
      <c r="F107" s="148"/>
    </row>
    <row r="108" spans="5:6" ht="12.75">
      <c r="E108" s="148"/>
      <c r="F108" s="148"/>
    </row>
    <row r="109" spans="5:6" ht="12.75">
      <c r="E109" s="148"/>
      <c r="F109" s="148"/>
    </row>
    <row r="110" spans="5:6" ht="12.75">
      <c r="E110" s="148"/>
      <c r="F110" s="148"/>
    </row>
    <row r="111" spans="5:6" ht="12.75">
      <c r="E111" s="148"/>
      <c r="F111" s="148"/>
    </row>
    <row r="112" spans="5:6" ht="12.75">
      <c r="E112" s="148"/>
      <c r="F112" s="148"/>
    </row>
    <row r="113" spans="5:6" ht="12.75">
      <c r="E113" s="148"/>
      <c r="F113" s="148"/>
    </row>
    <row r="114" spans="5:6" ht="12.75">
      <c r="E114" s="148"/>
      <c r="F114" s="148"/>
    </row>
    <row r="115" spans="5:6" ht="12.75">
      <c r="E115" s="148"/>
      <c r="F115" s="148"/>
    </row>
    <row r="116" spans="5:6" ht="12.75">
      <c r="E116" s="148"/>
      <c r="F116" s="148"/>
    </row>
    <row r="117" spans="5:6" ht="12.75">
      <c r="E117" s="148"/>
      <c r="F117" s="148"/>
    </row>
    <row r="118" spans="5:6" ht="12.75">
      <c r="E118" s="148"/>
      <c r="F118" s="148"/>
    </row>
    <row r="119" spans="5:6" ht="12.75">
      <c r="E119" s="148"/>
      <c r="F119" s="148"/>
    </row>
    <row r="120" spans="5:6" ht="12.75">
      <c r="E120" s="148"/>
      <c r="F120" s="148"/>
    </row>
    <row r="121" spans="5:6" ht="12.75">
      <c r="E121" s="148"/>
      <c r="F121" s="148"/>
    </row>
    <row r="122" spans="5:6" ht="12.75">
      <c r="E122" s="148"/>
      <c r="F122" s="148"/>
    </row>
    <row r="123" spans="5:6" ht="12.75">
      <c r="E123" s="148"/>
      <c r="F123" s="148"/>
    </row>
    <row r="124" spans="5:6" ht="12.75">
      <c r="E124" s="148"/>
      <c r="F124" s="148"/>
    </row>
    <row r="125" spans="5:6" ht="12.75">
      <c r="E125" s="148"/>
      <c r="F125" s="148"/>
    </row>
    <row r="126" spans="5:6" ht="12.75">
      <c r="E126" s="148"/>
      <c r="F126" s="148"/>
    </row>
    <row r="127" spans="5:6" ht="12.75">
      <c r="E127" s="148"/>
      <c r="F127" s="148"/>
    </row>
    <row r="128" spans="5:6" ht="12.75">
      <c r="E128" s="148"/>
      <c r="F128" s="148"/>
    </row>
    <row r="129" spans="5:6" ht="12.75">
      <c r="E129" s="148"/>
      <c r="F129" s="148"/>
    </row>
    <row r="130" spans="5:6" ht="12.75">
      <c r="E130" s="148"/>
      <c r="F130" s="148"/>
    </row>
    <row r="131" spans="5:6" ht="12.75">
      <c r="E131" s="148"/>
      <c r="F131" s="148"/>
    </row>
    <row r="132" spans="5:6" ht="12.75">
      <c r="E132" s="148"/>
      <c r="F132" s="148"/>
    </row>
    <row r="133" spans="5:6" ht="12.75">
      <c r="E133" s="148"/>
      <c r="F133" s="148"/>
    </row>
    <row r="134" spans="5:6" ht="12.75">
      <c r="E134" s="148"/>
      <c r="F134" s="148"/>
    </row>
    <row r="135" spans="5:6" ht="12.75">
      <c r="E135" s="148"/>
      <c r="F135" s="148"/>
    </row>
    <row r="136" spans="5:6" ht="12.75">
      <c r="E136" s="148"/>
      <c r="F136" s="148"/>
    </row>
    <row r="137" spans="5:6" ht="12.75">
      <c r="E137" s="148"/>
      <c r="F137" s="148"/>
    </row>
    <row r="138" spans="5:6" ht="12.75">
      <c r="E138" s="148"/>
      <c r="F138" s="148"/>
    </row>
    <row r="139" spans="5:6" ht="12.75">
      <c r="E139" s="148"/>
      <c r="F139" s="148"/>
    </row>
    <row r="140" spans="5:6" ht="12.75">
      <c r="E140" s="148"/>
      <c r="F140" s="148"/>
    </row>
    <row r="141" spans="5:6" ht="12.75">
      <c r="E141" s="148"/>
      <c r="F141" s="148"/>
    </row>
    <row r="142" spans="5:6" ht="12.75">
      <c r="E142" s="148"/>
      <c r="F142" s="148"/>
    </row>
    <row r="143" spans="5:6" ht="12.75">
      <c r="E143" s="148"/>
      <c r="F143" s="148"/>
    </row>
    <row r="144" spans="5:6" ht="12.75">
      <c r="E144" s="148"/>
      <c r="F144" s="148"/>
    </row>
    <row r="145" spans="5:6" ht="12.75">
      <c r="E145" s="148"/>
      <c r="F145" s="148"/>
    </row>
    <row r="146" spans="5:6" ht="12.75">
      <c r="E146" s="148"/>
      <c r="F146" s="148"/>
    </row>
    <row r="147" spans="5:6" ht="12.75">
      <c r="E147" s="148"/>
      <c r="F147" s="148"/>
    </row>
    <row r="148" spans="5:6" ht="12.75">
      <c r="E148" s="148"/>
      <c r="F148" s="148"/>
    </row>
    <row r="149" spans="5:6" ht="12.75">
      <c r="E149" s="148"/>
      <c r="F149" s="148"/>
    </row>
    <row r="150" spans="5:6" ht="12.75">
      <c r="E150" s="148"/>
      <c r="F150" s="148"/>
    </row>
    <row r="151" spans="5:6" ht="12.75">
      <c r="E151" s="148"/>
      <c r="F151" s="148"/>
    </row>
    <row r="152" spans="5:6" ht="12.75">
      <c r="E152" s="148"/>
      <c r="F152" s="148"/>
    </row>
    <row r="153" spans="5:6" ht="12.75">
      <c r="E153" s="148"/>
      <c r="F153" s="148"/>
    </row>
    <row r="154" spans="5:6" ht="12.75">
      <c r="E154" s="148"/>
      <c r="F154" s="148"/>
    </row>
    <row r="155" spans="5:6" ht="12.75">
      <c r="E155" s="148"/>
      <c r="F155" s="148"/>
    </row>
    <row r="156" spans="5:6" ht="12.75">
      <c r="E156" s="148"/>
      <c r="F156" s="148"/>
    </row>
    <row r="157" spans="5:6" ht="12.75">
      <c r="E157" s="148"/>
      <c r="F157" s="148"/>
    </row>
    <row r="158" spans="5:6" ht="12.75">
      <c r="E158" s="148"/>
      <c r="F158" s="148"/>
    </row>
    <row r="159" spans="5:6" ht="12.75">
      <c r="E159" s="148"/>
      <c r="F159" s="148"/>
    </row>
    <row r="160" spans="5:6" ht="12.75">
      <c r="E160" s="148"/>
      <c r="F160" s="148"/>
    </row>
    <row r="161" spans="5:6" ht="12.75">
      <c r="E161" s="148"/>
      <c r="F161" s="148"/>
    </row>
    <row r="162" spans="5:6" ht="12.75">
      <c r="E162" s="148"/>
      <c r="F162" s="148"/>
    </row>
    <row r="163" spans="5:6" ht="12.75">
      <c r="E163" s="148"/>
      <c r="F163" s="148"/>
    </row>
    <row r="164" spans="5:6" ht="12.75">
      <c r="E164" s="148"/>
      <c r="F164" s="148"/>
    </row>
    <row r="165" spans="5:6" ht="12.75">
      <c r="E165" s="148"/>
      <c r="F165" s="148"/>
    </row>
    <row r="166" spans="5:6" ht="12.75">
      <c r="E166" s="148"/>
      <c r="F166" s="148"/>
    </row>
    <row r="167" spans="5:6" ht="12.75">
      <c r="E167" s="148"/>
      <c r="F167" s="148"/>
    </row>
    <row r="168" spans="5:6" ht="12.75">
      <c r="E168" s="148"/>
      <c r="F168" s="148"/>
    </row>
    <row r="169" spans="5:6" ht="12.75">
      <c r="E169" s="148"/>
      <c r="F169" s="148"/>
    </row>
    <row r="170" spans="5:6" ht="12.75">
      <c r="E170" s="148"/>
      <c r="F170" s="148"/>
    </row>
    <row r="171" spans="5:6" ht="12.75">
      <c r="E171" s="148"/>
      <c r="F171" s="148"/>
    </row>
    <row r="172" spans="5:6" ht="12.75">
      <c r="E172" s="148"/>
      <c r="F172" s="148"/>
    </row>
    <row r="173" spans="5:6" ht="12.75">
      <c r="E173" s="148"/>
      <c r="F173" s="148"/>
    </row>
    <row r="174" spans="5:6" ht="12.75">
      <c r="E174" s="148"/>
      <c r="F174" s="148"/>
    </row>
    <row r="175" spans="5:6" ht="12.75">
      <c r="E175" s="148"/>
      <c r="F175" s="148"/>
    </row>
    <row r="176" spans="5:6" ht="12.75">
      <c r="E176" s="148"/>
      <c r="F176" s="148"/>
    </row>
    <row r="177" spans="5:6" ht="12.75">
      <c r="E177" s="148"/>
      <c r="F177" s="148"/>
    </row>
    <row r="178" spans="5:6" ht="12.75">
      <c r="E178" s="148"/>
      <c r="F178" s="148"/>
    </row>
    <row r="179" spans="5:6" ht="12.75">
      <c r="E179" s="148"/>
      <c r="F179" s="148"/>
    </row>
    <row r="180" spans="5:6" ht="12.75">
      <c r="E180" s="148"/>
      <c r="F180" s="148"/>
    </row>
    <row r="181" spans="5:6" ht="12.75">
      <c r="E181" s="148"/>
      <c r="F181" s="148"/>
    </row>
    <row r="182" spans="5:6" ht="12.75">
      <c r="E182" s="148"/>
      <c r="F182" s="148"/>
    </row>
    <row r="183" spans="5:6" ht="12.75">
      <c r="E183" s="148"/>
      <c r="F183" s="148"/>
    </row>
    <row r="184" spans="5:6" ht="12.75">
      <c r="E184" s="148"/>
      <c r="F184" s="148"/>
    </row>
    <row r="185" spans="5:6" ht="12.75">
      <c r="E185" s="148"/>
      <c r="F185" s="148"/>
    </row>
    <row r="186" spans="5:6" ht="12.75">
      <c r="E186" s="148"/>
      <c r="F186" s="148"/>
    </row>
    <row r="187" spans="5:6" ht="12.75">
      <c r="E187" s="148"/>
      <c r="F187" s="148"/>
    </row>
    <row r="188" spans="5:6" ht="12.75">
      <c r="E188" s="148"/>
      <c r="F188" s="148"/>
    </row>
    <row r="189" spans="5:6" ht="12.75">
      <c r="E189" s="148"/>
      <c r="F189" s="148"/>
    </row>
    <row r="190" spans="5:6" ht="12.75">
      <c r="E190" s="148"/>
      <c r="F190" s="148"/>
    </row>
    <row r="191" spans="5:6" ht="12.75">
      <c r="E191" s="148"/>
      <c r="F191" s="148"/>
    </row>
    <row r="192" spans="5:6" ht="12.75">
      <c r="E192" s="148"/>
      <c r="F192" s="148"/>
    </row>
    <row r="193" spans="5:6" ht="12.75">
      <c r="E193" s="148"/>
      <c r="F193" s="148"/>
    </row>
    <row r="194" spans="5:6" ht="12.75">
      <c r="E194" s="148"/>
      <c r="F194" s="148"/>
    </row>
    <row r="195" spans="5:6" ht="12.75">
      <c r="E195" s="148"/>
      <c r="F195" s="148"/>
    </row>
    <row r="196" spans="5:6" ht="12.75">
      <c r="E196" s="148"/>
      <c r="F196" s="148"/>
    </row>
    <row r="197" spans="5:6" ht="12.75">
      <c r="E197" s="148"/>
      <c r="F197" s="148"/>
    </row>
    <row r="198" spans="5:6" ht="12.75">
      <c r="E198" s="148"/>
      <c r="F198" s="148"/>
    </row>
    <row r="199" spans="5:6" ht="12.75">
      <c r="E199" s="148"/>
      <c r="F199" s="148"/>
    </row>
    <row r="200" spans="5:6" ht="12.75">
      <c r="E200" s="148"/>
      <c r="F200" s="148"/>
    </row>
    <row r="201" spans="5:6" ht="12.75">
      <c r="E201" s="148"/>
      <c r="F201" s="148"/>
    </row>
    <row r="202" spans="5:6" ht="12.75">
      <c r="E202" s="148"/>
      <c r="F202" s="148"/>
    </row>
    <row r="203" spans="5:6" ht="12.75">
      <c r="E203" s="148"/>
      <c r="F203" s="148"/>
    </row>
    <row r="204" spans="5:6" ht="12.75">
      <c r="E204" s="148"/>
      <c r="F204" s="148"/>
    </row>
    <row r="205" spans="5:6" ht="12.75">
      <c r="E205" s="148"/>
      <c r="F205" s="148"/>
    </row>
    <row r="206" spans="5:6" ht="12.75">
      <c r="E206" s="148"/>
      <c r="F206" s="148"/>
    </row>
    <row r="207" spans="5:6" ht="12.75">
      <c r="E207" s="148"/>
      <c r="F207" s="148"/>
    </row>
    <row r="208" spans="5:6" ht="12.75">
      <c r="E208" s="148"/>
      <c r="F208" s="148"/>
    </row>
    <row r="209" spans="5:6" ht="12.75">
      <c r="E209" s="148"/>
      <c r="F209" s="148"/>
    </row>
    <row r="210" spans="5:6" ht="12.75">
      <c r="E210" s="148"/>
      <c r="F210" s="148"/>
    </row>
    <row r="211" spans="5:6" ht="12.75">
      <c r="E211" s="148"/>
      <c r="F211" s="148"/>
    </row>
    <row r="212" spans="5:6" ht="12.75">
      <c r="E212" s="148"/>
      <c r="F212" s="148"/>
    </row>
    <row r="213" spans="5:6" ht="12.75">
      <c r="E213" s="148"/>
      <c r="F213" s="148"/>
    </row>
    <row r="214" spans="5:6" ht="12.75">
      <c r="E214" s="148"/>
      <c r="F214" s="148"/>
    </row>
    <row r="215" spans="5:6" ht="12.75">
      <c r="E215" s="148"/>
      <c r="F215" s="148"/>
    </row>
    <row r="216" spans="5:6" ht="12.75">
      <c r="E216" s="148"/>
      <c r="F216" s="148"/>
    </row>
    <row r="217" spans="5:6" ht="12.75">
      <c r="E217" s="148"/>
      <c r="F217" s="148"/>
    </row>
    <row r="218" spans="5:6" ht="12.75">
      <c r="E218" s="148"/>
      <c r="F218" s="148"/>
    </row>
    <row r="219" spans="5:6" ht="12.75">
      <c r="E219" s="148"/>
      <c r="F219" s="148"/>
    </row>
    <row r="220" spans="5:6" ht="12.75">
      <c r="E220" s="148"/>
      <c r="F220" s="148"/>
    </row>
    <row r="221" spans="5:6" ht="12.75">
      <c r="E221" s="148"/>
      <c r="F221" s="148"/>
    </row>
    <row r="222" spans="5:6" ht="12.75">
      <c r="E222" s="148"/>
      <c r="F222" s="148"/>
    </row>
    <row r="223" spans="5:6" ht="12.75">
      <c r="E223" s="148"/>
      <c r="F223" s="148"/>
    </row>
    <row r="224" spans="5:6" ht="12.75">
      <c r="E224" s="148"/>
      <c r="F224" s="148"/>
    </row>
    <row r="225" spans="5:6" ht="12.75">
      <c r="E225" s="148"/>
      <c r="F225" s="148"/>
    </row>
    <row r="226" spans="5:6" ht="12.75">
      <c r="E226" s="148"/>
      <c r="F226" s="148"/>
    </row>
    <row r="227" spans="5:6" ht="12.75">
      <c r="E227" s="148"/>
      <c r="F227" s="148"/>
    </row>
    <row r="228" spans="5:6" ht="12.75">
      <c r="E228" s="148"/>
      <c r="F228" s="148"/>
    </row>
    <row r="229" spans="5:6" ht="12.75">
      <c r="E229" s="148"/>
      <c r="F229" s="148"/>
    </row>
    <row r="230" spans="5:6" ht="12.75">
      <c r="E230" s="148"/>
      <c r="F230" s="148"/>
    </row>
    <row r="231" spans="5:6" ht="12.75">
      <c r="E231" s="148"/>
      <c r="F231" s="148"/>
    </row>
    <row r="232" spans="5:6" ht="12.75">
      <c r="E232" s="148"/>
      <c r="F232" s="148"/>
    </row>
    <row r="233" spans="5:6" ht="12.75">
      <c r="E233" s="148"/>
      <c r="F233" s="148"/>
    </row>
    <row r="234" spans="5:6" ht="12.75">
      <c r="E234" s="148"/>
      <c r="F234" s="148"/>
    </row>
    <row r="235" spans="5:6" ht="12.75">
      <c r="E235" s="148"/>
      <c r="F235" s="148"/>
    </row>
    <row r="236" spans="5:6" ht="12.75">
      <c r="E236" s="148"/>
      <c r="F236" s="148"/>
    </row>
    <row r="237" spans="5:6" ht="12.75">
      <c r="E237" s="148"/>
      <c r="F237" s="148"/>
    </row>
    <row r="238" spans="5:6" ht="12.75">
      <c r="E238" s="148"/>
      <c r="F238" s="148"/>
    </row>
    <row r="239" spans="5:6" ht="12.75">
      <c r="E239" s="148"/>
      <c r="F239" s="148"/>
    </row>
    <row r="240" spans="5:6" ht="12.75">
      <c r="E240" s="148"/>
      <c r="F240" s="148"/>
    </row>
    <row r="241" spans="5:6" ht="12.75">
      <c r="E241" s="148"/>
      <c r="F241" s="148"/>
    </row>
    <row r="242" spans="5:6" ht="12.75">
      <c r="E242" s="148"/>
      <c r="F242" s="148"/>
    </row>
    <row r="243" spans="5:6" ht="12.75">
      <c r="E243" s="148"/>
      <c r="F243" s="148"/>
    </row>
    <row r="244" spans="5:6" ht="12.75">
      <c r="E244" s="148"/>
      <c r="F244" s="148"/>
    </row>
    <row r="245" spans="5:6" ht="12.75">
      <c r="E245" s="148"/>
      <c r="F245" s="148"/>
    </row>
    <row r="246" spans="5:6" ht="12.75">
      <c r="E246" s="148"/>
      <c r="F246" s="148"/>
    </row>
    <row r="247" spans="5:6" ht="12.75">
      <c r="E247" s="148"/>
      <c r="F247" s="148"/>
    </row>
    <row r="248" spans="5:6" ht="12.75">
      <c r="E248" s="148"/>
      <c r="F248" s="148"/>
    </row>
    <row r="249" spans="5:6" ht="12.75">
      <c r="E249" s="148"/>
      <c r="F249" s="148"/>
    </row>
    <row r="250" spans="5:6" ht="12.75">
      <c r="E250" s="148"/>
      <c r="F250" s="148"/>
    </row>
    <row r="251" spans="5:6" ht="12.75">
      <c r="E251" s="148"/>
      <c r="F251" s="148"/>
    </row>
    <row r="252" spans="5:6" ht="12.75">
      <c r="E252" s="148"/>
      <c r="F252" s="148"/>
    </row>
    <row r="253" spans="5:6" ht="12.75">
      <c r="E253" s="148"/>
      <c r="F253" s="148"/>
    </row>
    <row r="254" spans="5:6" ht="12.75">
      <c r="E254" s="148"/>
      <c r="F254" s="148"/>
    </row>
    <row r="255" spans="5:6" ht="12.75">
      <c r="E255" s="148"/>
      <c r="F255" s="148"/>
    </row>
    <row r="256" spans="5:6" ht="12.75">
      <c r="E256" s="148"/>
      <c r="F256" s="148"/>
    </row>
    <row r="257" spans="5:6" ht="12.75">
      <c r="E257" s="148"/>
      <c r="F257" s="148"/>
    </row>
    <row r="258" spans="5:6" ht="12.75">
      <c r="E258" s="148"/>
      <c r="F258" s="148"/>
    </row>
    <row r="259" spans="5:6" ht="12.75">
      <c r="E259" s="148"/>
      <c r="F259" s="148"/>
    </row>
    <row r="260" spans="5:6" ht="12.75">
      <c r="E260" s="148"/>
      <c r="F260" s="148"/>
    </row>
    <row r="261" spans="5:6" ht="12.75">
      <c r="E261" s="148"/>
      <c r="F261" s="148"/>
    </row>
    <row r="262" spans="5:6" ht="12.75">
      <c r="E262" s="148"/>
      <c r="F262" s="148"/>
    </row>
    <row r="263" spans="5:6" ht="12.75">
      <c r="E263" s="148"/>
      <c r="F263" s="148"/>
    </row>
    <row r="264" spans="5:6" ht="12.75">
      <c r="E264" s="148"/>
      <c r="F264" s="148"/>
    </row>
    <row r="265" spans="5:6" ht="12.75">
      <c r="E265" s="148"/>
      <c r="F265" s="148"/>
    </row>
    <row r="266" spans="5:6" ht="12.75">
      <c r="E266" s="148"/>
      <c r="F266" s="148"/>
    </row>
    <row r="267" spans="5:6" ht="12.75">
      <c r="E267" s="148"/>
      <c r="F267" s="148"/>
    </row>
    <row r="268" spans="5:6" ht="12.75">
      <c r="E268" s="148"/>
      <c r="F268" s="148"/>
    </row>
    <row r="269" spans="5:6" ht="12.75">
      <c r="E269" s="148"/>
      <c r="F269" s="148"/>
    </row>
    <row r="270" spans="5:6" ht="12.75">
      <c r="E270" s="148"/>
      <c r="F270" s="148"/>
    </row>
    <row r="271" spans="5:6" ht="12.75">
      <c r="E271" s="148"/>
      <c r="F271" s="148"/>
    </row>
    <row r="272" spans="5:6" ht="12.75">
      <c r="E272" s="148"/>
      <c r="F272" s="148"/>
    </row>
    <row r="273" spans="5:6" ht="12.75">
      <c r="E273" s="148"/>
      <c r="F273" s="148"/>
    </row>
    <row r="274" spans="5:6" ht="12.75">
      <c r="E274" s="148"/>
      <c r="F274" s="148"/>
    </row>
    <row r="275" spans="5:6" ht="12.75">
      <c r="E275" s="148"/>
      <c r="F275" s="148"/>
    </row>
    <row r="276" spans="5:6" ht="12.75">
      <c r="E276" s="148"/>
      <c r="F276" s="148"/>
    </row>
    <row r="277" spans="5:6" ht="12.75">
      <c r="E277" s="148"/>
      <c r="F277" s="148"/>
    </row>
    <row r="278" spans="5:6" ht="12.75">
      <c r="E278" s="148"/>
      <c r="F278" s="148"/>
    </row>
    <row r="279" spans="5:6" ht="12.75">
      <c r="E279" s="148"/>
      <c r="F279" s="148"/>
    </row>
    <row r="280" spans="5:6" ht="12.75">
      <c r="E280" s="148"/>
      <c r="F280" s="148"/>
    </row>
    <row r="281" spans="5:6" ht="12.75">
      <c r="E281" s="148"/>
      <c r="F281" s="148"/>
    </row>
    <row r="282" spans="5:6" ht="12.75">
      <c r="E282" s="148"/>
      <c r="F282" s="148"/>
    </row>
    <row r="283" spans="5:6" ht="12.75">
      <c r="E283" s="148"/>
      <c r="F283" s="148"/>
    </row>
    <row r="284" spans="5:6" ht="12.75">
      <c r="E284" s="148"/>
      <c r="F284" s="148"/>
    </row>
    <row r="285" spans="5:6" ht="12.75">
      <c r="E285" s="148"/>
      <c r="F285" s="148"/>
    </row>
    <row r="286" spans="5:6" ht="12.75">
      <c r="E286" s="148"/>
      <c r="F286" s="148"/>
    </row>
    <row r="287" spans="5:6" ht="12.75">
      <c r="E287" s="148"/>
      <c r="F287" s="148"/>
    </row>
    <row r="288" spans="5:6" ht="12.75">
      <c r="E288" s="148"/>
      <c r="F288" s="148"/>
    </row>
    <row r="289" spans="5:6" ht="12.75">
      <c r="E289" s="148"/>
      <c r="F289" s="148"/>
    </row>
    <row r="290" spans="5:6" ht="12.75">
      <c r="E290" s="148"/>
      <c r="F290" s="148"/>
    </row>
    <row r="291" spans="5:6" ht="12.75">
      <c r="E291" s="148"/>
      <c r="F291" s="148"/>
    </row>
    <row r="292" spans="5:6" ht="12.75">
      <c r="E292" s="148"/>
      <c r="F292" s="148"/>
    </row>
    <row r="293" spans="5:6" ht="12.75">
      <c r="E293" s="148"/>
      <c r="F293" s="148"/>
    </row>
    <row r="294" spans="5:6" ht="12.75">
      <c r="E294" s="148"/>
      <c r="F294" s="148"/>
    </row>
    <row r="295" spans="5:6" ht="12.75">
      <c r="E295" s="148"/>
      <c r="F295" s="148"/>
    </row>
    <row r="296" spans="5:6" ht="12.75">
      <c r="E296" s="148"/>
      <c r="F296" s="148"/>
    </row>
    <row r="297" spans="5:6" ht="12.75">
      <c r="E297" s="148"/>
      <c r="F297" s="148"/>
    </row>
    <row r="298" spans="5:6" ht="12.75">
      <c r="E298" s="148"/>
      <c r="F298" s="148"/>
    </row>
    <row r="299" spans="5:6" ht="12.75">
      <c r="E299" s="148"/>
      <c r="F299" s="148"/>
    </row>
    <row r="300" spans="5:6" ht="12.75">
      <c r="E300" s="148"/>
      <c r="F300" s="148"/>
    </row>
    <row r="301" spans="5:6" ht="12.75">
      <c r="E301" s="148"/>
      <c r="F301" s="148"/>
    </row>
    <row r="302" spans="5:6" ht="12.75">
      <c r="E302" s="148"/>
      <c r="F302" s="148"/>
    </row>
    <row r="303" spans="5:6" ht="12.75">
      <c r="E303" s="148"/>
      <c r="F303" s="148"/>
    </row>
    <row r="304" spans="5:6" ht="12.75">
      <c r="E304" s="148"/>
      <c r="F304" s="148"/>
    </row>
    <row r="305" spans="5:6" ht="12.75">
      <c r="E305" s="148"/>
      <c r="F305" s="148"/>
    </row>
    <row r="306" spans="5:6" ht="12.75">
      <c r="E306" s="148"/>
      <c r="F306" s="148"/>
    </row>
    <row r="307" spans="5:6" ht="12.75">
      <c r="E307" s="148"/>
      <c r="F307" s="148"/>
    </row>
    <row r="308" spans="5:6" ht="12.75">
      <c r="E308" s="148"/>
      <c r="F308" s="148"/>
    </row>
    <row r="309" spans="5:6" ht="12.75">
      <c r="E309" s="148"/>
      <c r="F309" s="148"/>
    </row>
    <row r="310" spans="5:6" ht="12.75">
      <c r="E310" s="148"/>
      <c r="F310" s="148"/>
    </row>
    <row r="311" spans="5:6" ht="12.75">
      <c r="E311" s="148"/>
      <c r="F311" s="148"/>
    </row>
    <row r="312" spans="5:6" ht="12.75">
      <c r="E312" s="148"/>
      <c r="F312" s="148"/>
    </row>
    <row r="313" spans="5:6" ht="12.75">
      <c r="E313" s="148"/>
      <c r="F313" s="148"/>
    </row>
    <row r="314" spans="5:6" ht="12.75">
      <c r="E314" s="148"/>
      <c r="F314" s="148"/>
    </row>
    <row r="315" spans="5:6" ht="12.75">
      <c r="E315" s="148"/>
      <c r="F315" s="148"/>
    </row>
    <row r="316" spans="5:6" ht="12.75">
      <c r="E316" s="148"/>
      <c r="F316" s="148"/>
    </row>
    <row r="317" spans="5:6" ht="12.75">
      <c r="E317" s="148"/>
      <c r="F317" s="148"/>
    </row>
    <row r="318" spans="5:6" ht="12.75">
      <c r="E318" s="148"/>
      <c r="F318" s="148"/>
    </row>
    <row r="319" spans="5:6" ht="12.75">
      <c r="E319" s="148"/>
      <c r="F319" s="148"/>
    </row>
    <row r="320" spans="5:6" ht="12.75">
      <c r="E320" s="148"/>
      <c r="F320" s="148"/>
    </row>
    <row r="321" spans="5:6" ht="12.75">
      <c r="E321" s="148"/>
      <c r="F321" s="148"/>
    </row>
    <row r="322" spans="5:6" ht="12.75">
      <c r="E322" s="148"/>
      <c r="F322" s="148"/>
    </row>
    <row r="323" spans="5:6" ht="12.75">
      <c r="E323" s="148"/>
      <c r="F323" s="148"/>
    </row>
  </sheetData>
  <mergeCells count="3">
    <mergeCell ref="H4:N4"/>
    <mergeCell ref="H5:N5"/>
    <mergeCell ref="H6:N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F1">
      <selection activeCell="A7" sqref="A7"/>
    </sheetView>
  </sheetViews>
  <sheetFormatPr defaultColWidth="9.140625" defaultRowHeight="12.75"/>
  <cols>
    <col min="1" max="1" width="41.00390625" style="46" hidden="1" customWidth="1"/>
    <col min="2" max="2" width="12.28125" style="46" hidden="1" customWidth="1"/>
    <col min="3" max="3" width="13.00390625" style="46" hidden="1" customWidth="1"/>
    <col min="4" max="4" width="12.7109375" style="46" hidden="1" customWidth="1"/>
    <col min="5" max="5" width="12.140625" style="46" hidden="1" customWidth="1"/>
    <col min="6" max="6" width="41.421875" style="46" customWidth="1"/>
    <col min="7" max="7" width="13.421875" style="46" customWidth="1"/>
    <col min="8" max="8" width="15.00390625" style="46" customWidth="1"/>
    <col min="9" max="9" width="12.7109375" style="46" customWidth="1"/>
    <col min="10" max="10" width="13.00390625" style="46" customWidth="1"/>
    <col min="11" max="16384" width="9.140625" style="46" customWidth="1"/>
  </cols>
  <sheetData>
    <row r="1" spans="1:10" ht="17.25" customHeight="1">
      <c r="A1" s="44" t="s">
        <v>48</v>
      </c>
      <c r="B1" s="45"/>
      <c r="C1" s="45"/>
      <c r="D1" s="44"/>
      <c r="E1" s="46" t="s">
        <v>49</v>
      </c>
      <c r="F1" s="44" t="s">
        <v>48</v>
      </c>
      <c r="G1" s="45"/>
      <c r="H1" s="45"/>
      <c r="I1" s="44"/>
      <c r="J1" s="4" t="s">
        <v>49</v>
      </c>
    </row>
    <row r="2" spans="1:10" ht="1.5" customHeight="1" hidden="1">
      <c r="A2" s="47"/>
      <c r="B2" s="47"/>
      <c r="C2" s="47"/>
      <c r="E2" s="47"/>
      <c r="F2" s="47"/>
      <c r="G2" s="47"/>
      <c r="H2" s="47"/>
      <c r="J2" s="47"/>
    </row>
    <row r="3" spans="1:10" ht="15.75" customHeight="1">
      <c r="A3" s="47"/>
      <c r="B3" s="47"/>
      <c r="C3" s="47"/>
      <c r="E3" s="47"/>
      <c r="F3" s="47"/>
      <c r="G3" s="47"/>
      <c r="H3" s="47"/>
      <c r="J3" s="47"/>
    </row>
    <row r="4" spans="1:10" ht="20.25">
      <c r="A4" s="48" t="s">
        <v>50</v>
      </c>
      <c r="B4" s="49"/>
      <c r="C4" s="49"/>
      <c r="D4" s="49"/>
      <c r="E4" s="49"/>
      <c r="F4" s="48" t="s">
        <v>51</v>
      </c>
      <c r="G4" s="49"/>
      <c r="H4" s="49"/>
      <c r="I4" s="49"/>
      <c r="J4" s="49"/>
    </row>
    <row r="5" spans="1:10" ht="20.25">
      <c r="A5" s="40" t="s">
        <v>52</v>
      </c>
      <c r="B5" s="50"/>
      <c r="C5" s="50"/>
      <c r="D5" s="50"/>
      <c r="E5" s="50"/>
      <c r="F5" s="40" t="s">
        <v>52</v>
      </c>
      <c r="G5" s="50"/>
      <c r="H5" s="50"/>
      <c r="I5" s="50"/>
      <c r="J5" s="50"/>
    </row>
    <row r="6" spans="1:10" ht="12.75">
      <c r="A6" s="47"/>
      <c r="B6" s="47"/>
      <c r="C6" s="47"/>
      <c r="E6" s="47" t="s">
        <v>6</v>
      </c>
      <c r="F6" s="47"/>
      <c r="G6" s="47"/>
      <c r="H6" s="47"/>
      <c r="J6" s="51" t="s">
        <v>6</v>
      </c>
    </row>
    <row r="7" spans="1:10" ht="52.5" customHeight="1">
      <c r="A7" s="52" t="s">
        <v>7</v>
      </c>
      <c r="B7" s="52" t="s">
        <v>53</v>
      </c>
      <c r="C7" s="52" t="s">
        <v>10</v>
      </c>
      <c r="D7" s="52" t="s">
        <v>54</v>
      </c>
      <c r="E7" s="12" t="s">
        <v>55</v>
      </c>
      <c r="F7" s="52" t="s">
        <v>7</v>
      </c>
      <c r="G7" s="52" t="s">
        <v>56</v>
      </c>
      <c r="H7" s="52" t="s">
        <v>10</v>
      </c>
      <c r="I7" s="52" t="s">
        <v>54</v>
      </c>
      <c r="J7" s="12" t="s">
        <v>55</v>
      </c>
    </row>
    <row r="8" spans="1:10" ht="12.75">
      <c r="A8" s="52">
        <v>1</v>
      </c>
      <c r="B8" s="52">
        <v>2</v>
      </c>
      <c r="C8" s="52">
        <v>3</v>
      </c>
      <c r="D8" s="52">
        <v>4</v>
      </c>
      <c r="E8" s="52">
        <v>5</v>
      </c>
      <c r="F8" s="52">
        <v>1</v>
      </c>
      <c r="G8" s="52">
        <v>2</v>
      </c>
      <c r="H8" s="52">
        <v>3</v>
      </c>
      <c r="I8" s="52">
        <v>4</v>
      </c>
      <c r="J8" s="52">
        <v>5</v>
      </c>
    </row>
    <row r="9" spans="1:10" ht="12.75">
      <c r="A9" s="53" t="s">
        <v>57</v>
      </c>
      <c r="B9" s="54">
        <f>SUM(B10:B11)</f>
        <v>0</v>
      </c>
      <c r="C9" s="54">
        <f>SUM(C10:C11)</f>
        <v>2419487</v>
      </c>
      <c r="D9" s="55" t="str">
        <f>IF(ISERROR(C9/B9)," ",(C9/B9))</f>
        <v> </v>
      </c>
      <c r="E9" s="54">
        <f>SUM(E10:E11)</f>
        <v>974056</v>
      </c>
      <c r="F9" s="53" t="s">
        <v>57</v>
      </c>
      <c r="G9" s="56">
        <f>SUM(G10:G11)</f>
        <v>0</v>
      </c>
      <c r="H9" s="57">
        <f>SUM(H10:H11)</f>
        <v>2419</v>
      </c>
      <c r="I9" s="58" t="str">
        <f>IF(ISERROR(ROUND(H9,0)/ROUND(g,0))," ",(ROUND(H9,)/ROUND(G9,)))</f>
        <v> </v>
      </c>
      <c r="J9" s="56">
        <f>SUM(J10:J11)</f>
        <v>974</v>
      </c>
    </row>
    <row r="10" spans="1:10" ht="17.25" customHeight="1">
      <c r="A10" s="31" t="s">
        <v>58</v>
      </c>
      <c r="B10" s="59"/>
      <c r="C10" s="59">
        <v>1529234</v>
      </c>
      <c r="D10" s="60" t="str">
        <f aca="true" t="shared" si="0" ref="D10:D15">IF(ISERROR(C10/B10)," ",(C10/B10))</f>
        <v> </v>
      </c>
      <c r="E10" s="59">
        <f>C10-'[1]Aprīlis'!C10</f>
        <v>394661</v>
      </c>
      <c r="F10" s="31" t="s">
        <v>58</v>
      </c>
      <c r="G10" s="52" t="s">
        <v>59</v>
      </c>
      <c r="H10" s="59">
        <f>ROUND(C10/1000,0)</f>
        <v>1529</v>
      </c>
      <c r="I10" s="61" t="str">
        <f aca="true" t="shared" si="1" ref="I10:I15">IF(ISERROR(ROUND(H10,0)/ROUND(g,0))," ",(ROUND(H10,)/ROUND(G10,)))</f>
        <v> </v>
      </c>
      <c r="J10" s="59">
        <f>H10-'[1]Aprīlis'!H10</f>
        <v>394</v>
      </c>
    </row>
    <row r="11" spans="1:10" ht="17.25" customHeight="1">
      <c r="A11" s="31" t="s">
        <v>60</v>
      </c>
      <c r="B11" s="59"/>
      <c r="C11" s="59">
        <f>48395+841858</f>
        <v>890253</v>
      </c>
      <c r="D11" s="60" t="str">
        <f t="shared" si="0"/>
        <v> </v>
      </c>
      <c r="E11" s="59">
        <f>C11-'[1]Aprīlis'!C11</f>
        <v>579395</v>
      </c>
      <c r="F11" s="31" t="s">
        <v>60</v>
      </c>
      <c r="G11" s="52" t="s">
        <v>59</v>
      </c>
      <c r="H11" s="59">
        <f>ROUND(C11/1000,0)</f>
        <v>890</v>
      </c>
      <c r="I11" s="61" t="str">
        <f t="shared" si="1"/>
        <v> </v>
      </c>
      <c r="J11" s="59">
        <f>H11-'[1]Aprīlis'!H11</f>
        <v>580</v>
      </c>
    </row>
    <row r="12" spans="1:10" ht="12.75">
      <c r="A12" s="53" t="s">
        <v>61</v>
      </c>
      <c r="B12" s="62">
        <f>SUM(B13,B30)</f>
        <v>0</v>
      </c>
      <c r="C12" s="62">
        <f>SUM(C13,C30)</f>
        <v>3609970</v>
      </c>
      <c r="D12" s="55" t="str">
        <f t="shared" si="0"/>
        <v> </v>
      </c>
      <c r="E12" s="62">
        <f>SUM(E13,E30)</f>
        <v>1086154</v>
      </c>
      <c r="F12" s="53" t="s">
        <v>61</v>
      </c>
      <c r="G12" s="41">
        <f>SUM(G13,G30)</f>
        <v>0</v>
      </c>
      <c r="H12" s="41">
        <f>SUM(H13,H30)</f>
        <v>3609</v>
      </c>
      <c r="I12" s="58" t="str">
        <f t="shared" si="1"/>
        <v> </v>
      </c>
      <c r="J12" s="41">
        <f>SUM(J13,J30)</f>
        <v>1085</v>
      </c>
    </row>
    <row r="13" spans="1:10" ht="16.5" customHeight="1">
      <c r="A13" s="63" t="s">
        <v>62</v>
      </c>
      <c r="B13" s="62">
        <f>SUM(B14,B21,B24)</f>
        <v>0</v>
      </c>
      <c r="C13" s="62">
        <f>SUM(C14,C21,C24)</f>
        <v>3295600</v>
      </c>
      <c r="D13" s="55" t="str">
        <f t="shared" si="0"/>
        <v> </v>
      </c>
      <c r="E13" s="62">
        <f>SUM(E14,E21,E24)</f>
        <v>925340</v>
      </c>
      <c r="F13" s="63" t="s">
        <v>62</v>
      </c>
      <c r="G13" s="41">
        <f>SUM(G14,G21,G24)</f>
        <v>0</v>
      </c>
      <c r="H13" s="41">
        <f>SUM(H14,H21,H24)</f>
        <v>3295</v>
      </c>
      <c r="I13" s="58" t="str">
        <f t="shared" si="1"/>
        <v> </v>
      </c>
      <c r="J13" s="41">
        <f>SUM(J14,J21,J24)</f>
        <v>925</v>
      </c>
    </row>
    <row r="14" spans="1:10" ht="12.75">
      <c r="A14" s="64" t="s">
        <v>63</v>
      </c>
      <c r="B14" s="65"/>
      <c r="C14" s="66">
        <f>SUM(C15,C16,C17,C20)</f>
        <v>3117342</v>
      </c>
      <c r="D14" s="55" t="str">
        <f t="shared" si="0"/>
        <v> </v>
      </c>
      <c r="E14" s="66">
        <f>SUM(E15,E16,E17,E20)</f>
        <v>877107</v>
      </c>
      <c r="F14" s="64" t="s">
        <v>63</v>
      </c>
      <c r="G14" s="67">
        <f>ROUND(B14/1000,0)</f>
        <v>0</v>
      </c>
      <c r="H14" s="68">
        <f>SUM(H15,H16,H17,H20)</f>
        <v>3117</v>
      </c>
      <c r="I14" s="61" t="str">
        <f t="shared" si="1"/>
        <v> </v>
      </c>
      <c r="J14" s="68">
        <f>SUM(J15,J16,J17,J20)</f>
        <v>876</v>
      </c>
    </row>
    <row r="15" spans="1:10" ht="12.75">
      <c r="A15" s="24" t="s">
        <v>64</v>
      </c>
      <c r="B15" s="43"/>
      <c r="C15" s="43">
        <f>125106</f>
        <v>125106</v>
      </c>
      <c r="D15" s="69" t="str">
        <f t="shared" si="0"/>
        <v> </v>
      </c>
      <c r="E15" s="59">
        <f>C15-'[1]Aprīlis'!C15</f>
        <v>10660</v>
      </c>
      <c r="F15" s="24" t="s">
        <v>64</v>
      </c>
      <c r="G15" s="59">
        <f>ROUND(B15/1000,0)</f>
        <v>0</v>
      </c>
      <c r="H15" s="59">
        <f>ROUND(C15/1000,0)</f>
        <v>125</v>
      </c>
      <c r="I15" s="61" t="str">
        <f t="shared" si="1"/>
        <v> </v>
      </c>
      <c r="J15" s="59">
        <f>H15-'[1]Aprīlis'!H15</f>
        <v>11</v>
      </c>
    </row>
    <row r="16" spans="1:10" ht="12.75">
      <c r="A16" s="31" t="s">
        <v>65</v>
      </c>
      <c r="B16" s="70" t="s">
        <v>59</v>
      </c>
      <c r="C16" s="43">
        <f>39579</f>
        <v>39579</v>
      </c>
      <c r="D16" s="70" t="s">
        <v>59</v>
      </c>
      <c r="E16" s="59">
        <f>C16-'[1]Aprīlis'!C16</f>
        <v>4831</v>
      </c>
      <c r="F16" s="31" t="s">
        <v>65</v>
      </c>
      <c r="G16" s="70" t="s">
        <v>59</v>
      </c>
      <c r="H16" s="59">
        <f>ROUND(C16/1000,0)</f>
        <v>40</v>
      </c>
      <c r="I16" s="70" t="s">
        <v>59</v>
      </c>
      <c r="J16" s="59">
        <f>H16-'[1]Aprīlis'!H16</f>
        <v>5</v>
      </c>
    </row>
    <row r="17" spans="1:10" ht="12.75">
      <c r="A17" s="31" t="s">
        <v>66</v>
      </c>
      <c r="B17" s="70" t="s">
        <v>59</v>
      </c>
      <c r="C17" s="43">
        <f>SUM(C18:C19)</f>
        <v>2952657</v>
      </c>
      <c r="D17" s="70" t="s">
        <v>59</v>
      </c>
      <c r="E17" s="71">
        <f>SUM(E18:E19)</f>
        <v>861616</v>
      </c>
      <c r="F17" s="31" t="s">
        <v>66</v>
      </c>
      <c r="G17" s="70" t="s">
        <v>59</v>
      </c>
      <c r="H17" s="71">
        <f>SUM(H18:H19)</f>
        <v>2952</v>
      </c>
      <c r="I17" s="70" t="s">
        <v>59</v>
      </c>
      <c r="J17" s="71">
        <f>SUM(J18:J19)</f>
        <v>860</v>
      </c>
    </row>
    <row r="18" spans="1:10" s="76" customFormat="1" ht="12.75">
      <c r="A18" s="72" t="s">
        <v>67</v>
      </c>
      <c r="B18" s="73" t="s">
        <v>59</v>
      </c>
      <c r="C18" s="74">
        <f>1645001+415028+235+148245+432883</f>
        <v>2641392</v>
      </c>
      <c r="D18" s="73" t="s">
        <v>59</v>
      </c>
      <c r="E18" s="59">
        <f>C18-'[1]Aprīlis'!C18</f>
        <v>752886</v>
      </c>
      <c r="F18" s="72" t="s">
        <v>67</v>
      </c>
      <c r="G18" s="73" t="s">
        <v>59</v>
      </c>
      <c r="H18" s="75">
        <f>ROUND(C18/1000,0)</f>
        <v>2641</v>
      </c>
      <c r="I18" s="73" t="s">
        <v>59</v>
      </c>
      <c r="J18" s="59">
        <f>H18-'[1]Aprīlis'!H18</f>
        <v>752</v>
      </c>
    </row>
    <row r="19" spans="1:10" s="76" customFormat="1" ht="12.75">
      <c r="A19" s="72" t="s">
        <v>68</v>
      </c>
      <c r="B19" s="73" t="s">
        <v>59</v>
      </c>
      <c r="C19" s="74">
        <f>57479+61843+144+39961+148214+3624</f>
        <v>311265</v>
      </c>
      <c r="D19" s="73" t="s">
        <v>59</v>
      </c>
      <c r="E19" s="59">
        <f>C19-'[1]Aprīlis'!C19</f>
        <v>108730</v>
      </c>
      <c r="F19" s="72" t="s">
        <v>68</v>
      </c>
      <c r="G19" s="73" t="s">
        <v>59</v>
      </c>
      <c r="H19" s="75">
        <f>ROUND(C19/1000,0)</f>
        <v>311</v>
      </c>
      <c r="I19" s="73" t="s">
        <v>59</v>
      </c>
      <c r="J19" s="59">
        <f>H19-'[1]Aprīlis'!H19</f>
        <v>108</v>
      </c>
    </row>
    <row r="20" spans="1:10" ht="12.75">
      <c r="A20" s="31" t="s">
        <v>69</v>
      </c>
      <c r="B20" s="70" t="s">
        <v>59</v>
      </c>
      <c r="C20" s="43"/>
      <c r="D20" s="70" t="s">
        <v>59</v>
      </c>
      <c r="E20" s="59">
        <f>C20-'[1]Aprīlis'!C20</f>
        <v>0</v>
      </c>
      <c r="F20" s="31" t="s">
        <v>69</v>
      </c>
      <c r="G20" s="70" t="s">
        <v>59</v>
      </c>
      <c r="H20" s="59">
        <f>ROUND(C20/1000,0)</f>
        <v>0</v>
      </c>
      <c r="I20" s="70" t="s">
        <v>59</v>
      </c>
      <c r="J20" s="59">
        <f>H20-'[1]Aprīlis'!H20</f>
        <v>0</v>
      </c>
    </row>
    <row r="21" spans="1:10" ht="12.75">
      <c r="A21" s="77" t="s">
        <v>70</v>
      </c>
      <c r="B21" s="70"/>
      <c r="C21" s="66">
        <f>SUM(C22:C23)</f>
        <v>99452</v>
      </c>
      <c r="D21" s="55" t="str">
        <f>IF(ISERROR(C21/B21)," ",(C21/B21))</f>
        <v> </v>
      </c>
      <c r="E21" s="66">
        <f>SUM(E22:E23)</f>
        <v>0</v>
      </c>
      <c r="F21" s="77" t="s">
        <v>70</v>
      </c>
      <c r="G21" s="70"/>
      <c r="H21" s="68">
        <f>SUM(H22:H23)</f>
        <v>99</v>
      </c>
      <c r="I21" s="61" t="str">
        <f>IF(ISERROR(ROUND(H21,0)/ROUND(g,0))," ",(ROUND(H21,)/ROUND(G21,)))</f>
        <v> </v>
      </c>
      <c r="J21" s="68">
        <f>SUM(J22:J23)</f>
        <v>0</v>
      </c>
    </row>
    <row r="22" spans="1:10" ht="12.75">
      <c r="A22" s="31" t="s">
        <v>71</v>
      </c>
      <c r="B22" s="70" t="s">
        <v>59</v>
      </c>
      <c r="C22" s="43">
        <v>99452</v>
      </c>
      <c r="D22" s="70" t="s">
        <v>59</v>
      </c>
      <c r="E22" s="59">
        <f>C22-'[1]Aprīlis'!C22</f>
        <v>0</v>
      </c>
      <c r="F22" s="31" t="s">
        <v>71</v>
      </c>
      <c r="G22" s="70" t="s">
        <v>59</v>
      </c>
      <c r="H22" s="59">
        <f>ROUND(C22/1000,0)</f>
        <v>99</v>
      </c>
      <c r="I22" s="70" t="s">
        <v>59</v>
      </c>
      <c r="J22" s="59">
        <f>H22-'[1]Aprīlis'!H22</f>
        <v>0</v>
      </c>
    </row>
    <row r="23" spans="1:10" ht="12.75">
      <c r="A23" s="31" t="s">
        <v>72</v>
      </c>
      <c r="B23" s="70" t="s">
        <v>59</v>
      </c>
      <c r="C23" s="43"/>
      <c r="D23" s="70" t="s">
        <v>59</v>
      </c>
      <c r="E23" s="59">
        <f>C23-'[1]Aprīlis'!C23</f>
        <v>0</v>
      </c>
      <c r="F23" s="31" t="s">
        <v>72</v>
      </c>
      <c r="G23" s="70" t="s">
        <v>59</v>
      </c>
      <c r="H23" s="59">
        <f>ROUND(C23/1000,0)</f>
        <v>0</v>
      </c>
      <c r="I23" s="70" t="s">
        <v>59</v>
      </c>
      <c r="J23" s="59">
        <f>H23-'[1]Aprīlis'!H23</f>
        <v>0</v>
      </c>
    </row>
    <row r="24" spans="1:10" ht="17.25" customHeight="1">
      <c r="A24" s="78" t="s">
        <v>73</v>
      </c>
      <c r="B24" s="43"/>
      <c r="C24" s="66">
        <f>SUM(C25:C29)</f>
        <v>78806</v>
      </c>
      <c r="D24" s="55" t="str">
        <f>IF(ISERROR(C24/B24)," ",(C24/B24))</f>
        <v> </v>
      </c>
      <c r="E24" s="66">
        <f>SUM(E25:E29)</f>
        <v>48233</v>
      </c>
      <c r="F24" s="78" t="s">
        <v>73</v>
      </c>
      <c r="G24" s="70"/>
      <c r="H24" s="68">
        <f>SUM(H25:H29)</f>
        <v>79</v>
      </c>
      <c r="I24" s="61" t="str">
        <f>IF(ISERROR(ROUND(H24,0)/ROUND(g,0))," ",(ROUND(H24,)/ROUND(G24,)))</f>
        <v> </v>
      </c>
      <c r="J24" s="68">
        <f>SUM(J25:J29)</f>
        <v>49</v>
      </c>
    </row>
    <row r="25" spans="1:10" ht="15.75" customHeight="1">
      <c r="A25" s="24" t="s">
        <v>74</v>
      </c>
      <c r="B25" s="70" t="s">
        <v>59</v>
      </c>
      <c r="C25" s="43">
        <f>3398+17298</f>
        <v>20696</v>
      </c>
      <c r="D25" s="70" t="s">
        <v>59</v>
      </c>
      <c r="E25" s="59">
        <f>C25-'[1]Aprīlis'!C25</f>
        <v>17075</v>
      </c>
      <c r="F25" s="24" t="s">
        <v>74</v>
      </c>
      <c r="G25" s="70" t="s">
        <v>59</v>
      </c>
      <c r="H25" s="59">
        <f>ROUND(C25/1000,0)</f>
        <v>21</v>
      </c>
      <c r="I25" s="70" t="s">
        <v>59</v>
      </c>
      <c r="J25" s="59">
        <f>H25-'[1]Aprīlis'!H25</f>
        <v>17</v>
      </c>
    </row>
    <row r="26" spans="1:10" ht="15.75" customHeight="1">
      <c r="A26" s="24" t="s">
        <v>75</v>
      </c>
      <c r="B26" s="70" t="s">
        <v>59</v>
      </c>
      <c r="C26" s="43">
        <v>11967</v>
      </c>
      <c r="D26" s="70" t="s">
        <v>59</v>
      </c>
      <c r="E26" s="59">
        <f>C26-'[1]Aprīlis'!C26</f>
        <v>11967</v>
      </c>
      <c r="F26" s="24" t="s">
        <v>75</v>
      </c>
      <c r="G26" s="70" t="s">
        <v>59</v>
      </c>
      <c r="H26" s="59">
        <f>ROUND(C26/1000,0)</f>
        <v>12</v>
      </c>
      <c r="I26" s="70" t="s">
        <v>59</v>
      </c>
      <c r="J26" s="59">
        <f>H26-'[1]Aprīlis'!H26</f>
        <v>12</v>
      </c>
    </row>
    <row r="27" spans="1:10" ht="16.5" customHeight="1">
      <c r="A27" s="31" t="s">
        <v>76</v>
      </c>
      <c r="B27" s="70" t="s">
        <v>59</v>
      </c>
      <c r="C27" s="43"/>
      <c r="D27" s="70" t="s">
        <v>59</v>
      </c>
      <c r="E27" s="59">
        <f>C27-'[1]Aprīlis'!C27</f>
        <v>0</v>
      </c>
      <c r="F27" s="31" t="s">
        <v>76</v>
      </c>
      <c r="G27" s="70" t="s">
        <v>59</v>
      </c>
      <c r="H27" s="59">
        <f>ROUND(C27/1000,0)</f>
        <v>0</v>
      </c>
      <c r="I27" s="70" t="s">
        <v>59</v>
      </c>
      <c r="J27" s="59">
        <f>H27-'[1]Aprīlis'!H27</f>
        <v>0</v>
      </c>
    </row>
    <row r="28" spans="1:10" ht="12.75">
      <c r="A28" s="31" t="s">
        <v>77</v>
      </c>
      <c r="B28" s="70" t="s">
        <v>59</v>
      </c>
      <c r="C28" s="43">
        <v>11024</v>
      </c>
      <c r="D28" s="70" t="s">
        <v>59</v>
      </c>
      <c r="E28" s="59">
        <f>C28-'[1]Aprīlis'!C28</f>
        <v>7549</v>
      </c>
      <c r="F28" s="31" t="s">
        <v>77</v>
      </c>
      <c r="G28" s="70" t="s">
        <v>59</v>
      </c>
      <c r="H28" s="59">
        <f>ROUND(C28/1000,0)</f>
        <v>11</v>
      </c>
      <c r="I28" s="70" t="s">
        <v>59</v>
      </c>
      <c r="J28" s="59">
        <f>H28-'[1]Aprīlis'!H28</f>
        <v>8</v>
      </c>
    </row>
    <row r="29" spans="1:10" ht="15" customHeight="1">
      <c r="A29" s="31" t="s">
        <v>78</v>
      </c>
      <c r="B29" s="70" t="s">
        <v>59</v>
      </c>
      <c r="C29" s="43">
        <v>35119</v>
      </c>
      <c r="D29" s="70" t="s">
        <v>59</v>
      </c>
      <c r="E29" s="59">
        <f>C29-'[1]Aprīlis'!C29</f>
        <v>11642</v>
      </c>
      <c r="F29" s="31" t="s">
        <v>78</v>
      </c>
      <c r="G29" s="70" t="s">
        <v>59</v>
      </c>
      <c r="H29" s="59">
        <f>ROUND(C29/1000,0)</f>
        <v>35</v>
      </c>
      <c r="I29" s="70" t="s">
        <v>59</v>
      </c>
      <c r="J29" s="59">
        <f>H29-'[1]Aprīlis'!H29</f>
        <v>12</v>
      </c>
    </row>
    <row r="30" spans="1:10" ht="19.5" customHeight="1">
      <c r="A30" s="79" t="s">
        <v>79</v>
      </c>
      <c r="B30" s="80">
        <f>SUM(B31:B32)</f>
        <v>0</v>
      </c>
      <c r="C30" s="80">
        <f>SUM(C31:C32)</f>
        <v>314370</v>
      </c>
      <c r="D30" s="55" t="str">
        <f>IF(ISERROR(C30/B30)," ",(C30/B30))</f>
        <v> </v>
      </c>
      <c r="E30" s="80">
        <f>SUM(E31:E32)</f>
        <v>160814</v>
      </c>
      <c r="F30" s="79" t="s">
        <v>79</v>
      </c>
      <c r="G30" s="66">
        <f>SUM(G31:G32)</f>
        <v>0</v>
      </c>
      <c r="H30" s="66">
        <f>SUM(H31:H32)</f>
        <v>314</v>
      </c>
      <c r="I30" s="58" t="str">
        <f>IF(ISERROR(ROUND(H30,0)/ROUND(g,0))," ",(ROUND(H30,)/ROUND(G30,)))</f>
        <v> </v>
      </c>
      <c r="J30" s="66">
        <f>SUM(J31:J32)</f>
        <v>160</v>
      </c>
    </row>
    <row r="31" spans="1:10" ht="18.75" customHeight="1">
      <c r="A31" s="31" t="s">
        <v>80</v>
      </c>
      <c r="B31" s="43"/>
      <c r="C31" s="43">
        <f>181672+3434+98370+24300+6594</f>
        <v>314370</v>
      </c>
      <c r="D31" s="69" t="str">
        <f>IF(ISERROR(C31/B31)," ",(C31/B31))</f>
        <v> </v>
      </c>
      <c r="E31" s="59">
        <f>C31-'[1]Aprīlis'!C31</f>
        <v>160814</v>
      </c>
      <c r="F31" s="31" t="s">
        <v>80</v>
      </c>
      <c r="G31" s="59">
        <f>ROUND(B31/1000,0)</f>
        <v>0</v>
      </c>
      <c r="H31" s="59">
        <f>ROUND(C31/1000,0)</f>
        <v>314</v>
      </c>
      <c r="I31" s="61" t="str">
        <f>IF(ISERROR(ROUND(H31,0)/ROUND(g,0))," ",(ROUND(H31,)/ROUND(G31,)))</f>
        <v> </v>
      </c>
      <c r="J31" s="59">
        <f>H31-'[1]Aprīlis'!H31</f>
        <v>160</v>
      </c>
    </row>
    <row r="32" spans="1:10" ht="18" customHeight="1">
      <c r="A32" s="31" t="s">
        <v>81</v>
      </c>
      <c r="B32" s="43"/>
      <c r="C32" s="74"/>
      <c r="D32" s="69" t="str">
        <f>IF(ISERROR(C32/B32)," ",(C32/B32))</f>
        <v> </v>
      </c>
      <c r="E32" s="59">
        <f>C32-'[1]Aprīlis'!C32</f>
        <v>0</v>
      </c>
      <c r="F32" s="31" t="s">
        <v>81</v>
      </c>
      <c r="G32" s="59">
        <f>ROUND(B32/1000,0)</f>
        <v>0</v>
      </c>
      <c r="H32" s="59">
        <f>ROUND(C32/1000,0)</f>
        <v>0</v>
      </c>
      <c r="I32" s="61" t="str">
        <f>IF(ISERROR(ROUND(H32,0)/ROUND(g,0))," ",(ROUND(H32,)/ROUND(G32,)))</f>
        <v> </v>
      </c>
      <c r="J32" s="59">
        <f>H32-'[1]Aprīlis'!H32</f>
        <v>0</v>
      </c>
    </row>
    <row r="33" spans="1:10" s="82" customFormat="1" ht="15.75" customHeight="1">
      <c r="A33" s="79" t="s">
        <v>82</v>
      </c>
      <c r="B33" s="43"/>
      <c r="C33" s="62">
        <f>SUM(C9-C12)</f>
        <v>-1190483</v>
      </c>
      <c r="D33" s="70" t="s">
        <v>59</v>
      </c>
      <c r="E33" s="70" t="s">
        <v>59</v>
      </c>
      <c r="F33" s="79" t="s">
        <v>82</v>
      </c>
      <c r="G33" s="81"/>
      <c r="H33" s="66">
        <f>SUM(H9-H12)</f>
        <v>-1190</v>
      </c>
      <c r="I33" s="70" t="s">
        <v>59</v>
      </c>
      <c r="J33" s="70" t="s">
        <v>59</v>
      </c>
    </row>
    <row r="34" spans="1:10" s="82" customFormat="1" ht="16.5" customHeight="1">
      <c r="A34" s="79" t="s">
        <v>83</v>
      </c>
      <c r="B34" s="43"/>
      <c r="C34" s="43">
        <v>1190483</v>
      </c>
      <c r="D34" s="70" t="s">
        <v>59</v>
      </c>
      <c r="E34" s="70" t="s">
        <v>59</v>
      </c>
      <c r="F34" s="79" t="s">
        <v>83</v>
      </c>
      <c r="G34" s="83"/>
      <c r="H34" s="66">
        <f>ROUND(C34/1000,0)</f>
        <v>1190</v>
      </c>
      <c r="I34" s="70" t="s">
        <v>59</v>
      </c>
      <c r="J34" s="70" t="s">
        <v>59</v>
      </c>
    </row>
    <row r="35" spans="1:10" s="82" customFormat="1" ht="26.25" customHeight="1">
      <c r="A35" s="84" t="s">
        <v>84</v>
      </c>
      <c r="B35" s="43"/>
      <c r="C35" s="43">
        <v>1190483</v>
      </c>
      <c r="D35" s="70" t="s">
        <v>59</v>
      </c>
      <c r="E35" s="70" t="s">
        <v>59</v>
      </c>
      <c r="F35" s="84" t="s">
        <v>84</v>
      </c>
      <c r="G35" s="43"/>
      <c r="H35" s="59">
        <f>ROUND(C35/1000,0)</f>
        <v>1190</v>
      </c>
      <c r="I35" s="70" t="s">
        <v>59</v>
      </c>
      <c r="J35" s="70" t="s">
        <v>59</v>
      </c>
    </row>
    <row r="36" spans="1:10" s="88" customFormat="1" ht="16.5" customHeight="1">
      <c r="A36" s="85"/>
      <c r="B36" s="86"/>
      <c r="C36" s="87"/>
      <c r="D36" s="87"/>
      <c r="E36" s="87"/>
      <c r="F36" s="85"/>
      <c r="G36" s="86"/>
      <c r="H36" s="87"/>
      <c r="I36" s="87"/>
      <c r="J36" s="87"/>
    </row>
    <row r="37" spans="1:10" s="88" customFormat="1" ht="16.5" customHeight="1">
      <c r="A37" s="85"/>
      <c r="B37" s="86"/>
      <c r="C37" s="87"/>
      <c r="D37" s="87"/>
      <c r="E37" s="87"/>
      <c r="F37" s="85" t="s">
        <v>85</v>
      </c>
      <c r="G37" s="86"/>
      <c r="H37" s="87"/>
      <c r="I37" s="87"/>
      <c r="J37" s="87"/>
    </row>
    <row r="38" spans="1:10" s="88" customFormat="1" ht="16.5" customHeight="1">
      <c r="A38" s="85"/>
      <c r="B38" s="86"/>
      <c r="C38" s="87"/>
      <c r="D38" s="87"/>
      <c r="E38" s="87"/>
      <c r="F38" s="85"/>
      <c r="G38" s="86"/>
      <c r="H38" s="87"/>
      <c r="I38" s="87"/>
      <c r="J38" s="87"/>
    </row>
    <row r="39" spans="1:10" s="88" customFormat="1" ht="16.5" customHeight="1">
      <c r="A39" s="85"/>
      <c r="B39" s="86"/>
      <c r="C39" s="87"/>
      <c r="D39" s="87"/>
      <c r="E39" s="87"/>
      <c r="F39" s="85"/>
      <c r="G39" s="86"/>
      <c r="H39" s="87"/>
      <c r="I39" s="87"/>
      <c r="J39" s="87"/>
    </row>
    <row r="40" spans="1:10" ht="16.5" customHeight="1">
      <c r="A40" s="89"/>
      <c r="B40" s="86"/>
      <c r="C40" s="86"/>
      <c r="D40" s="90"/>
      <c r="E40" s="91"/>
      <c r="F40" s="89"/>
      <c r="G40" s="86"/>
      <c r="H40" s="86"/>
      <c r="I40" s="90"/>
      <c r="J40" s="91"/>
    </row>
    <row r="41" spans="1:10" ht="14.25">
      <c r="A41" s="92"/>
      <c r="B41" s="93"/>
      <c r="C41" s="93"/>
      <c r="D41" s="94"/>
      <c r="E41" s="95"/>
      <c r="F41" s="92"/>
      <c r="G41" s="93"/>
      <c r="H41" s="93"/>
      <c r="I41" s="94"/>
      <c r="J41" s="95"/>
    </row>
    <row r="42" spans="1:10" ht="12.75">
      <c r="A42" s="7" t="s">
        <v>86</v>
      </c>
      <c r="B42" s="96"/>
      <c r="C42" s="96"/>
      <c r="D42" s="97"/>
      <c r="E42" s="45"/>
      <c r="F42" s="7" t="s">
        <v>86</v>
      </c>
      <c r="G42" s="96"/>
      <c r="H42" s="96"/>
      <c r="I42" s="97"/>
      <c r="J42" s="45"/>
    </row>
    <row r="43" spans="1:10" ht="12.75">
      <c r="A43" s="95"/>
      <c r="B43" s="98"/>
      <c r="C43" s="99"/>
      <c r="D43" s="100"/>
      <c r="E43" s="47"/>
      <c r="F43" s="95"/>
      <c r="G43" s="98"/>
      <c r="H43" s="99"/>
      <c r="I43" s="100"/>
      <c r="J43" s="47"/>
    </row>
    <row r="44" spans="1:10" ht="12.75">
      <c r="A44" s="95"/>
      <c r="B44" s="98"/>
      <c r="C44" s="99"/>
      <c r="D44" s="100"/>
      <c r="E44" s="47"/>
      <c r="F44" s="95"/>
      <c r="G44" s="98"/>
      <c r="H44" s="99"/>
      <c r="I44" s="100"/>
      <c r="J44" s="47"/>
    </row>
    <row r="45" spans="1:10" ht="12.75">
      <c r="A45" s="95" t="s">
        <v>87</v>
      </c>
      <c r="B45" s="98"/>
      <c r="C45" s="99"/>
      <c r="D45" s="100"/>
      <c r="E45" s="47"/>
      <c r="F45" s="95" t="s">
        <v>87</v>
      </c>
      <c r="G45" s="98"/>
      <c r="H45" s="99"/>
      <c r="I45" s="100"/>
      <c r="J45" s="47"/>
    </row>
    <row r="46" spans="1:10" ht="12.75">
      <c r="A46" s="95" t="s">
        <v>46</v>
      </c>
      <c r="B46" s="98"/>
      <c r="C46" s="99"/>
      <c r="D46" s="100"/>
      <c r="E46" s="47"/>
      <c r="F46" s="95" t="s">
        <v>35</v>
      </c>
      <c r="G46" s="98"/>
      <c r="H46" s="99"/>
      <c r="I46" s="100"/>
      <c r="J46" s="47"/>
    </row>
    <row r="47" spans="1:10" ht="12.75">
      <c r="A47" s="95"/>
      <c r="B47" s="98"/>
      <c r="C47" s="99"/>
      <c r="D47" s="100"/>
      <c r="E47" s="47"/>
      <c r="F47" s="95"/>
      <c r="G47" s="98"/>
      <c r="H47" s="99"/>
      <c r="I47" s="100"/>
      <c r="J47" s="47"/>
    </row>
    <row r="48" spans="2:5" ht="12" customHeight="1">
      <c r="B48" s="47"/>
      <c r="D48" s="47"/>
      <c r="E48" s="47"/>
    </row>
    <row r="49" spans="1:5" ht="12.75">
      <c r="A49" s="47"/>
      <c r="B49" s="47"/>
      <c r="C49" s="47"/>
      <c r="D49" s="47"/>
      <c r="E49" s="47"/>
    </row>
    <row r="50" spans="1:5" ht="12.75">
      <c r="A50" s="47"/>
      <c r="B50" s="47"/>
      <c r="C50" s="47"/>
      <c r="D50" s="47"/>
      <c r="E50" s="47"/>
    </row>
    <row r="51" spans="1:5" ht="12.75">
      <c r="A51" s="47"/>
      <c r="B51" s="47"/>
      <c r="C51" s="47"/>
      <c r="D51" s="47"/>
      <c r="E51" s="47"/>
    </row>
    <row r="52" spans="1:5" ht="12.75">
      <c r="A52" s="47"/>
      <c r="B52" s="47"/>
      <c r="C52" s="47"/>
      <c r="D52" s="47"/>
      <c r="E52" s="47"/>
    </row>
    <row r="53" spans="1:5" ht="12.75">
      <c r="A53" s="47"/>
      <c r="B53" s="47"/>
      <c r="C53" s="47"/>
      <c r="D53" s="47"/>
      <c r="E53" s="47"/>
    </row>
    <row r="54" spans="1:5" ht="12.75">
      <c r="A54" s="47"/>
      <c r="B54" s="47"/>
      <c r="C54" s="47"/>
      <c r="D54" s="47"/>
      <c r="E54" s="47"/>
    </row>
    <row r="55" spans="1:5" ht="12.75">
      <c r="A55" s="47"/>
      <c r="B55" s="47"/>
      <c r="C55" s="47"/>
      <c r="D55" s="47"/>
      <c r="E55" s="47"/>
    </row>
    <row r="56" spans="1:5" ht="12.75">
      <c r="A56" s="47"/>
      <c r="B56" s="47"/>
      <c r="C56" s="47"/>
      <c r="D56" s="47"/>
      <c r="E56" s="47"/>
    </row>
    <row r="57" spans="1:5" ht="12.75">
      <c r="A57" s="47"/>
      <c r="B57" s="47"/>
      <c r="C57" s="47"/>
      <c r="D57" s="47"/>
      <c r="E57" s="47"/>
    </row>
    <row r="58" spans="1:5" ht="12.75">
      <c r="A58" s="47"/>
      <c r="B58" s="47"/>
      <c r="C58" s="47"/>
      <c r="D58" s="47"/>
      <c r="E58" s="47"/>
    </row>
    <row r="59" spans="1:5" ht="12.75">
      <c r="A59" s="47"/>
      <c r="B59" s="47"/>
      <c r="C59" s="47"/>
      <c r="D59" s="47"/>
      <c r="E59" s="47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5"/>
  <sheetViews>
    <sheetView workbookViewId="0" topLeftCell="F3">
      <selection activeCell="F15" sqref="F15"/>
    </sheetView>
  </sheetViews>
  <sheetFormatPr defaultColWidth="9.140625" defaultRowHeight="12.75"/>
  <cols>
    <col min="1" max="1" width="50.421875" style="1" hidden="1" customWidth="1"/>
    <col min="2" max="2" width="9.7109375" style="1" hidden="1" customWidth="1"/>
    <col min="3" max="3" width="13.8515625" style="1" hidden="1" customWidth="1"/>
    <col min="4" max="4" width="13.7109375" style="1" hidden="1" customWidth="1"/>
    <col min="5" max="5" width="13.140625" style="1" hidden="1" customWidth="1"/>
    <col min="6" max="6" width="49.421875" style="1" customWidth="1"/>
    <col min="7" max="7" width="9.140625" style="1" customWidth="1"/>
    <col min="8" max="8" width="11.140625" style="1" customWidth="1"/>
    <col min="9" max="9" width="9.8515625" style="1" customWidth="1"/>
    <col min="10" max="10" width="9.57421875" style="1" customWidth="1"/>
    <col min="11" max="16384" width="9.140625" style="1" customWidth="1"/>
  </cols>
  <sheetData>
    <row r="1" spans="3:9" ht="12.75">
      <c r="C1" s="2"/>
      <c r="D1" s="2"/>
      <c r="H1" s="2"/>
      <c r="I1" s="2"/>
    </row>
    <row r="2" spans="1:10" ht="12.75">
      <c r="A2" s="2" t="s">
        <v>36</v>
      </c>
      <c r="C2" s="2"/>
      <c r="D2" s="2"/>
      <c r="E2" s="3" t="s">
        <v>37</v>
      </c>
      <c r="F2" s="2" t="s">
        <v>38</v>
      </c>
      <c r="H2" s="2"/>
      <c r="I2" s="2"/>
      <c r="J2" s="4" t="s">
        <v>37</v>
      </c>
    </row>
    <row r="3" spans="1:10" ht="15.75">
      <c r="A3" s="5" t="s">
        <v>39</v>
      </c>
      <c r="F3" s="284" t="s">
        <v>40</v>
      </c>
      <c r="G3" s="284"/>
      <c r="H3" s="284"/>
      <c r="I3" s="284"/>
      <c r="J3" s="284"/>
    </row>
    <row r="4" spans="1:10" ht="15.75">
      <c r="A4" s="5" t="s">
        <v>41</v>
      </c>
      <c r="F4" s="284" t="s">
        <v>41</v>
      </c>
      <c r="G4" s="284"/>
      <c r="H4" s="284"/>
      <c r="I4" s="284"/>
      <c r="J4" s="284"/>
    </row>
    <row r="8" spans="4:10" ht="12.75">
      <c r="D8" s="2"/>
      <c r="E8" s="7" t="s">
        <v>6</v>
      </c>
      <c r="I8" s="2"/>
      <c r="J8" s="8" t="s">
        <v>6</v>
      </c>
    </row>
    <row r="9" spans="1:10" ht="48">
      <c r="A9" s="9" t="s">
        <v>7</v>
      </c>
      <c r="B9" s="10" t="s">
        <v>8</v>
      </c>
      <c r="C9" s="10" t="s">
        <v>9</v>
      </c>
      <c r="D9" s="10" t="s">
        <v>10</v>
      </c>
      <c r="E9" s="10" t="s">
        <v>11</v>
      </c>
      <c r="F9" s="9" t="s">
        <v>7</v>
      </c>
      <c r="G9" s="10" t="s">
        <v>8</v>
      </c>
      <c r="H9" s="10" t="s">
        <v>9</v>
      </c>
      <c r="I9" s="10" t="s">
        <v>10</v>
      </c>
      <c r="J9" s="10" t="s">
        <v>11</v>
      </c>
    </row>
    <row r="10" spans="1:10" ht="12">
      <c r="A10" s="11">
        <v>1</v>
      </c>
      <c r="B10" s="11">
        <v>2</v>
      </c>
      <c r="C10" s="12">
        <v>3</v>
      </c>
      <c r="D10" s="12">
        <v>4</v>
      </c>
      <c r="E10" s="12">
        <v>5</v>
      </c>
      <c r="F10" s="11">
        <v>1</v>
      </c>
      <c r="G10" s="11">
        <v>2</v>
      </c>
      <c r="H10" s="12">
        <v>3</v>
      </c>
      <c r="I10" s="12">
        <v>4</v>
      </c>
      <c r="J10" s="12">
        <v>5</v>
      </c>
    </row>
    <row r="11" spans="1:10" ht="17.25" customHeight="1">
      <c r="A11" s="14" t="s">
        <v>13</v>
      </c>
      <c r="B11" s="15"/>
      <c r="C11" s="16">
        <f>SUM(C12:C25)</f>
        <v>817210996</v>
      </c>
      <c r="D11" s="16">
        <f>SUM(D12:D25)</f>
        <v>292350299</v>
      </c>
      <c r="E11" s="17">
        <f>IF(ISERROR(D11/C11)," ",(D11/C11))</f>
        <v>0.35774151404100785</v>
      </c>
      <c r="F11" s="14" t="s">
        <v>13</v>
      </c>
      <c r="G11" s="15"/>
      <c r="H11" s="41">
        <f>SUM(H12:H25)</f>
        <v>817211</v>
      </c>
      <c r="I11" s="41">
        <f>SUM(I12:I25)</f>
        <v>292350</v>
      </c>
      <c r="J11" s="42">
        <f>IF(ISERROR(I11/H11)," ",(I11/H11))</f>
        <v>0.35774114641139193</v>
      </c>
    </row>
    <row r="12" spans="1:10" ht="16.5" customHeight="1">
      <c r="A12" s="20" t="s">
        <v>14</v>
      </c>
      <c r="B12" s="21">
        <v>1</v>
      </c>
      <c r="C12" s="22">
        <v>80766282</v>
      </c>
      <c r="D12" s="22">
        <f>31836940+8729</f>
        <v>31845669</v>
      </c>
      <c r="E12" s="23">
        <f aca="true" t="shared" si="0" ref="E12:E25">IF(ISERROR(D12/C12)," ",(D12/C12))</f>
        <v>0.394294106543124</v>
      </c>
      <c r="F12" s="24" t="s">
        <v>14</v>
      </c>
      <c r="G12" s="25">
        <v>1</v>
      </c>
      <c r="H12" s="43">
        <f>ROUND(C12/1000,)</f>
        <v>80766</v>
      </c>
      <c r="I12" s="43">
        <f>ROUND(D12/1000,)</f>
        <v>31846</v>
      </c>
      <c r="J12" s="23">
        <f aca="true" t="shared" si="1" ref="J12:J25">IF(ISERROR(I12/H12)," ",(I12/H12))</f>
        <v>0.3942995815070698</v>
      </c>
    </row>
    <row r="13" spans="1:10" ht="18.75" customHeight="1">
      <c r="A13" s="28" t="s">
        <v>15</v>
      </c>
      <c r="B13" s="21">
        <v>2</v>
      </c>
      <c r="C13" s="22">
        <v>35036177</v>
      </c>
      <c r="D13" s="22">
        <v>13188957</v>
      </c>
      <c r="E13" s="23">
        <f t="shared" si="0"/>
        <v>0.3764382455311834</v>
      </c>
      <c r="F13" s="29" t="s">
        <v>15</v>
      </c>
      <c r="G13" s="25">
        <v>2</v>
      </c>
      <c r="H13" s="43">
        <f aca="true" t="shared" si="2" ref="H13:H24">ROUND(C13/1000,)</f>
        <v>35036</v>
      </c>
      <c r="I13" s="43">
        <f>ROUND(D13/1000,0)</f>
        <v>13189</v>
      </c>
      <c r="J13" s="23">
        <f t="shared" si="1"/>
        <v>0.37644137458613997</v>
      </c>
    </row>
    <row r="14" spans="1:10" ht="17.25" customHeight="1">
      <c r="A14" s="28" t="s">
        <v>17</v>
      </c>
      <c r="B14" s="21">
        <v>3</v>
      </c>
      <c r="C14" s="22">
        <v>111621455</v>
      </c>
      <c r="D14" s="22">
        <f>37496841+21178</f>
        <v>37518019</v>
      </c>
      <c r="E14" s="23">
        <f t="shared" si="0"/>
        <v>0.33611834749869546</v>
      </c>
      <c r="F14" s="29" t="s">
        <v>17</v>
      </c>
      <c r="G14" s="25">
        <v>3</v>
      </c>
      <c r="H14" s="43">
        <f t="shared" si="2"/>
        <v>111621</v>
      </c>
      <c r="I14" s="43">
        <f>ROUND(D14/1000,0)</f>
        <v>37518</v>
      </c>
      <c r="J14" s="23">
        <f t="shared" si="1"/>
        <v>0.3361195473969952</v>
      </c>
    </row>
    <row r="15" spans="1:10" ht="18" customHeight="1">
      <c r="A15" s="28" t="s">
        <v>18</v>
      </c>
      <c r="B15" s="21">
        <v>4</v>
      </c>
      <c r="C15" s="22">
        <v>81735220</v>
      </c>
      <c r="D15" s="22">
        <f>31495152+17294</f>
        <v>31512446</v>
      </c>
      <c r="E15" s="23">
        <f t="shared" si="0"/>
        <v>0.38554304986271526</v>
      </c>
      <c r="F15" s="29" t="s">
        <v>18</v>
      </c>
      <c r="G15" s="25">
        <v>4</v>
      </c>
      <c r="H15" s="43">
        <f t="shared" si="2"/>
        <v>81735</v>
      </c>
      <c r="I15" s="43">
        <f>ROUND(D15/1000,0)</f>
        <v>31512</v>
      </c>
      <c r="J15" s="23">
        <f t="shared" si="1"/>
        <v>0.3855386309414571</v>
      </c>
    </row>
    <row r="16" spans="1:10" ht="18" customHeight="1">
      <c r="A16" s="28" t="s">
        <v>19</v>
      </c>
      <c r="B16" s="21">
        <v>5</v>
      </c>
      <c r="C16" s="22">
        <v>73609184</v>
      </c>
      <c r="D16" s="22">
        <v>36117448</v>
      </c>
      <c r="E16" s="23">
        <f t="shared" si="0"/>
        <v>0.4906649691973219</v>
      </c>
      <c r="F16" s="29" t="s">
        <v>19</v>
      </c>
      <c r="G16" s="25">
        <v>5</v>
      </c>
      <c r="H16" s="43">
        <f t="shared" si="2"/>
        <v>73609</v>
      </c>
      <c r="I16" s="43">
        <f>ROUND(D16/1000,0)+1</f>
        <v>36118</v>
      </c>
      <c r="J16" s="23">
        <f t="shared" si="1"/>
        <v>0.4906736947927563</v>
      </c>
    </row>
    <row r="17" spans="1:10" ht="20.25" customHeight="1">
      <c r="A17" s="28" t="s">
        <v>20</v>
      </c>
      <c r="B17" s="21">
        <v>6</v>
      </c>
      <c r="C17" s="22">
        <v>81019596</v>
      </c>
      <c r="D17" s="22">
        <v>31999169</v>
      </c>
      <c r="E17" s="23">
        <f t="shared" si="0"/>
        <v>0.3949559190593841</v>
      </c>
      <c r="F17" s="29" t="s">
        <v>20</v>
      </c>
      <c r="G17" s="25">
        <v>6</v>
      </c>
      <c r="H17" s="43">
        <f t="shared" si="2"/>
        <v>81020</v>
      </c>
      <c r="I17" s="43">
        <f aca="true" t="shared" si="3" ref="I17:I25">ROUND(D17/1000,0)</f>
        <v>31999</v>
      </c>
      <c r="J17" s="23">
        <f t="shared" si="1"/>
        <v>0.3949518637373488</v>
      </c>
    </row>
    <row r="18" spans="1:10" ht="19.5" customHeight="1">
      <c r="A18" s="30" t="s">
        <v>21</v>
      </c>
      <c r="B18" s="21">
        <v>7</v>
      </c>
      <c r="C18" s="22">
        <v>4350503</v>
      </c>
      <c r="D18" s="22">
        <v>1417501</v>
      </c>
      <c r="E18" s="23">
        <f t="shared" si="0"/>
        <v>0.3258246230378418</v>
      </c>
      <c r="F18" s="31" t="s">
        <v>21</v>
      </c>
      <c r="G18" s="25">
        <v>7</v>
      </c>
      <c r="H18" s="43">
        <f t="shared" si="2"/>
        <v>4351</v>
      </c>
      <c r="I18" s="43">
        <f t="shared" si="3"/>
        <v>1418</v>
      </c>
      <c r="J18" s="23">
        <f t="shared" si="1"/>
        <v>0.3259020914732245</v>
      </c>
    </row>
    <row r="19" spans="1:10" ht="18.75" customHeight="1">
      <c r="A19" s="28" t="s">
        <v>22</v>
      </c>
      <c r="B19" s="21">
        <v>8</v>
      </c>
      <c r="C19" s="22">
        <v>21858785</v>
      </c>
      <c r="D19" s="22">
        <f>8027227+189</f>
        <v>8027416</v>
      </c>
      <c r="E19" s="23">
        <f t="shared" si="0"/>
        <v>0.3672398077020292</v>
      </c>
      <c r="F19" s="29" t="s">
        <v>22</v>
      </c>
      <c r="G19" s="25">
        <v>8</v>
      </c>
      <c r="H19" s="43">
        <f t="shared" si="2"/>
        <v>21859</v>
      </c>
      <c r="I19" s="43">
        <f t="shared" si="3"/>
        <v>8027</v>
      </c>
      <c r="J19" s="23">
        <f t="shared" si="1"/>
        <v>0.3672171645546457</v>
      </c>
    </row>
    <row r="20" spans="1:10" ht="19.5" customHeight="1">
      <c r="A20" s="28" t="s">
        <v>23</v>
      </c>
      <c r="B20" s="21">
        <v>9</v>
      </c>
      <c r="C20" s="22">
        <v>171622</v>
      </c>
      <c r="D20" s="22">
        <v>62168</v>
      </c>
      <c r="E20" s="23">
        <f t="shared" si="0"/>
        <v>0.3622379415226486</v>
      </c>
      <c r="F20" s="29" t="s">
        <v>23</v>
      </c>
      <c r="G20" s="25">
        <v>9</v>
      </c>
      <c r="H20" s="43">
        <f t="shared" si="2"/>
        <v>172</v>
      </c>
      <c r="I20" s="43">
        <f t="shared" si="3"/>
        <v>62</v>
      </c>
      <c r="J20" s="23">
        <f t="shared" si="1"/>
        <v>0.36046511627906974</v>
      </c>
    </row>
    <row r="21" spans="1:10" ht="19.5" customHeight="1">
      <c r="A21" s="30" t="s">
        <v>24</v>
      </c>
      <c r="B21" s="21">
        <v>10</v>
      </c>
      <c r="C21" s="22">
        <v>56821964</v>
      </c>
      <c r="D21" s="22">
        <v>18059150</v>
      </c>
      <c r="E21" s="23">
        <f t="shared" si="0"/>
        <v>0.31781988387448207</v>
      </c>
      <c r="F21" s="31" t="s">
        <v>24</v>
      </c>
      <c r="G21" s="25">
        <v>10</v>
      </c>
      <c r="H21" s="43">
        <f t="shared" si="2"/>
        <v>56822</v>
      </c>
      <c r="I21" s="43">
        <f t="shared" si="3"/>
        <v>18059</v>
      </c>
      <c r="J21" s="23">
        <f t="shared" si="1"/>
        <v>0.31781704269473093</v>
      </c>
    </row>
    <row r="22" spans="1:10" ht="20.25" customHeight="1">
      <c r="A22" s="30" t="s">
        <v>25</v>
      </c>
      <c r="B22" s="21">
        <v>11</v>
      </c>
      <c r="C22" s="22">
        <v>865923</v>
      </c>
      <c r="D22" s="22">
        <v>254410</v>
      </c>
      <c r="E22" s="23">
        <f t="shared" si="0"/>
        <v>0.29380210480608554</v>
      </c>
      <c r="F22" s="31" t="s">
        <v>25</v>
      </c>
      <c r="G22" s="25">
        <v>11</v>
      </c>
      <c r="H22" s="43">
        <f t="shared" si="2"/>
        <v>866</v>
      </c>
      <c r="I22" s="43">
        <f t="shared" si="3"/>
        <v>254</v>
      </c>
      <c r="J22" s="23">
        <f t="shared" si="1"/>
        <v>0.29330254041570436</v>
      </c>
    </row>
    <row r="23" spans="1:10" ht="19.5" customHeight="1">
      <c r="A23" s="28" t="s">
        <v>26</v>
      </c>
      <c r="B23" s="21">
        <v>12</v>
      </c>
      <c r="C23" s="22">
        <v>8339812</v>
      </c>
      <c r="D23" s="22">
        <v>2892395</v>
      </c>
      <c r="E23" s="23">
        <f t="shared" si="0"/>
        <v>0.3468177699928967</v>
      </c>
      <c r="F23" s="29" t="s">
        <v>26</v>
      </c>
      <c r="G23" s="25">
        <v>12</v>
      </c>
      <c r="H23" s="43">
        <f t="shared" si="2"/>
        <v>8340</v>
      </c>
      <c r="I23" s="43">
        <f t="shared" si="3"/>
        <v>2892</v>
      </c>
      <c r="J23" s="23">
        <f t="shared" si="1"/>
        <v>0.34676258992805753</v>
      </c>
    </row>
    <row r="24" spans="1:10" ht="19.5" customHeight="1">
      <c r="A24" s="28" t="s">
        <v>27</v>
      </c>
      <c r="B24" s="21">
        <v>13</v>
      </c>
      <c r="C24" s="22">
        <v>19543748</v>
      </c>
      <c r="D24" s="22">
        <v>5716912</v>
      </c>
      <c r="E24" s="23">
        <f t="shared" si="0"/>
        <v>0.2925187123779942</v>
      </c>
      <c r="F24" s="29" t="s">
        <v>27</v>
      </c>
      <c r="G24" s="25">
        <v>13</v>
      </c>
      <c r="H24" s="43">
        <f t="shared" si="2"/>
        <v>19544</v>
      </c>
      <c r="I24" s="43">
        <f t="shared" si="3"/>
        <v>5717</v>
      </c>
      <c r="J24" s="23">
        <f t="shared" si="1"/>
        <v>0.2925194433074089</v>
      </c>
    </row>
    <row r="25" spans="1:10" ht="19.5" customHeight="1">
      <c r="A25" s="30" t="s">
        <v>28</v>
      </c>
      <c r="B25" s="21">
        <v>14</v>
      </c>
      <c r="C25" s="22">
        <f>145178502+96292223</f>
        <v>241470725</v>
      </c>
      <c r="D25" s="22">
        <f>52307960-749441+807000+21373120</f>
        <v>73738639</v>
      </c>
      <c r="E25" s="23">
        <f t="shared" si="0"/>
        <v>0.30537299707863136</v>
      </c>
      <c r="F25" s="31" t="s">
        <v>42</v>
      </c>
      <c r="G25" s="25">
        <v>14</v>
      </c>
      <c r="H25" s="43">
        <f>ROUND(C25/1000,)-1</f>
        <v>241470</v>
      </c>
      <c r="I25" s="43">
        <f t="shared" si="3"/>
        <v>73739</v>
      </c>
      <c r="J25" s="23">
        <f t="shared" si="1"/>
        <v>0.3053754089534932</v>
      </c>
    </row>
    <row r="26" spans="2:10" ht="12.75">
      <c r="B26" s="32"/>
      <c r="C26" s="33"/>
      <c r="D26" s="33"/>
      <c r="E26" s="34"/>
      <c r="G26" s="32"/>
      <c r="H26" s="33"/>
      <c r="I26" s="33"/>
      <c r="J26" s="34"/>
    </row>
    <row r="27" spans="2:10" ht="12.75">
      <c r="B27" s="32"/>
      <c r="C27" s="33"/>
      <c r="D27" s="33"/>
      <c r="E27" s="34"/>
      <c r="G27" s="32"/>
      <c r="H27" s="33"/>
      <c r="I27" s="33"/>
      <c r="J27" s="34"/>
    </row>
    <row r="28" spans="1:10" ht="14.25">
      <c r="A28" s="35"/>
      <c r="B28" s="36"/>
      <c r="C28" s="33"/>
      <c r="D28" s="33"/>
      <c r="E28" s="34"/>
      <c r="F28" s="35"/>
      <c r="G28" s="36"/>
      <c r="H28" s="33"/>
      <c r="I28" s="33"/>
      <c r="J28" s="34"/>
    </row>
    <row r="29" spans="1:10" ht="14.25">
      <c r="A29" s="35"/>
      <c r="B29" s="36"/>
      <c r="C29" s="33"/>
      <c r="D29" s="33"/>
      <c r="E29" s="34"/>
      <c r="F29" s="1" t="s">
        <v>43</v>
      </c>
      <c r="G29" s="36"/>
      <c r="H29" s="33"/>
      <c r="I29" s="33"/>
      <c r="J29" s="34"/>
    </row>
    <row r="30" spans="1:10" ht="14.25">
      <c r="A30" s="35"/>
      <c r="B30" s="36"/>
      <c r="C30" s="33"/>
      <c r="D30" s="33"/>
      <c r="E30" s="34"/>
      <c r="F30" s="35"/>
      <c r="G30" s="36"/>
      <c r="H30" s="33"/>
      <c r="I30" s="33"/>
      <c r="J30" s="34"/>
    </row>
    <row r="31" spans="1:10" ht="14.25">
      <c r="A31" s="35"/>
      <c r="B31" s="36"/>
      <c r="C31" s="33"/>
      <c r="D31" s="33"/>
      <c r="E31" s="34"/>
      <c r="F31" s="35"/>
      <c r="G31" s="36"/>
      <c r="H31" s="33"/>
      <c r="I31" s="33"/>
      <c r="J31" s="34"/>
    </row>
    <row r="32" spans="1:10" ht="14.25">
      <c r="A32" s="35"/>
      <c r="B32" s="36"/>
      <c r="C32" s="33"/>
      <c r="D32" s="33"/>
      <c r="E32" s="34"/>
      <c r="F32" s="35"/>
      <c r="G32" s="36"/>
      <c r="H32" s="33"/>
      <c r="I32" s="33"/>
      <c r="J32" s="34"/>
    </row>
    <row r="33" spans="1:10" ht="14.25">
      <c r="A33" s="35"/>
      <c r="B33" s="36"/>
      <c r="C33" s="33"/>
      <c r="D33" s="33"/>
      <c r="E33" s="34"/>
      <c r="F33" s="35"/>
      <c r="G33" s="36"/>
      <c r="H33" s="33"/>
      <c r="I33" s="33"/>
      <c r="J33" s="34"/>
    </row>
    <row r="34" spans="1:10" ht="14.25">
      <c r="A34" s="35"/>
      <c r="B34" s="36"/>
      <c r="C34" s="33"/>
      <c r="D34" s="33"/>
      <c r="E34" s="34"/>
      <c r="F34" s="35"/>
      <c r="G34" s="36"/>
      <c r="H34" s="33"/>
      <c r="I34" s="33"/>
      <c r="J34" s="34"/>
    </row>
    <row r="35" spans="1:10" ht="14.25">
      <c r="A35" s="35"/>
      <c r="B35" s="36"/>
      <c r="C35" s="33"/>
      <c r="D35" s="33"/>
      <c r="E35" s="34"/>
      <c r="F35" s="35"/>
      <c r="G35" s="36"/>
      <c r="H35" s="33"/>
      <c r="I35" s="33"/>
      <c r="J35" s="34"/>
    </row>
    <row r="36" spans="1:10" ht="12">
      <c r="A36" s="1" t="s">
        <v>44</v>
      </c>
      <c r="B36" s="32"/>
      <c r="C36" s="37" t="s">
        <v>32</v>
      </c>
      <c r="D36" s="37"/>
      <c r="E36" s="34"/>
      <c r="F36" s="1" t="s">
        <v>45</v>
      </c>
      <c r="G36" s="32"/>
      <c r="H36" s="37" t="s">
        <v>33</v>
      </c>
      <c r="I36" s="37"/>
      <c r="J36" s="34"/>
    </row>
    <row r="37" spans="2:10" ht="12">
      <c r="B37" s="32"/>
      <c r="C37" s="37"/>
      <c r="D37" s="37"/>
      <c r="E37" s="34"/>
      <c r="G37" s="32"/>
      <c r="H37" s="37"/>
      <c r="I37" s="37"/>
      <c r="J37" s="34"/>
    </row>
    <row r="38" spans="3:10" ht="12">
      <c r="C38" s="37"/>
      <c r="D38" s="37"/>
      <c r="E38" s="38"/>
      <c r="H38" s="37"/>
      <c r="I38" s="37"/>
      <c r="J38" s="38"/>
    </row>
    <row r="39" spans="3:10" ht="12">
      <c r="C39" s="37"/>
      <c r="D39" s="37"/>
      <c r="E39" s="38"/>
      <c r="H39" s="37"/>
      <c r="I39" s="37"/>
      <c r="J39" s="38"/>
    </row>
    <row r="40" spans="1:10" ht="12.75">
      <c r="A40" s="1" t="s">
        <v>34</v>
      </c>
      <c r="C40" s="33"/>
      <c r="D40" s="33"/>
      <c r="E40" s="34"/>
      <c r="F40" s="1" t="s">
        <v>34</v>
      </c>
      <c r="H40" s="33"/>
      <c r="I40" s="33"/>
      <c r="J40" s="34"/>
    </row>
    <row r="41" spans="1:10" ht="14.25">
      <c r="A41" s="1" t="s">
        <v>46</v>
      </c>
      <c r="B41" s="35"/>
      <c r="C41" s="33"/>
      <c r="D41" s="33"/>
      <c r="E41" s="34"/>
      <c r="F41" s="1" t="s">
        <v>35</v>
      </c>
      <c r="G41" s="35"/>
      <c r="H41" s="33"/>
      <c r="I41" s="33"/>
      <c r="J41" s="34"/>
    </row>
    <row r="42" spans="1:10" ht="14.25">
      <c r="A42" s="35"/>
      <c r="B42" s="35"/>
      <c r="C42" s="33"/>
      <c r="D42" s="33"/>
      <c r="E42" s="34"/>
      <c r="F42" s="35"/>
      <c r="G42" s="35"/>
      <c r="H42" s="33"/>
      <c r="I42" s="33"/>
      <c r="J42" s="34"/>
    </row>
    <row r="43" spans="1:10" ht="14.25">
      <c r="A43" s="35"/>
      <c r="B43" s="35"/>
      <c r="C43" s="33"/>
      <c r="D43" s="33"/>
      <c r="E43" s="34"/>
      <c r="F43" s="35"/>
      <c r="G43" s="35"/>
      <c r="H43" s="33"/>
      <c r="I43" s="33"/>
      <c r="J43" s="34"/>
    </row>
    <row r="44" spans="1:10" ht="14.25">
      <c r="A44" s="35"/>
      <c r="B44" s="35"/>
      <c r="C44" s="33"/>
      <c r="D44" s="33"/>
      <c r="E44" s="34"/>
      <c r="F44" s="35"/>
      <c r="G44" s="35"/>
      <c r="H44" s="33"/>
      <c r="I44" s="33"/>
      <c r="J44" s="34"/>
    </row>
    <row r="45" spans="1:10" ht="14.25">
      <c r="A45" s="35"/>
      <c r="B45" s="35"/>
      <c r="C45" s="33"/>
      <c r="D45" s="33"/>
      <c r="E45" s="34"/>
      <c r="F45" s="35"/>
      <c r="G45" s="35"/>
      <c r="H45" s="33"/>
      <c r="I45" s="33"/>
      <c r="J45" s="34"/>
    </row>
    <row r="46" spans="1:10" ht="14.25">
      <c r="A46" s="35"/>
      <c r="B46" s="35"/>
      <c r="C46" s="33"/>
      <c r="D46" s="33"/>
      <c r="E46" s="34"/>
      <c r="F46" s="35"/>
      <c r="G46" s="35"/>
      <c r="H46" s="33"/>
      <c r="I46" s="33"/>
      <c r="J46" s="34"/>
    </row>
    <row r="47" spans="1:10" ht="14.25">
      <c r="A47" s="35"/>
      <c r="B47" s="35"/>
      <c r="C47" s="33"/>
      <c r="D47" s="33"/>
      <c r="E47" s="34"/>
      <c r="F47" s="35"/>
      <c r="G47" s="35"/>
      <c r="H47" s="33"/>
      <c r="I47" s="33"/>
      <c r="J47" s="34"/>
    </row>
    <row r="48" spans="1:10" ht="12.75">
      <c r="A48" s="1" t="s">
        <v>34</v>
      </c>
      <c r="C48" s="33"/>
      <c r="D48" s="33"/>
      <c r="E48" s="34"/>
      <c r="F48" s="1" t="s">
        <v>34</v>
      </c>
      <c r="H48" s="33"/>
      <c r="I48" s="33"/>
      <c r="J48" s="34"/>
    </row>
    <row r="49" spans="1:10" ht="12.75">
      <c r="A49" s="1" t="s">
        <v>47</v>
      </c>
      <c r="C49" s="33"/>
      <c r="D49" s="33"/>
      <c r="E49" s="34"/>
      <c r="F49" s="1" t="s">
        <v>47</v>
      </c>
      <c r="H49" s="33"/>
      <c r="I49" s="33"/>
      <c r="J49" s="34"/>
    </row>
    <row r="50" spans="3:10" ht="12.75">
      <c r="C50" s="33"/>
      <c r="D50" s="33"/>
      <c r="E50" s="34"/>
      <c r="H50" s="33"/>
      <c r="I50" s="33"/>
      <c r="J50" s="34"/>
    </row>
    <row r="51" spans="3:10" ht="12.75">
      <c r="C51" s="33"/>
      <c r="D51" s="33"/>
      <c r="E51" s="34"/>
      <c r="H51" s="33"/>
      <c r="I51" s="33"/>
      <c r="J51" s="34"/>
    </row>
    <row r="52" spans="3:10" ht="12.75">
      <c r="C52" s="33"/>
      <c r="D52" s="33"/>
      <c r="E52" s="34"/>
      <c r="H52" s="33"/>
      <c r="I52" s="33"/>
      <c r="J52" s="34"/>
    </row>
    <row r="53" spans="3:10" ht="12.75">
      <c r="C53" s="37"/>
      <c r="D53" s="33"/>
      <c r="E53" s="34"/>
      <c r="H53" s="37"/>
      <c r="I53" s="33"/>
      <c r="J53" s="34"/>
    </row>
    <row r="54" spans="2:9" ht="12.75">
      <c r="B54" s="33"/>
      <c r="C54" s="33"/>
      <c r="D54" s="34"/>
      <c r="G54" s="33"/>
      <c r="H54" s="33"/>
      <c r="I54" s="34"/>
    </row>
    <row r="55" spans="2:9" ht="12.75">
      <c r="B55" s="33"/>
      <c r="C55" s="33"/>
      <c r="D55" s="34"/>
      <c r="G55" s="33"/>
      <c r="H55" s="33"/>
      <c r="I55" s="34"/>
    </row>
    <row r="56" spans="2:9" ht="12.75">
      <c r="B56" s="33"/>
      <c r="C56" s="33"/>
      <c r="D56" s="34"/>
      <c r="G56" s="33"/>
      <c r="H56" s="33"/>
      <c r="I56" s="34"/>
    </row>
    <row r="57" spans="2:9" ht="12.75">
      <c r="B57" s="37"/>
      <c r="C57" s="33"/>
      <c r="D57" s="34"/>
      <c r="G57" s="37"/>
      <c r="H57" s="33"/>
      <c r="I57" s="34"/>
    </row>
    <row r="58" spans="2:9" ht="12.75">
      <c r="B58" s="37"/>
      <c r="C58" s="33"/>
      <c r="D58" s="34"/>
      <c r="G58" s="37"/>
      <c r="H58" s="33"/>
      <c r="I58" s="34"/>
    </row>
    <row r="59" spans="2:9" ht="12.75">
      <c r="B59" s="37"/>
      <c r="C59" s="33"/>
      <c r="D59" s="34"/>
      <c r="G59" s="37"/>
      <c r="H59" s="33"/>
      <c r="I59" s="34"/>
    </row>
    <row r="60" spans="2:9" ht="12.75">
      <c r="B60" s="37"/>
      <c r="C60" s="2"/>
      <c r="D60" s="34"/>
      <c r="G60" s="37"/>
      <c r="H60" s="2"/>
      <c r="I60" s="34"/>
    </row>
    <row r="61" spans="2:9" ht="12.75">
      <c r="B61" s="37"/>
      <c r="C61" s="2"/>
      <c r="D61" s="34"/>
      <c r="G61" s="37"/>
      <c r="H61" s="2"/>
      <c r="I61" s="34"/>
    </row>
    <row r="62" spans="2:9" ht="12.75">
      <c r="B62" s="37"/>
      <c r="C62" s="2"/>
      <c r="D62" s="34"/>
      <c r="G62" s="37"/>
      <c r="H62" s="2"/>
      <c r="I62" s="34"/>
    </row>
    <row r="63" spans="2:9" ht="12.75">
      <c r="B63" s="37"/>
      <c r="C63" s="2"/>
      <c r="D63" s="34"/>
      <c r="G63" s="37"/>
      <c r="H63" s="2"/>
      <c r="I63" s="34"/>
    </row>
    <row r="64" spans="2:9" ht="12.75">
      <c r="B64" s="37"/>
      <c r="C64" s="2"/>
      <c r="D64" s="34"/>
      <c r="G64" s="37"/>
      <c r="H64" s="2"/>
      <c r="I64" s="34"/>
    </row>
    <row r="65" spans="2:9" ht="12.75">
      <c r="B65" s="37"/>
      <c r="C65" s="2"/>
      <c r="D65" s="34"/>
      <c r="G65" s="37"/>
      <c r="H65" s="2"/>
      <c r="I65" s="34"/>
    </row>
    <row r="66" spans="2:9" ht="12.75">
      <c r="B66" s="37"/>
      <c r="C66" s="2"/>
      <c r="D66" s="34"/>
      <c r="G66" s="37"/>
      <c r="H66" s="2"/>
      <c r="I66" s="34"/>
    </row>
    <row r="67" spans="2:9" ht="12.75">
      <c r="B67" s="37"/>
      <c r="C67" s="2"/>
      <c r="D67" s="34"/>
      <c r="G67" s="37"/>
      <c r="H67" s="2"/>
      <c r="I67" s="34"/>
    </row>
    <row r="68" spans="2:9" ht="12.75">
      <c r="B68" s="37"/>
      <c r="C68" s="2"/>
      <c r="D68" s="34"/>
      <c r="G68" s="37"/>
      <c r="H68" s="2"/>
      <c r="I68" s="34"/>
    </row>
    <row r="69" spans="2:9" ht="12.75">
      <c r="B69" s="37"/>
      <c r="C69" s="2"/>
      <c r="D69" s="34"/>
      <c r="G69" s="37"/>
      <c r="H69" s="2"/>
      <c r="I69" s="34"/>
    </row>
    <row r="70" spans="2:9" ht="12.75">
      <c r="B70" s="37"/>
      <c r="C70" s="2"/>
      <c r="D70" s="34"/>
      <c r="G70" s="37"/>
      <c r="H70" s="2"/>
      <c r="I70" s="34"/>
    </row>
    <row r="71" spans="2:9" ht="12.75">
      <c r="B71" s="37"/>
      <c r="C71" s="2"/>
      <c r="D71" s="34"/>
      <c r="G71" s="37"/>
      <c r="H71" s="2"/>
      <c r="I71" s="34"/>
    </row>
    <row r="72" spans="2:9" ht="12.75">
      <c r="B72" s="37"/>
      <c r="C72" s="2"/>
      <c r="D72" s="34"/>
      <c r="G72" s="37"/>
      <c r="H72" s="2"/>
      <c r="I72" s="34"/>
    </row>
    <row r="73" spans="2:9" ht="12.75">
      <c r="B73" s="37"/>
      <c r="C73" s="2"/>
      <c r="D73" s="34"/>
      <c r="G73" s="37"/>
      <c r="H73" s="2"/>
      <c r="I73" s="34"/>
    </row>
    <row r="74" spans="2:9" ht="12.75">
      <c r="B74" s="37"/>
      <c r="C74" s="2"/>
      <c r="D74" s="34"/>
      <c r="G74" s="37"/>
      <c r="H74" s="2"/>
      <c r="I74" s="34"/>
    </row>
    <row r="75" spans="2:9" ht="12.75">
      <c r="B75" s="37"/>
      <c r="C75" s="2"/>
      <c r="D75" s="34"/>
      <c r="G75" s="37"/>
      <c r="H75" s="2"/>
      <c r="I75" s="34"/>
    </row>
    <row r="76" spans="2:9" ht="12.75">
      <c r="B76" s="37"/>
      <c r="C76" s="2"/>
      <c r="D76" s="34"/>
      <c r="G76" s="37"/>
      <c r="H76" s="2"/>
      <c r="I76" s="34"/>
    </row>
    <row r="77" spans="2:9" ht="12.75">
      <c r="B77" s="37"/>
      <c r="C77" s="2"/>
      <c r="D77" s="34"/>
      <c r="G77" s="37"/>
      <c r="H77" s="2"/>
      <c r="I77" s="34"/>
    </row>
    <row r="78" spans="2:9" ht="12.75">
      <c r="B78" s="37"/>
      <c r="C78" s="2"/>
      <c r="D78" s="34"/>
      <c r="G78" s="37"/>
      <c r="H78" s="2"/>
      <c r="I78" s="34"/>
    </row>
    <row r="79" spans="2:9" ht="12.75">
      <c r="B79" s="37"/>
      <c r="C79" s="2"/>
      <c r="D79" s="34"/>
      <c r="G79" s="37"/>
      <c r="H79" s="2"/>
      <c r="I79" s="34"/>
    </row>
    <row r="80" spans="2:9" ht="12">
      <c r="B80" s="37"/>
      <c r="D80" s="34"/>
      <c r="G80" s="37"/>
      <c r="I80" s="34"/>
    </row>
    <row r="81" spans="2:9" ht="12">
      <c r="B81" s="37"/>
      <c r="D81" s="34"/>
      <c r="G81" s="37"/>
      <c r="I81" s="34"/>
    </row>
    <row r="82" spans="2:9" ht="12">
      <c r="B82" s="37"/>
      <c r="D82" s="34"/>
      <c r="G82" s="37"/>
      <c r="I82" s="34"/>
    </row>
    <row r="83" spans="2:9" ht="12">
      <c r="B83" s="37"/>
      <c r="D83" s="34"/>
      <c r="G83" s="37"/>
      <c r="I83" s="34"/>
    </row>
    <row r="84" spans="2:9" ht="12">
      <c r="B84" s="37"/>
      <c r="D84" s="34"/>
      <c r="G84" s="37"/>
      <c r="I84" s="34"/>
    </row>
    <row r="85" spans="2:9" ht="12">
      <c r="B85" s="37"/>
      <c r="D85" s="34"/>
      <c r="G85" s="37"/>
      <c r="I85" s="34"/>
    </row>
    <row r="86" spans="2:9" ht="12">
      <c r="B86" s="37"/>
      <c r="D86" s="34"/>
      <c r="G86" s="37"/>
      <c r="I86" s="34"/>
    </row>
    <row r="87" spans="2:9" ht="12">
      <c r="B87" s="37"/>
      <c r="D87" s="34"/>
      <c r="G87" s="37"/>
      <c r="I87" s="34"/>
    </row>
    <row r="88" spans="2:9" ht="12">
      <c r="B88" s="37"/>
      <c r="D88" s="34"/>
      <c r="G88" s="37"/>
      <c r="I88" s="34"/>
    </row>
    <row r="89" spans="2:9" ht="12">
      <c r="B89" s="37"/>
      <c r="D89" s="34"/>
      <c r="G89" s="37"/>
      <c r="I89" s="34"/>
    </row>
    <row r="90" spans="2:9" ht="12">
      <c r="B90" s="37"/>
      <c r="D90" s="34"/>
      <c r="G90" s="37"/>
      <c r="I90" s="34"/>
    </row>
    <row r="91" spans="2:9" ht="12">
      <c r="B91" s="37"/>
      <c r="D91" s="34"/>
      <c r="G91" s="37"/>
      <c r="I91" s="34"/>
    </row>
    <row r="92" spans="2:9" ht="12">
      <c r="B92" s="37"/>
      <c r="D92" s="34"/>
      <c r="G92" s="37"/>
      <c r="I92" s="34"/>
    </row>
    <row r="93" spans="2:9" ht="12">
      <c r="B93" s="37"/>
      <c r="D93" s="34"/>
      <c r="G93" s="37"/>
      <c r="I93" s="34"/>
    </row>
    <row r="94" spans="2:9" ht="12">
      <c r="B94" s="37"/>
      <c r="D94" s="34"/>
      <c r="G94" s="37"/>
      <c r="I94" s="34"/>
    </row>
    <row r="95" spans="2:9" ht="12">
      <c r="B95" s="37"/>
      <c r="D95" s="34"/>
      <c r="G95" s="37"/>
      <c r="I95" s="34"/>
    </row>
    <row r="96" spans="2:9" ht="12">
      <c r="B96" s="37"/>
      <c r="D96" s="34"/>
      <c r="G96" s="37"/>
      <c r="I96" s="34"/>
    </row>
    <row r="97" spans="2:9" ht="12">
      <c r="B97" s="37"/>
      <c r="D97" s="34"/>
      <c r="G97" s="37"/>
      <c r="I97" s="34"/>
    </row>
    <row r="98" spans="2:9" ht="12">
      <c r="B98" s="37"/>
      <c r="D98" s="34"/>
      <c r="G98" s="37"/>
      <c r="I98" s="34"/>
    </row>
    <row r="99" spans="2:9" ht="12">
      <c r="B99" s="37"/>
      <c r="D99" s="34"/>
      <c r="G99" s="37"/>
      <c r="I99" s="34"/>
    </row>
    <row r="100" spans="2:9" ht="12">
      <c r="B100" s="37"/>
      <c r="D100" s="34"/>
      <c r="G100" s="37"/>
      <c r="I100" s="34"/>
    </row>
    <row r="101" spans="2:9" ht="12">
      <c r="B101" s="37"/>
      <c r="D101" s="34"/>
      <c r="G101" s="37"/>
      <c r="I101" s="34"/>
    </row>
    <row r="102" spans="2:9" ht="12">
      <c r="B102" s="37"/>
      <c r="D102" s="34"/>
      <c r="G102" s="37"/>
      <c r="I102" s="34"/>
    </row>
    <row r="103" spans="2:9" ht="12">
      <c r="B103" s="37"/>
      <c r="D103" s="34"/>
      <c r="G103" s="37"/>
      <c r="I103" s="34"/>
    </row>
    <row r="104" spans="2:9" ht="12">
      <c r="B104" s="37"/>
      <c r="D104" s="34"/>
      <c r="G104" s="37"/>
      <c r="I104" s="34"/>
    </row>
    <row r="105" spans="2:9" ht="12">
      <c r="B105" s="37"/>
      <c r="D105" s="34"/>
      <c r="G105" s="37"/>
      <c r="I105" s="34"/>
    </row>
    <row r="106" spans="2:9" ht="12">
      <c r="B106" s="37"/>
      <c r="D106" s="34"/>
      <c r="G106" s="37"/>
      <c r="I106" s="34"/>
    </row>
    <row r="107" spans="2:7" ht="12">
      <c r="B107" s="37"/>
      <c r="G107" s="37"/>
    </row>
    <row r="108" spans="2:7" ht="12">
      <c r="B108" s="37"/>
      <c r="G108" s="37"/>
    </row>
    <row r="109" spans="2:7" ht="12">
      <c r="B109" s="37"/>
      <c r="G109" s="37"/>
    </row>
    <row r="110" spans="2:7" ht="12">
      <c r="B110" s="37"/>
      <c r="G110" s="37"/>
    </row>
    <row r="111" spans="2:7" ht="12">
      <c r="B111" s="37"/>
      <c r="G111" s="37"/>
    </row>
    <row r="112" spans="2:7" ht="12">
      <c r="B112" s="37"/>
      <c r="G112" s="37"/>
    </row>
    <row r="113" spans="2:7" ht="12">
      <c r="B113" s="37"/>
      <c r="G113" s="37"/>
    </row>
    <row r="114" spans="2:7" ht="12">
      <c r="B114" s="37"/>
      <c r="G114" s="37"/>
    </row>
    <row r="115" spans="2:7" ht="12">
      <c r="B115" s="37"/>
      <c r="G115" s="37"/>
    </row>
  </sheetData>
  <mergeCells count="2">
    <mergeCell ref="F3:J3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IlzeM</cp:lastModifiedBy>
  <dcterms:created xsi:type="dcterms:W3CDTF">1999-06-16T07:57:29Z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