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ula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1">'11.tabula'!$A$1:$E$58</definedName>
    <definedName name="_xlnm.Print_Area" localSheetId="12">'12.tabula'!$A$1:$F$47</definedName>
    <definedName name="_xlnm.Print_Area" localSheetId="13">'13.tabula'!$A$1:$E$48</definedName>
    <definedName name="_xlnm.Print_Area" localSheetId="14">'14.tabula'!$A$1:$E$33</definedName>
    <definedName name="_xlnm.Print_Area" localSheetId="15">'15.tabula'!$A$1:$E$49</definedName>
    <definedName name="_xlnm.Print_Titles" localSheetId="10">'10.tabula'!$5:$7</definedName>
    <definedName name="_xlnm.Print_Titles" localSheetId="16">'16.tabula'!$8:$11</definedName>
    <definedName name="_xlnm.Print_Titles" localSheetId="17">'17.tabula'!$8:$11</definedName>
    <definedName name="_xlnm.Print_Titles" localSheetId="19">'19.tabula'!$8:$10</definedName>
  </definedNames>
  <calcPr fullCalcOnLoad="1"/>
</workbook>
</file>

<file path=xl/sharedStrings.xml><?xml version="1.0" encoding="utf-8"?>
<sst xmlns="http://schemas.openxmlformats.org/spreadsheetml/2006/main" count="2302" uniqueCount="743">
  <si>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</si>
  <si>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</si>
  <si>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</si>
  <si>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</si>
  <si>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</si>
  <si>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</si>
  <si>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</si>
  <si>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</si>
  <si>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</si>
  <si>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</si>
  <si>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</si>
  <si>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</si>
  <si>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</si>
  <si>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</si>
  <si>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</si>
  <si>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</si>
  <si>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</si>
  <si>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</si>
  <si>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</si>
  <si>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</si>
  <si>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</si>
  <si>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</si>
  <si>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</si>
  <si>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</si>
  <si>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</si>
  <si>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</si>
  <si>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</si>
  <si>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</si>
  <si>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</si>
  <si>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</si>
  <si>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</si>
  <si>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</si>
  <si>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</si>
  <si>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</si>
  <si>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</si>
  <si>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</si>
  <si>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</si>
  <si>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</si>
  <si>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</si>
  <si>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</si>
  <si>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</si>
  <si>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</si>
  <si>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</si>
  <si>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</si>
  <si>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</si>
  <si>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</si>
  <si>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</si>
  <si>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</si>
  <si>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</si>
  <si>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</si>
  <si>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</si>
  <si>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</si>
  <si>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</si>
  <si>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</si>
  <si>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</si>
  <si>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</si>
  <si>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                                                                           A.Veiss</t>
  </si>
  <si>
    <t>Valsts kase/Pārskatu departaments</t>
  </si>
  <si>
    <t>1.tabula</t>
  </si>
  <si>
    <t xml:space="preserve"> Valsts kases oficiālais mēneša pārskats</t>
  </si>
  <si>
    <t>Valsts konsolidētā budžeta izpilde (1999.gada janvāris - oktobris)</t>
  </si>
  <si>
    <t>(tūkst. latu)</t>
  </si>
  <si>
    <t>Likumā apstiprinātais gada plāns</t>
  </si>
  <si>
    <t>Izpilde no gada sākuma</t>
  </si>
  <si>
    <t>Izpilde  % pret gada plānu         (3/2)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</si>
  <si>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</si>
  <si>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</si>
  <si>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</si>
  <si>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</si>
  <si>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</si>
  <si>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</si>
  <si>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</si>
  <si>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</si>
  <si>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</si>
  <si>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</si>
  <si>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</si>
  <si>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</si>
  <si>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</si>
  <si>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</si>
  <si>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</si>
  <si>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</si>
  <si>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</si>
  <si>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</si>
  <si>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</si>
  <si>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</si>
  <si>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</si>
  <si>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</si>
  <si>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</si>
  <si>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</si>
  <si>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</si>
  <si>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</si>
  <si>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</si>
  <si>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</si>
  <si>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</si>
  <si>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</si>
  <si>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</si>
  <si>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</si>
  <si>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</si>
  <si>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</si>
  <si>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</si>
  <si>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</si>
  <si>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</si>
  <si>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</si>
  <si>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</si>
  <si>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</si>
  <si>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</si>
  <si>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</si>
  <si>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</si>
  <si>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</si>
  <si>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</si>
  <si>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</si>
  <si>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</si>
  <si>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</si>
  <si>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</si>
  <si>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</si>
  <si>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</si>
  <si>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</si>
  <si>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</si>
  <si>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</si>
  <si>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</si>
  <si>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</si>
  <si>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</si>
  <si>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</si>
  <si>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</si>
  <si>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</si>
  <si>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</si>
  <si>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</si>
  <si>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</si>
  <si>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</si>
  <si>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</si>
  <si>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</si>
  <si>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</si>
  <si>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</si>
  <si>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</si>
  <si>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</si>
  <si>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</si>
  <si>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</si>
  <si>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</si>
  <si>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</si>
  <si>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</si>
  <si>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</si>
  <si>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</si>
  <si>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</si>
  <si>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</si>
  <si>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Valsts kase / Pārskatu departaments</t>
  </si>
  <si>
    <t>1999.gada 15.oktobris</t>
  </si>
  <si>
    <t>1999.gada 15.novembris</t>
  </si>
  <si>
    <t>2.tabula</t>
  </si>
  <si>
    <t>Valsts kases oficiālais mēneša pārskats</t>
  </si>
  <si>
    <t>(tūkst.latu)</t>
  </si>
  <si>
    <t>Gada sagaidāmā izpilde %</t>
  </si>
  <si>
    <t>Izpilde % pret gada plānu            (4/2)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</si>
  <si>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</si>
  <si>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</si>
  <si>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</si>
  <si>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</si>
  <si>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</si>
  <si>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</si>
  <si>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</si>
  <si>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</si>
  <si>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</si>
  <si>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</si>
  <si>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</si>
  <si>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</si>
  <si>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</si>
  <si>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</si>
  <si>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</si>
  <si>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</si>
  <si>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</si>
  <si>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</si>
  <si>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</si>
  <si>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</si>
  <si>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</si>
  <si>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</si>
  <si>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</si>
  <si>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</si>
  <si>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</si>
  <si>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</si>
  <si>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</si>
  <si>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</si>
  <si>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Valsts kases pārvaldnieks________________________________________(A.Veiss)</t>
  </si>
  <si>
    <t xml:space="preserve">Valsts kases oficiālais mēneša pārskats </t>
  </si>
  <si>
    <t>3.tabula</t>
  </si>
  <si>
    <t>Valsts pamatbudżeta izdevumi pa ministrijām un pasākumiem</t>
  </si>
  <si>
    <t xml:space="preserve">Finansēšanas plāns pārskata periodam </t>
  </si>
  <si>
    <t>Izpilde % pret gada plānu (4/2)</t>
  </si>
  <si>
    <t>Izpilde % pret finansēša-nas plānu pārskata periodam 
  (4/3)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</si>
  <si>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</si>
  <si>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</si>
  <si>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</si>
  <si>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</si>
  <si>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</si>
  <si>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</si>
  <si>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</si>
  <si>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</si>
  <si>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</si>
  <si>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</si>
  <si>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</si>
  <si>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</si>
  <si>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</si>
  <si>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</si>
  <si>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</si>
  <si>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</si>
  <si>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Augusta   izpilde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</si>
  <si>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</si>
  <si>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</si>
  <si>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</si>
  <si>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</si>
  <si>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</si>
  <si>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</si>
  <si>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</si>
  <si>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</si>
  <si>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</si>
  <si>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</si>
  <si>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</si>
  <si>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</si>
  <si>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sadarbībai  ar starptautiskajām finansu institūcijām sekretariāts</t>
  </si>
  <si>
    <t>Īpašu uzdevumu ministra valsts pārvaldes  un  pašvaldību  reformas jautājumos 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</si>
  <si>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</si>
  <si>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</si>
  <si>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</si>
  <si>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</si>
  <si>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4.tabula</t>
  </si>
  <si>
    <t xml:space="preserve">           Valsts kases oficiālais mēneša pārskats</t>
  </si>
  <si>
    <t xml:space="preserve">Valsts pamatbudžeta ieņēmumu un izdevumu atšifrējums </t>
  </si>
  <si>
    <t>pēc ekonomiskās klasifikācijas</t>
  </si>
  <si>
    <t>Finansēšanas plāns pārskata periodam</t>
  </si>
  <si>
    <t>Izpilde % pret gada plānu      (4/2)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</si>
  <si>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</si>
  <si>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</si>
  <si>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</si>
  <si>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</si>
  <si>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</si>
  <si>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</si>
  <si>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</si>
  <si>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</si>
  <si>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</si>
  <si>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</si>
  <si>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</si>
  <si>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 xml:space="preserve">     t.sk.          preču un pakalpojumu izdevumi</t>
  </si>
  <si>
    <t xml:space="preserve">     t.sk.         preču un pakalpojumu izdevumi</t>
  </si>
  <si>
    <t xml:space="preserve"> pārējie izdevumi</t>
  </si>
  <si>
    <t xml:space="preserve">                        pārējie izdevumi</t>
  </si>
  <si>
    <t xml:space="preserve">    aizņēmumu atmaksa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</si>
  <si>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</si>
  <si>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</si>
  <si>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</si>
  <si>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</si>
  <si>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</si>
  <si>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</si>
  <si>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</si>
  <si>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</si>
  <si>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</si>
  <si>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</si>
  <si>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</si>
  <si>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</si>
  <si>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</si>
  <si>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dotācijas iedzīvotājiem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</si>
  <si>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</si>
  <si>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</si>
  <si>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</si>
  <si>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</si>
  <si>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</si>
  <si>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</si>
  <si>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</si>
  <si>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</si>
  <si>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</si>
  <si>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2.2.Izdevumi kapitālieguldījumiem</t>
  </si>
  <si>
    <t>Kapitālie izdevumi</t>
  </si>
  <si>
    <t>Investīcijas</t>
  </si>
  <si>
    <t>3. Valsts budžeta tīrie aizdevumi (3.1.-3.2.)</t>
  </si>
  <si>
    <t>3.1.Valsts budžeta aizdevumi</t>
  </si>
  <si>
    <t>3.2.Valsts budžeta aizdevumu atmaksas</t>
  </si>
  <si>
    <t>Fiskālā bilance (1.-2.-3.)</t>
  </si>
  <si>
    <t>Valsts kases pārvaldnieks _______________________________________ (AVeiss)</t>
  </si>
  <si>
    <t>Valsts kases pārvaldnieks _______________________________________ (A.Veiss)</t>
  </si>
  <si>
    <t>5.tabula</t>
  </si>
  <si>
    <t xml:space="preserve">Valsts speciālā budžeta ieņēmumi un izdevumi pa ministrijām </t>
  </si>
  <si>
    <t xml:space="preserve"> (tūkst.latu)</t>
  </si>
  <si>
    <t>Izpilde % pret gada plānu 
   (4/2)</t>
  </si>
  <si>
    <t>Finansēšanas plāns</t>
  </si>
  <si>
    <t>Izdevumi - kopā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</si>
  <si>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</si>
  <si>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</si>
  <si>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</si>
  <si>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</si>
  <si>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</si>
  <si>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</si>
  <si>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Valsts īpašuma privatizācijas fonds</t>
  </si>
  <si>
    <t>Ieņēmumi</t>
  </si>
  <si>
    <t>Izdevumi</t>
  </si>
  <si>
    <t xml:space="preserve">     t.sk. iemaksas valsts pamatbudžetā</t>
  </si>
  <si>
    <t>Centrālā dzīvojamo māju privatizācijas komisija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</si>
  <si>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</si>
  <si>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</si>
  <si>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</si>
  <si>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</si>
  <si>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</si>
  <si>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</si>
  <si>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</si>
  <si>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</si>
  <si>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</si>
  <si>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</si>
  <si>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</si>
  <si>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</si>
  <si>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</si>
  <si>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 xml:space="preserve"> Zivju fonds</t>
  </si>
  <si>
    <t xml:space="preserve">   Maksa par rūpnieciskās zvejas tiesību nomu un izmantošanu</t>
  </si>
  <si>
    <t>Pārējie maksājumi</t>
  </si>
  <si>
    <t>Meżsaimniecības attīstības fonds</t>
  </si>
  <si>
    <t xml:space="preserve">   Ieņēmumi no meža resursu realizācijas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</si>
  <si>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</si>
  <si>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</si>
  <si>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</si>
  <si>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   Izdevumi kapitālieguldļjumiem</t>
  </si>
  <si>
    <t xml:space="preserve"> Dzelzceļa infrastruktūras fonds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</si>
  <si>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</si>
  <si>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</si>
  <si>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</si>
  <si>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</si>
  <si>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</si>
  <si>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</si>
  <si>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</si>
  <si>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</si>
  <si>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</si>
  <si>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</si>
  <si>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</si>
  <si>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</si>
  <si>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</si>
  <si>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</si>
  <si>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</si>
  <si>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</si>
  <si>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</si>
  <si>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</si>
  <si>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</si>
  <si>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</si>
  <si>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</si>
  <si>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</si>
  <si>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</si>
  <si>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izložu un azartspēļu nodevas un nodokļa maksājumiem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</si>
  <si>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</si>
  <si>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</si>
  <si>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</si>
  <si>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</si>
  <si>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</si>
  <si>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 xml:space="preserve">          Valsts kases oficiālais mēneša pārskats</t>
  </si>
  <si>
    <t>6.tabula</t>
  </si>
  <si>
    <t xml:space="preserve">Valsts speciālā budžeta ieņēmumu un izdevumu atšifrējums </t>
  </si>
  <si>
    <t>Izpilde % pret finansē-šanas plānu pārskata periodam           (4/3)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</si>
  <si>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</si>
  <si>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</si>
  <si>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</si>
  <si>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</si>
  <si>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t.sk. preču un pakalpojumu izdevumi</t>
  </si>
  <si>
    <t>iemaksas valsts pamatbudžetā</t>
  </si>
  <si>
    <t>izdevumi saskaņā ar likumu "Par valsts un pašvaldību īpašuma privatizācijas fondiem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</si>
  <si>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</si>
  <si>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</si>
  <si>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</si>
  <si>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</si>
  <si>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</si>
  <si>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</si>
  <si>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</si>
  <si>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</si>
  <si>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</si>
  <si>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Marta izpilde</t>
  </si>
  <si>
    <t>3.Valsts budžeta tīrie aizdevumi (3.1.-3.2.)</t>
  </si>
  <si>
    <t>Finansēšana</t>
  </si>
  <si>
    <t>Valsts speciālā budžeta naudas līdzekļu atlikumu izmaiņas palielinājums (-) vai samazinājums (+)</t>
  </si>
  <si>
    <t>7.tabula</t>
  </si>
  <si>
    <t>Valsts speciālā budžeta (dāvinājumi un ziedojumi) ieņēmumi un izdevumi</t>
  </si>
  <si>
    <t>Izpilde % pret finansēšanas plānu  (3/2)</t>
  </si>
  <si>
    <t>Finansēšanas plāns pārskata periodam *</t>
  </si>
  <si>
    <t>1.Saņemtie dāvinājumi un ziedojumi - kopā</t>
  </si>
  <si>
    <t xml:space="preserve">   no iekšzemes juridiskajām un fiziskajām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</si>
  <si>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</si>
  <si>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</si>
  <si>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</si>
  <si>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</si>
  <si>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</si>
  <si>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</si>
  <si>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</si>
  <si>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</si>
  <si>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</si>
  <si>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</si>
  <si>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>* - nav informācijas</t>
  </si>
  <si>
    <t>Valsts kases oficiālais mēneša pārskats par valsts kopbudžeta izpildi                             ( 1999.gada janvāris - novembris )</t>
  </si>
  <si>
    <t>Novembra izpilde</t>
  </si>
  <si>
    <t>1999.gada 15.decembrī.</t>
  </si>
  <si>
    <t>Valsts konsolidētā budžeta izpilde (1999.gada janvāris - novembris)</t>
  </si>
  <si>
    <t xml:space="preserve">Novembra  izpilde </t>
  </si>
  <si>
    <t xml:space="preserve">  B.4. Valsts pamatbudžeta tīrie aizdevumi (neto) </t>
  </si>
  <si>
    <t>*</t>
  </si>
  <si>
    <t xml:space="preserve">     Valsts pamatbudžeta tīrie aizdevumi (bruto)</t>
  </si>
  <si>
    <t xml:space="preserve">     Valsts pamatbudžeta tīrie aizdevumi (neto)</t>
  </si>
  <si>
    <t xml:space="preserve">B.5. Valsts pamatbudžeta fiskālais deficīts (-), pārpalikums (+) </t>
  </si>
  <si>
    <t xml:space="preserve">  C.4. Valsts speciālā budžeta tīrie aizdevumi </t>
  </si>
  <si>
    <t>Valsts pamatbudžeta ieņēmumi (1999.gada janvāris - novembris)</t>
  </si>
  <si>
    <t>Novembra  izpilde</t>
  </si>
  <si>
    <t>* - ieskaitot nesadalītās sociālās apdrošināšanas iemaksas - 2 310 246 latu</t>
  </si>
  <si>
    <t>** - ieskaitot procentus par valsts depozītu -    3 318 515 latu</t>
  </si>
  <si>
    <t>1999.gada 15.decembris</t>
  </si>
  <si>
    <t>(1999.gada janvāris - novembris)</t>
  </si>
  <si>
    <t>(1999.gada  janvāris - novembris)</t>
  </si>
  <si>
    <t>Ieņēmumi - kopā  *</t>
  </si>
  <si>
    <t xml:space="preserve">        Uzturēšanas izdevumi *</t>
  </si>
  <si>
    <t xml:space="preserve">        Uzturēšanas izdevumi  *</t>
  </si>
  <si>
    <t>Izdevumi **</t>
  </si>
  <si>
    <t>Izdevumi  **</t>
  </si>
  <si>
    <t>Konsolidācijas pozīcijas:</t>
  </si>
  <si>
    <t xml:space="preserve">*  Valsts autoceļu fonda pārskaitījums Dzelzceļa infrastruktūras fondā 1503 Ls </t>
  </si>
  <si>
    <r>
      <t xml:space="preserve">** </t>
    </r>
    <r>
      <rPr>
        <i/>
        <sz val="8"/>
        <rFont val="Arial"/>
        <family val="2"/>
      </rPr>
      <t>konsolidēts par sociālās apdrošināšanas iekšējiem pārskaitījumiem  29610 Ls</t>
    </r>
  </si>
  <si>
    <t xml:space="preserve">                                              Valsts kases oficiālais mēneša pārskats</t>
  </si>
  <si>
    <t xml:space="preserve">                                                       (1999.gada janvāris - novembris)</t>
  </si>
  <si>
    <t xml:space="preserve">                                    (1999.gada janvāris - novembris)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</si>
  <si>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</si>
  <si>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</si>
  <si>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</si>
  <si>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</si>
  <si>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                            ( 1999.gada janvāris- novembris)</t>
  </si>
  <si>
    <t>Valsts pamatbudžeta izdevumi pēc valdības funkcijām</t>
  </si>
  <si>
    <t>( 1999.gada janvāris- novembris)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</si>
  <si>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</si>
  <si>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</si>
  <si>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</si>
  <si>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</si>
  <si>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</si>
  <si>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</si>
  <si>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</si>
  <si>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</si>
  <si>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</si>
  <si>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</si>
  <si>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</si>
  <si>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</si>
  <si>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</si>
  <si>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</si>
  <si>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</si>
  <si>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</si>
  <si>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</si>
  <si>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</si>
  <si>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</si>
  <si>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</si>
  <si>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pārvaldnieks________________________________</t>
  </si>
  <si>
    <t>(A.Veiss)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</si>
  <si>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</si>
  <si>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</si>
  <si>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</si>
  <si>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</si>
  <si>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</si>
  <si>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(1999.gada janvāris - novembris)</t>
  </si>
  <si>
    <t>Izdevumi no ziedojumiem un dāvinājumiem</t>
  </si>
  <si>
    <t>Izglītība       *</t>
  </si>
  <si>
    <t>Izglītība   *</t>
  </si>
  <si>
    <t>* -  ieskaitot  tīros  aizdevumus</t>
  </si>
  <si>
    <t>Valsts kases pārvaldnieks_________________________________</t>
  </si>
  <si>
    <t>10. tabula</t>
  </si>
  <si>
    <t xml:space="preserve">Pašvaldību konsolidētā budžeta izpilde </t>
  </si>
  <si>
    <t xml:space="preserve">   ( 1999. gada janvāris - novembris )</t>
  </si>
  <si>
    <t>Gada plāns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</si>
  <si>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</si>
  <si>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</si>
  <si>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</si>
  <si>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</si>
  <si>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</si>
  <si>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</si>
  <si>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</si>
  <si>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</si>
  <si>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</si>
  <si>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</si>
  <si>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</si>
  <si>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</si>
  <si>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</si>
  <si>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</si>
  <si>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</si>
  <si>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</si>
  <si>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</si>
  <si>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</si>
  <si>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</si>
  <si>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</si>
  <si>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</si>
  <si>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</si>
  <si>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</si>
  <si>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</si>
  <si>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</si>
  <si>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</si>
  <si>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</si>
  <si>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</si>
  <si>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</si>
  <si>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</si>
  <si>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</si>
  <si>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</si>
  <si>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</si>
  <si>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</si>
  <si>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</si>
  <si>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</si>
  <si>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</si>
  <si>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</si>
  <si>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</si>
  <si>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</si>
  <si>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</si>
  <si>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</si>
  <si>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</si>
  <si>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A. Veiss</t>
  </si>
  <si>
    <t xml:space="preserve">Valsts kase / Pārskatu departaments </t>
  </si>
  <si>
    <t>15.11.99.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</si>
  <si>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</si>
  <si>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</si>
  <si>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</si>
  <si>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</si>
  <si>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 xml:space="preserve">( 1999. gada janvāris - novembris ) 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</si>
  <si>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</si>
  <si>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</si>
  <si>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</si>
  <si>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</si>
  <si>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</si>
  <si>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</si>
  <si>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</si>
  <si>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</si>
  <si>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</si>
  <si>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</si>
  <si>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</si>
  <si>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</si>
  <si>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</si>
  <si>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</si>
  <si>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</si>
  <si>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</si>
  <si>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</si>
  <si>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</si>
  <si>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</si>
  <si>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</si>
  <si>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</si>
  <si>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</si>
  <si>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</si>
  <si>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</si>
  <si>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</si>
  <si>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</si>
  <si>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</si>
  <si>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</si>
  <si>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</si>
  <si>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</si>
  <si>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</si>
  <si>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t.sk. nesadalītais atlikums   441  tūkst.latu</t>
  </si>
  <si>
    <t>* iedzīvotāju ienākuma nodokļa prognozes neizpildes kompensācija   3 500  tūkst.latu</t>
  </si>
  <si>
    <t>Valsts kases pārvaldnieks</t>
  </si>
  <si>
    <t xml:space="preserve">                                           Valsts kases oficiālais mēneša pārskats</t>
  </si>
  <si>
    <t>12. tabula</t>
  </si>
  <si>
    <t xml:space="preserve"> </t>
  </si>
  <si>
    <t xml:space="preserve">Pašvaldību pamatbudžeta izdevumi </t>
  </si>
  <si>
    <t>( 1999. gada janvāris - novembris )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</si>
  <si>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</si>
  <si>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</si>
  <si>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</si>
  <si>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</si>
  <si>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</si>
  <si>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</si>
  <si>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</si>
  <si>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</si>
  <si>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</si>
  <si>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</si>
  <si>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</si>
  <si>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</si>
  <si>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</si>
  <si>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</si>
  <si>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</si>
  <si>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</si>
  <si>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</si>
  <si>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</si>
  <si>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</si>
  <si>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</si>
  <si>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</si>
  <si>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1 054  tūkst.latu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</si>
  <si>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</si>
  <si>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</si>
  <si>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</si>
  <si>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</si>
  <si>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</si>
  <si>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</si>
  <si>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</si>
  <si>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</si>
  <si>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</si>
  <si>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</si>
  <si>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</si>
  <si>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</si>
  <si>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</si>
  <si>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</si>
  <si>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</si>
  <si>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</si>
  <si>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</si>
  <si>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</si>
  <si>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</si>
  <si>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</si>
  <si>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</si>
  <si>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</si>
  <si>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</si>
  <si>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</si>
  <si>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</si>
  <si>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</si>
  <si>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</si>
  <si>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</si>
  <si>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</si>
  <si>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</si>
  <si>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</si>
  <si>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</si>
  <si>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</si>
  <si>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</si>
  <si>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</si>
  <si>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</si>
  <si>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</si>
  <si>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</si>
  <si>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</si>
  <si>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2 151  tūkst.latu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</si>
  <si>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</si>
  <si>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</si>
  <si>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</si>
  <si>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</si>
  <si>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</si>
  <si>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</si>
  <si>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</si>
  <si>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</si>
  <si>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</si>
  <si>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</si>
  <si>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</si>
  <si>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</si>
  <si>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</si>
  <si>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</si>
  <si>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</si>
  <si>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</si>
  <si>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</si>
  <si>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</si>
  <si>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</si>
  <si>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</si>
  <si>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</si>
  <si>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</si>
  <si>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</si>
  <si>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</si>
  <si>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</si>
  <si>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</si>
  <si>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</si>
  <si>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</si>
  <si>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</si>
  <si>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</si>
  <si>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</si>
  <si>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</si>
  <si>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</si>
  <si>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</si>
  <si>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</si>
  <si>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</si>
  <si>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</si>
  <si>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</si>
  <si>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</si>
  <si>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</si>
  <si>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</si>
  <si>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</si>
  <si>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</si>
  <si>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</si>
  <si>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</si>
  <si>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</si>
  <si>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</si>
  <si>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</si>
  <si>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</si>
  <si>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</si>
  <si>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</si>
  <si>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</si>
  <si>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</si>
  <si>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</si>
  <si>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</si>
  <si>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</si>
  <si>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</si>
  <si>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</si>
  <si>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</si>
  <si>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</si>
  <si>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</si>
  <si>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</si>
  <si>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</si>
  <si>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 -   neieskaitot iedzīvotāju ienākuma nodokļa atlikumu sadales kontā</t>
  </si>
  <si>
    <t xml:space="preserve">**  -   ieskaitot  tīros aizdevumus </t>
  </si>
  <si>
    <t xml:space="preserve">Valsts kases pārvaldnieks </t>
  </si>
  <si>
    <t>_______________________________</t>
  </si>
  <si>
    <t>15.12.99.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</si>
  <si>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</si>
  <si>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</si>
  <si>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</si>
  <si>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</si>
  <si>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</si>
  <si>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</si>
  <si>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</si>
  <si>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</si>
  <si>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</si>
  <si>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</si>
  <si>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</si>
  <si>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</si>
  <si>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</si>
  <si>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</si>
  <si>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</si>
  <si>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</si>
  <si>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novembris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</si>
  <si>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</si>
  <si>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</si>
  <si>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</si>
  <si>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</si>
  <si>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</si>
  <si>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</si>
  <si>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</si>
  <si>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</si>
  <si>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</si>
  <si>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</si>
  <si>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</si>
  <si>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</si>
  <si>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 decembri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</si>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</sst>
</file>

<file path=xl/styles.xml><?xml version="1.0" encoding="utf-8"?>
<styleSheet xmlns="http://schemas.openxmlformats.org/spreadsheetml/2006/main">
  <numFmts count="57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##,###,###"/>
    <numFmt numFmtId="167" formatCode="#,###%"/>
    <numFmt numFmtId="168" formatCode="0.0%"/>
    <numFmt numFmtId="169" formatCode="00.0%"/>
    <numFmt numFmtId="170" formatCode="###.0%"/>
    <numFmt numFmtId="171" formatCode="#,###.0%"/>
    <numFmt numFmtId="172" formatCode="###,###"/>
    <numFmt numFmtId="173" formatCode="00.000"/>
    <numFmt numFmtId="174" formatCode="_ * #,##0_ ;_ * \-#,##0_ ;_ * &quot;-&quot;??_ ;_ @_ "/>
    <numFmt numFmtId="175" formatCode="#,##0\ &quot;LVR&quot;;\-#,##0\ &quot;LVR&quot;"/>
    <numFmt numFmtId="176" formatCode="#,##0\ &quot;LVR&quot;;[Red]\-#,##0\ &quot;LVR&quot;"/>
    <numFmt numFmtId="177" formatCode="#,##0.00\ &quot;LVR&quot;;\-#,##0.00\ &quot;LVR&quot;"/>
    <numFmt numFmtId="178" formatCode="#,##0.00\ &quot;LVR&quot;;[Red]\-#,##0.00\ &quot;LVR&quot;"/>
    <numFmt numFmtId="179" formatCode="_-* #,##0\ &quot;LVR&quot;_-;\-* #,##0\ &quot;LVR&quot;_-;_-* &quot;-&quot;\ &quot;LVR&quot;_-;_-@_-"/>
    <numFmt numFmtId="180" formatCode="_-* #,##0\ _L_V_R_-;\-* #,##0\ _L_V_R_-;_-* &quot;-&quot;\ _L_V_R_-;_-@_-"/>
    <numFmt numFmtId="181" formatCode="_-* #,##0.00\ &quot;LVR&quot;_-;\-* #,##0.00\ &quot;LVR&quot;_-;_-* &quot;-&quot;??\ &quot;LVR&quot;_-;_-@_-"/>
    <numFmt numFmtId="182" formatCode="_-* #,##0.00\ _L_V_R_-;\-* #,##0.00\ _L_V_R_-;_-* &quot;-&quot;??\ _L_V_R_-;_-@_-"/>
    <numFmt numFmtId="183" formatCode="&quot;Ls&quot;#,##0_);\(&quot;Ls&quot;#,##0\)"/>
    <numFmt numFmtId="184" formatCode="&quot;Ls&quot;#,##0_);[Red]\(&quot;Ls&quot;#,##0\)"/>
    <numFmt numFmtId="185" formatCode="&quot;Ls&quot;#,##0.00_);\(&quot;Ls&quot;#,##0.00\)"/>
    <numFmt numFmtId="186" formatCode="&quot;Ls&quot;#,##0.00_);[Red]\(&quot;Ls&quot;#,##0.00\)"/>
    <numFmt numFmtId="187" formatCode="_(&quot;Ls&quot;* #,##0_);_(&quot;Ls&quot;* \(#,##0\);_(&quot;Ls&quot;* &quot;-&quot;_);_(@_)"/>
    <numFmt numFmtId="188" formatCode="_(* #,##0_);_(* \(#,##0\);_(* &quot;-&quot;_);_(@_)"/>
    <numFmt numFmtId="189" formatCode="_(&quot;Ls&quot;* #,##0.00_);_(&quot;Ls&quot;* \(#,##0.00\);_(&quot;Ls&quot;* &quot;-&quot;??_);_(@_)"/>
    <numFmt numFmtId="190" formatCode="_(* #,##0.00_);_(* \(#,##0.00\);_(* &quot;-&quot;??_);_(@_)"/>
    <numFmt numFmtId="191" formatCode="#,###,##0"/>
    <numFmt numFmtId="192" formatCode="#,000"/>
    <numFmt numFmtId="193" formatCode="#,###,000"/>
    <numFmt numFmtId="194" formatCode="#,"/>
    <numFmt numFmtId="195" formatCode="0,"/>
    <numFmt numFmtId="196" formatCode="##0"/>
    <numFmt numFmtId="197" formatCode="#0,"/>
    <numFmt numFmtId="198" formatCode="#,#00"/>
    <numFmt numFmtId="199" formatCode="#."/>
    <numFmt numFmtId="200" formatCode="##0,"/>
    <numFmt numFmtId="201" formatCode="##0,###"/>
    <numFmt numFmtId="202" formatCode="#,###"/>
    <numFmt numFmtId="203" formatCode="\ #,"/>
    <numFmt numFmtId="204" formatCode="\ #"/>
    <numFmt numFmtId="205" formatCode="#,###,000.0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#\ ###\ ##0"/>
    <numFmt numFmtId="210" formatCode="#\ ###\ \ ##0"/>
    <numFmt numFmtId="211" formatCode="###,##0,"/>
    <numFmt numFmtId="212" formatCode="#,###,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sz val="12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/>
    </xf>
    <xf numFmtId="167" fontId="5" fillId="0" borderId="1" xfId="24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8" fontId="8" fillId="0" borderId="1" xfId="24" applyNumberFormat="1" applyFont="1" applyBorder="1" applyAlignment="1">
      <alignment/>
    </xf>
    <xf numFmtId="0" fontId="8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8" fontId="5" fillId="0" borderId="1" xfId="24" applyNumberFormat="1" applyFont="1" applyBorder="1" applyAlignment="1">
      <alignment/>
    </xf>
    <xf numFmtId="0" fontId="0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24" applyNumberFormat="1" applyFont="1" applyBorder="1" applyAlignment="1">
      <alignment/>
    </xf>
    <xf numFmtId="168" fontId="3" fillId="0" borderId="1" xfId="24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/>
    </xf>
    <xf numFmtId="168" fontId="6" fillId="0" borderId="1" xfId="24" applyNumberFormat="1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0" fontId="4" fillId="0" borderId="1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169" fontId="4" fillId="0" borderId="1" xfId="24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169" fontId="8" fillId="0" borderId="1" xfId="24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0" fontId="4" fillId="0" borderId="1" xfId="0" applyNumberFormat="1" applyFont="1" applyFill="1" applyBorder="1" applyAlignment="1">
      <alignment/>
    </xf>
    <xf numFmtId="168" fontId="5" fillId="0" borderId="1" xfId="0" applyNumberFormat="1" applyFont="1" applyBorder="1" applyAlignment="1">
      <alignment/>
    </xf>
    <xf numFmtId="169" fontId="5" fillId="0" borderId="1" xfId="24" applyNumberFormat="1" applyFont="1" applyBorder="1" applyAlignment="1">
      <alignment/>
    </xf>
    <xf numFmtId="10" fontId="3" fillId="0" borderId="1" xfId="0" applyNumberFormat="1" applyFont="1" applyFill="1" applyBorder="1" applyAlignment="1">
      <alignment/>
    </xf>
    <xf numFmtId="168" fontId="3" fillId="0" borderId="1" xfId="0" applyNumberFormat="1" applyFont="1" applyBorder="1" applyAlignment="1">
      <alignment/>
    </xf>
    <xf numFmtId="169" fontId="3" fillId="0" borderId="1" xfId="24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8" fontId="6" fillId="0" borderId="1" xfId="0" applyNumberFormat="1" applyFont="1" applyBorder="1" applyAlignment="1">
      <alignment/>
    </xf>
    <xf numFmtId="169" fontId="6" fillId="0" borderId="1" xfId="24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0" fontId="3" fillId="0" borderId="0" xfId="24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70" fontId="4" fillId="0" borderId="1" xfId="24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0" fontId="3" fillId="0" borderId="1" xfId="24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70" fontId="8" fillId="0" borderId="1" xfId="24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11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/>
    </xf>
    <xf numFmtId="166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 wrapText="1"/>
    </xf>
    <xf numFmtId="170" fontId="5" fillId="0" borderId="1" xfId="24" applyNumberFormat="1" applyFont="1" applyBorder="1" applyAlignment="1">
      <alignment/>
    </xf>
    <xf numFmtId="10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6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71" fontId="5" fillId="0" borderId="1" xfId="24" applyNumberFormat="1" applyFont="1" applyBorder="1" applyAlignment="1">
      <alignment/>
    </xf>
    <xf numFmtId="0" fontId="2" fillId="0" borderId="1" xfId="0" applyFont="1" applyBorder="1" applyAlignment="1">
      <alignment/>
    </xf>
    <xf numFmtId="171" fontId="3" fillId="0" borderId="1" xfId="24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/>
    </xf>
    <xf numFmtId="171" fontId="6" fillId="0" borderId="1" xfId="24" applyNumberFormat="1" applyFont="1" applyBorder="1" applyAlignment="1">
      <alignment/>
    </xf>
    <xf numFmtId="0" fontId="15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8" fontId="4" fillId="0" borderId="1" xfId="24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7" fontId="6" fillId="0" borderId="1" xfId="24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0" fillId="0" borderId="3" xfId="0" applyNumberFormat="1" applyBorder="1" applyAlignment="1">
      <alignment/>
    </xf>
    <xf numFmtId="164" fontId="4" fillId="0" borderId="3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172" fontId="8" fillId="0" borderId="1" xfId="0" applyNumberFormat="1" applyFont="1" applyBorder="1" applyAlignment="1">
      <alignment horizontal="right" wrapText="1"/>
    </xf>
    <xf numFmtId="9" fontId="8" fillId="0" borderId="1" xfId="24" applyNumberFormat="1" applyFont="1" applyBorder="1" applyAlignment="1">
      <alignment/>
    </xf>
    <xf numFmtId="167" fontId="3" fillId="0" borderId="1" xfId="24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9" fontId="5" fillId="0" borderId="1" xfId="24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0" fillId="0" borderId="4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4" fontId="1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 horizontal="center"/>
    </xf>
    <xf numFmtId="3" fontId="3" fillId="0" borderId="1" xfId="24" applyNumberFormat="1" applyFont="1" applyBorder="1" applyAlignment="1">
      <alignment/>
    </xf>
    <xf numFmtId="10" fontId="4" fillId="0" borderId="1" xfId="24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4" fontId="3" fillId="0" borderId="1" xfId="15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0" fontId="5" fillId="0" borderId="1" xfId="24" applyNumberFormat="1" applyFont="1" applyBorder="1" applyAlignment="1">
      <alignment/>
    </xf>
    <xf numFmtId="10" fontId="8" fillId="0" borderId="1" xfId="24" applyNumberFormat="1" applyFont="1" applyBorder="1" applyAlignment="1">
      <alignment/>
    </xf>
    <xf numFmtId="17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0" fontId="3" fillId="0" borderId="1" xfId="24" applyNumberFormat="1" applyFont="1" applyBorder="1" applyAlignment="1">
      <alignment/>
    </xf>
    <xf numFmtId="173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23" applyFont="1" applyAlignment="1">
      <alignment horizontal="centerContinuous"/>
      <protection/>
    </xf>
    <xf numFmtId="0" fontId="0" fillId="0" borderId="0" xfId="23" applyFont="1" applyAlignment="1">
      <alignment horizontal="right"/>
      <protection/>
    </xf>
    <xf numFmtId="0" fontId="20" fillId="0" borderId="0" xfId="23" applyFont="1">
      <alignment/>
      <protection/>
    </xf>
    <xf numFmtId="0" fontId="0" fillId="0" borderId="0" xfId="23" applyFont="1">
      <alignment/>
      <protection/>
    </xf>
    <xf numFmtId="0" fontId="1" fillId="0" borderId="0" xfId="23" applyFont="1" applyAlignment="1">
      <alignment horizontal="centerContinuous"/>
      <protection/>
    </xf>
    <xf numFmtId="0" fontId="7" fillId="0" borderId="0" xfId="23" applyFont="1" applyAlignment="1">
      <alignment horizontal="centerContinuous"/>
      <protection/>
    </xf>
    <xf numFmtId="0" fontId="3" fillId="0" borderId="0" xfId="23" applyFont="1">
      <alignment/>
      <protection/>
    </xf>
    <xf numFmtId="0" fontId="3" fillId="0" borderId="1" xfId="23" applyFont="1" applyBorder="1" applyAlignment="1">
      <alignment horizontal="center" vertical="center" wrapText="1"/>
      <protection/>
    </xf>
    <xf numFmtId="0" fontId="20" fillId="0" borderId="0" xfId="23" applyFont="1" applyAlignment="1">
      <alignment horizontal="center"/>
      <protection/>
    </xf>
    <xf numFmtId="0" fontId="4" fillId="0" borderId="1" xfId="23" applyFont="1" applyBorder="1" applyAlignment="1">
      <alignment wrapText="1"/>
      <protection/>
    </xf>
    <xf numFmtId="164" fontId="2" fillId="0" borderId="1" xfId="23" applyNumberFormat="1" applyFont="1" applyBorder="1">
      <alignment/>
      <protection/>
    </xf>
    <xf numFmtId="2" fontId="2" fillId="0" borderId="1" xfId="23" applyNumberFormat="1" applyFont="1" applyBorder="1">
      <alignment/>
      <protection/>
    </xf>
    <xf numFmtId="0" fontId="2" fillId="0" borderId="1" xfId="23" applyFont="1" applyBorder="1" applyAlignment="1">
      <alignment/>
      <protection/>
    </xf>
    <xf numFmtId="0" fontId="6" fillId="0" borderId="1" xfId="23" applyFont="1" applyBorder="1" applyAlignment="1">
      <alignment horizontal="center" wrapText="1"/>
      <protection/>
    </xf>
    <xf numFmtId="0" fontId="0" fillId="0" borderId="1" xfId="23" applyFont="1" applyBorder="1" applyAlignment="1">
      <alignment wrapText="1"/>
      <protection/>
    </xf>
    <xf numFmtId="0" fontId="8" fillId="0" borderId="1" xfId="23" applyFont="1" applyBorder="1" applyAlignment="1">
      <alignment wrapText="1"/>
      <protection/>
    </xf>
    <xf numFmtId="0" fontId="2" fillId="0" borderId="1" xfId="23" applyFont="1" applyBorder="1" applyAlignment="1">
      <alignment wrapText="1"/>
      <protection/>
    </xf>
    <xf numFmtId="0" fontId="20" fillId="0" borderId="1" xfId="23" applyFont="1" applyBorder="1">
      <alignment/>
      <protection/>
    </xf>
    <xf numFmtId="0" fontId="0" fillId="0" borderId="0" xfId="23" applyFont="1" applyAlignment="1">
      <alignment wrapText="1"/>
      <protection/>
    </xf>
    <xf numFmtId="0" fontId="2" fillId="0" borderId="0" xfId="23" applyFont="1" applyAlignment="1">
      <alignment horizontal="left"/>
      <protection/>
    </xf>
    <xf numFmtId="0" fontId="0" fillId="0" borderId="0" xfId="23" applyNumberFormat="1" applyFont="1" applyBorder="1">
      <alignment/>
      <protection/>
    </xf>
    <xf numFmtId="49" fontId="2" fillId="0" borderId="0" xfId="23" applyNumberFormat="1" applyFont="1" applyBorder="1" applyAlignment="1">
      <alignment horizontal="center"/>
      <protection/>
    </xf>
    <xf numFmtId="0" fontId="3" fillId="0" borderId="0" xfId="23" applyFont="1" applyAlignment="1">
      <alignment wrapText="1"/>
      <protection/>
    </xf>
    <xf numFmtId="0" fontId="20" fillId="0" borderId="0" xfId="23" applyFont="1" applyAlignment="1">
      <alignment wrapText="1"/>
      <protection/>
    </xf>
    <xf numFmtId="49" fontId="0" fillId="0" borderId="0" xfId="23" applyNumberFormat="1" applyFont="1" applyAlignment="1">
      <alignment horizontal="centerContinuous" vertical="top" wrapText="1"/>
      <protection/>
    </xf>
    <xf numFmtId="0" fontId="0" fillId="0" borderId="0" xfId="23" applyFont="1" applyAlignment="1">
      <alignment horizontal="left"/>
      <protection/>
    </xf>
    <xf numFmtId="49" fontId="1" fillId="0" borderId="0" xfId="23" applyNumberFormat="1" applyFont="1" applyAlignment="1">
      <alignment horizontal="centerContinuous" vertical="top" wrapText="1"/>
      <protection/>
    </xf>
    <xf numFmtId="49" fontId="21" fillId="0" borderId="0" xfId="23" applyNumberFormat="1" applyFont="1" applyAlignment="1">
      <alignment horizontal="centerContinuous" vertical="top" wrapText="1"/>
      <protection/>
    </xf>
    <xf numFmtId="0" fontId="21" fillId="0" borderId="0" xfId="23" applyFont="1" applyAlignment="1">
      <alignment horizontal="centerContinuous"/>
      <protection/>
    </xf>
    <xf numFmtId="0" fontId="21" fillId="0" borderId="0" xfId="23" applyFont="1">
      <alignment/>
      <protection/>
    </xf>
    <xf numFmtId="49" fontId="20" fillId="0" borderId="0" xfId="23" applyNumberFormat="1" applyFont="1" applyAlignment="1">
      <alignment vertical="top" wrapText="1"/>
      <protection/>
    </xf>
    <xf numFmtId="0" fontId="20" fillId="0" borderId="0" xfId="23" applyFont="1" applyAlignment="1">
      <alignment horizontal="centerContinuous"/>
      <protection/>
    </xf>
    <xf numFmtId="49" fontId="3" fillId="0" borderId="0" xfId="23" applyNumberFormat="1" applyFont="1" applyAlignment="1">
      <alignment vertical="top" wrapText="1"/>
      <protection/>
    </xf>
    <xf numFmtId="0" fontId="3" fillId="0" borderId="0" xfId="23" applyFont="1" applyAlignment="1">
      <alignment horizontal="centerContinuous"/>
      <protection/>
    </xf>
    <xf numFmtId="49" fontId="3" fillId="0" borderId="1" xfId="23" applyNumberFormat="1" applyFont="1" applyFill="1" applyBorder="1" applyAlignment="1">
      <alignment horizontal="centerContinuous" vertical="center"/>
      <protection/>
    </xf>
    <xf numFmtId="49" fontId="3" fillId="0" borderId="1" xfId="23" applyNumberFormat="1" applyFont="1" applyFill="1" applyBorder="1" applyAlignment="1">
      <alignment horizontal="center" vertical="center" wrapText="1"/>
      <protection/>
    </xf>
    <xf numFmtId="49" fontId="3" fillId="0" borderId="1" xfId="23" applyNumberFormat="1" applyFont="1" applyFill="1" applyBorder="1" applyAlignment="1">
      <alignment horizontal="center" vertical="top" wrapText="1"/>
      <protection/>
    </xf>
    <xf numFmtId="3" fontId="4" fillId="0" borderId="1" xfId="23" applyNumberFormat="1" applyFont="1" applyBorder="1" applyAlignment="1">
      <alignment horizontal="center"/>
      <protection/>
    </xf>
    <xf numFmtId="3" fontId="2" fillId="0" borderId="1" xfId="23" applyNumberFormat="1" applyFont="1" applyBorder="1">
      <alignment/>
      <protection/>
    </xf>
    <xf numFmtId="4" fontId="2" fillId="0" borderId="1" xfId="23" applyNumberFormat="1" applyFont="1" applyBorder="1">
      <alignment/>
      <protection/>
    </xf>
    <xf numFmtId="49" fontId="4" fillId="0" borderId="1" xfId="23" applyNumberFormat="1" applyFont="1" applyFill="1" applyBorder="1" applyAlignment="1">
      <alignment horizontal="center" vertical="top" wrapText="1"/>
      <protection/>
    </xf>
    <xf numFmtId="3" fontId="4" fillId="0" borderId="1" xfId="23" applyNumberFormat="1" applyFont="1" applyBorder="1" applyAlignment="1">
      <alignment horizontal="left"/>
      <protection/>
    </xf>
    <xf numFmtId="3" fontId="5" fillId="0" borderId="1" xfId="23" applyNumberFormat="1" applyFont="1" applyBorder="1" applyAlignment="1">
      <alignment horizontal="left"/>
      <protection/>
    </xf>
    <xf numFmtId="3" fontId="3" fillId="0" borderId="1" xfId="23" applyNumberFormat="1" applyFont="1" applyBorder="1">
      <alignment/>
      <protection/>
    </xf>
    <xf numFmtId="49" fontId="3" fillId="0" borderId="1" xfId="23" applyNumberFormat="1" applyFont="1" applyFill="1" applyBorder="1" applyAlignment="1">
      <alignment vertical="top" wrapText="1"/>
      <protection/>
    </xf>
    <xf numFmtId="49" fontId="4" fillId="0" borderId="1" xfId="23" applyNumberFormat="1" applyFont="1" applyFill="1" applyBorder="1" applyAlignment="1">
      <alignment vertical="top" wrapText="1"/>
      <protection/>
    </xf>
    <xf numFmtId="3" fontId="5" fillId="0" borderId="1" xfId="23" applyNumberFormat="1" applyFont="1" applyBorder="1" applyAlignment="1">
      <alignment horizontal="center"/>
      <protection/>
    </xf>
    <xf numFmtId="49" fontId="5" fillId="0" borderId="1" xfId="23" applyNumberFormat="1" applyFont="1" applyFill="1" applyBorder="1" applyAlignment="1">
      <alignment horizontal="center" vertical="top" wrapText="1"/>
      <protection/>
    </xf>
    <xf numFmtId="0" fontId="20" fillId="0" borderId="0" xfId="23" applyFont="1" applyBorder="1" applyAlignment="1">
      <alignment horizontal="left"/>
      <protection/>
    </xf>
    <xf numFmtId="0" fontId="2" fillId="0" borderId="0" xfId="23" applyFont="1" applyAlignment="1">
      <alignment horizontal="center"/>
      <protection/>
    </xf>
    <xf numFmtId="0" fontId="20" fillId="0" borderId="0" xfId="23" applyFont="1" applyAlignment="1">
      <alignment horizontal="left"/>
      <protection/>
    </xf>
    <xf numFmtId="0" fontId="20" fillId="0" borderId="0" xfId="23" applyFont="1" applyBorder="1" applyAlignment="1">
      <alignment horizontal="center"/>
      <protection/>
    </xf>
    <xf numFmtId="49" fontId="0" fillId="0" borderId="0" xfId="23" applyNumberFormat="1" applyFont="1" applyAlignment="1">
      <alignment vertical="top" wrapText="1"/>
      <protection/>
    </xf>
    <xf numFmtId="49" fontId="2" fillId="0" borderId="0" xfId="23" applyNumberFormat="1" applyFont="1" applyAlignment="1">
      <alignment horizontal="left" vertical="top" wrapText="1"/>
      <protection/>
    </xf>
    <xf numFmtId="49" fontId="2" fillId="0" borderId="0" xfId="23" applyNumberFormat="1" applyFont="1" applyAlignment="1">
      <alignment vertical="top" wrapText="1"/>
      <protection/>
    </xf>
    <xf numFmtId="49" fontId="2" fillId="0" borderId="5" xfId="23" applyNumberFormat="1" applyFont="1" applyBorder="1" applyAlignment="1">
      <alignment horizontal="center"/>
      <protection/>
    </xf>
    <xf numFmtId="0" fontId="2" fillId="0" borderId="0" xfId="23" applyFont="1">
      <alignment/>
      <protection/>
    </xf>
    <xf numFmtId="49" fontId="20" fillId="0" borderId="0" xfId="23" applyNumberFormat="1" applyFont="1" applyAlignment="1">
      <alignment horizontal="left" vertical="top" wrapText="1"/>
      <protection/>
    </xf>
    <xf numFmtId="0" fontId="3" fillId="0" borderId="0" xfId="23" applyFont="1" applyAlignment="1">
      <alignment horizontal="left"/>
      <protection/>
    </xf>
    <xf numFmtId="0" fontId="20" fillId="0" borderId="0" xfId="23" applyFont="1" applyAlignment="1">
      <alignment/>
      <protection/>
    </xf>
    <xf numFmtId="49" fontId="3" fillId="0" borderId="0" xfId="23" applyNumberFormat="1" applyFont="1" applyAlignment="1">
      <alignment horizontal="centerContinuous" vertical="top" wrapText="1"/>
      <protection/>
    </xf>
    <xf numFmtId="49" fontId="20" fillId="0" borderId="0" xfId="23" applyNumberFormat="1" applyFont="1" applyAlignment="1">
      <alignment horizontal="centerContinuous" vertical="top" wrapText="1"/>
      <protection/>
    </xf>
    <xf numFmtId="49" fontId="3" fillId="0" borderId="0" xfId="23" applyNumberFormat="1" applyFont="1" applyAlignment="1">
      <alignment horizontal="center" vertical="top" wrapText="1"/>
      <protection/>
    </xf>
    <xf numFmtId="0" fontId="3" fillId="0" borderId="0" xfId="23" applyFont="1" applyAlignment="1">
      <alignment/>
      <protection/>
    </xf>
    <xf numFmtId="49" fontId="3" fillId="0" borderId="6" xfId="23" applyNumberFormat="1" applyFont="1" applyFill="1" applyBorder="1" applyAlignment="1">
      <alignment horizontal="center" vertical="center" wrapText="1"/>
      <protection/>
    </xf>
    <xf numFmtId="49" fontId="3" fillId="0" borderId="7" xfId="23" applyNumberFormat="1" applyFont="1" applyFill="1" applyBorder="1" applyAlignment="1">
      <alignment horizontal="center" vertical="center" wrapText="1"/>
      <protection/>
    </xf>
    <xf numFmtId="49" fontId="3" fillId="0" borderId="8" xfId="23" applyNumberFormat="1" applyFont="1" applyFill="1" applyBorder="1" applyAlignment="1">
      <alignment horizontal="center" vertical="center" wrapText="1"/>
      <protection/>
    </xf>
    <xf numFmtId="49" fontId="3" fillId="0" borderId="9" xfId="23" applyNumberFormat="1" applyFont="1" applyFill="1" applyBorder="1" applyAlignment="1">
      <alignment horizontal="center" vertical="top" wrapText="1"/>
      <protection/>
    </xf>
    <xf numFmtId="49" fontId="3" fillId="0" borderId="10" xfId="23" applyNumberFormat="1" applyFont="1" applyFill="1" applyBorder="1" applyAlignment="1">
      <alignment horizontal="center" vertical="top" wrapText="1"/>
      <protection/>
    </xf>
    <xf numFmtId="49" fontId="4" fillId="0" borderId="9" xfId="23" applyNumberFormat="1" applyFont="1" applyFill="1" applyBorder="1" applyAlignment="1">
      <alignment horizontal="center" vertical="top" wrapText="1"/>
      <protection/>
    </xf>
    <xf numFmtId="3" fontId="2" fillId="0" borderId="10" xfId="23" applyNumberFormat="1" applyFont="1" applyBorder="1">
      <alignment/>
      <protection/>
    </xf>
    <xf numFmtId="49" fontId="4" fillId="0" borderId="9" xfId="23" applyNumberFormat="1" applyFont="1" applyFill="1" applyBorder="1" applyAlignment="1">
      <alignment horizontal="left" vertical="top" wrapText="1"/>
      <protection/>
    </xf>
    <xf numFmtId="49" fontId="3" fillId="0" borderId="9" xfId="23" applyNumberFormat="1" applyFont="1" applyFill="1" applyBorder="1" applyAlignment="1">
      <alignment vertical="top" wrapText="1"/>
      <protection/>
    </xf>
    <xf numFmtId="49" fontId="5" fillId="0" borderId="9" xfId="23" applyNumberFormat="1" applyFont="1" applyFill="1" applyBorder="1" applyAlignment="1">
      <alignment horizontal="center" vertical="top" wrapText="1"/>
      <protection/>
    </xf>
    <xf numFmtId="49" fontId="3" fillId="0" borderId="9" xfId="23" applyNumberFormat="1" applyFont="1" applyFill="1" applyBorder="1" applyAlignment="1">
      <alignment horizontal="left" vertical="top" wrapText="1"/>
      <protection/>
    </xf>
    <xf numFmtId="49" fontId="3" fillId="0" borderId="11" xfId="23" applyNumberFormat="1" applyFont="1" applyFill="1" applyBorder="1" applyAlignment="1">
      <alignment horizontal="left" vertical="top" wrapText="1"/>
      <protection/>
    </xf>
    <xf numFmtId="3" fontId="2" fillId="0" borderId="12" xfId="23" applyNumberFormat="1" applyFont="1" applyBorder="1">
      <alignment/>
      <protection/>
    </xf>
    <xf numFmtId="3" fontId="2" fillId="0" borderId="13" xfId="23" applyNumberFormat="1" applyFont="1" applyBorder="1">
      <alignment/>
      <protection/>
    </xf>
    <xf numFmtId="49" fontId="2" fillId="0" borderId="0" xfId="23" applyNumberFormat="1" applyFont="1" applyFill="1" applyBorder="1" applyAlignment="1">
      <alignment vertical="top" wrapText="1"/>
      <protection/>
    </xf>
    <xf numFmtId="49" fontId="2" fillId="0" borderId="0" xfId="23" applyNumberFormat="1" applyFont="1" applyFill="1" applyBorder="1" applyAlignment="1">
      <alignment horizontal="center" vertical="top" wrapText="1"/>
      <protection/>
    </xf>
    <xf numFmtId="3" fontId="2" fillId="0" borderId="0" xfId="23" applyNumberFormat="1" applyFont="1" applyBorder="1">
      <alignment/>
      <protection/>
    </xf>
    <xf numFmtId="49" fontId="2" fillId="0" borderId="0" xfId="23" applyNumberFormat="1" applyFont="1" applyAlignment="1">
      <alignment horizontal="center" vertical="top" wrapText="1"/>
      <protection/>
    </xf>
    <xf numFmtId="0" fontId="2" fillId="0" borderId="5" xfId="23" applyFont="1" applyBorder="1" applyAlignment="1">
      <alignment/>
      <protection/>
    </xf>
    <xf numFmtId="49" fontId="2" fillId="0" borderId="0" xfId="23" applyNumberFormat="1" applyFont="1" applyBorder="1">
      <alignment/>
      <protection/>
    </xf>
    <xf numFmtId="0" fontId="2" fillId="0" borderId="0" xfId="23" applyFont="1" applyAlignment="1">
      <alignment/>
      <protection/>
    </xf>
    <xf numFmtId="49" fontId="20" fillId="0" borderId="0" xfId="23" applyNumberFormat="1" applyFont="1" applyAlignment="1">
      <alignment horizontal="center" vertical="top" wrapText="1"/>
      <protection/>
    </xf>
    <xf numFmtId="49" fontId="0" fillId="0" borderId="0" xfId="23" applyNumberFormat="1" applyFont="1" applyAlignment="1">
      <alignment horizontal="right" vertical="top" wrapText="1"/>
      <protection/>
    </xf>
    <xf numFmtId="49" fontId="10" fillId="0" borderId="0" xfId="23" applyNumberFormat="1" applyFont="1" applyAlignment="1">
      <alignment horizontal="centerContinuous" vertical="top" wrapText="1"/>
      <protection/>
    </xf>
    <xf numFmtId="49" fontId="5" fillId="0" borderId="9" xfId="23" applyNumberFormat="1" applyFont="1" applyFill="1" applyBorder="1" applyAlignment="1">
      <alignment horizontal="left" vertical="top" wrapText="1"/>
      <protection/>
    </xf>
    <xf numFmtId="49" fontId="6" fillId="0" borderId="9" xfId="23" applyNumberFormat="1" applyFont="1" applyFill="1" applyBorder="1" applyAlignment="1">
      <alignment horizontal="left" vertical="top" wrapText="1"/>
      <protection/>
    </xf>
    <xf numFmtId="49" fontId="4" fillId="0" borderId="14" xfId="23" applyNumberFormat="1" applyFont="1" applyFill="1" applyBorder="1" applyAlignment="1">
      <alignment horizontal="left" vertical="top" wrapText="1"/>
      <protection/>
    </xf>
    <xf numFmtId="3" fontId="20" fillId="0" borderId="0" xfId="23" applyNumberFormat="1" applyFont="1" applyAlignment="1">
      <alignment horizontal="left"/>
      <protection/>
    </xf>
    <xf numFmtId="4" fontId="2" fillId="0" borderId="12" xfId="23" applyNumberFormat="1" applyFont="1" applyBorder="1">
      <alignment/>
      <protection/>
    </xf>
    <xf numFmtId="49" fontId="4" fillId="0" borderId="11" xfId="23" applyNumberFormat="1" applyFont="1" applyFill="1" applyBorder="1" applyAlignment="1">
      <alignment horizontal="left" vertical="top" wrapText="1"/>
      <protection/>
    </xf>
    <xf numFmtId="4" fontId="2" fillId="0" borderId="15" xfId="23" applyNumberFormat="1" applyFont="1" applyBorder="1">
      <alignment/>
      <protection/>
    </xf>
    <xf numFmtId="49" fontId="3" fillId="0" borderId="0" xfId="23" applyNumberFormat="1" applyFont="1" applyAlignment="1">
      <alignment horizontal="left" vertical="top" wrapText="1"/>
      <protection/>
    </xf>
    <xf numFmtId="0" fontId="3" fillId="0" borderId="9" xfId="23" applyFont="1" applyBorder="1" applyAlignment="1">
      <alignment horizontal="center"/>
      <protection/>
    </xf>
    <xf numFmtId="3" fontId="3" fillId="0" borderId="1" xfId="23" applyNumberFormat="1" applyFont="1" applyBorder="1" applyAlignment="1">
      <alignment horizontal="center"/>
      <protection/>
    </xf>
    <xf numFmtId="0" fontId="3" fillId="0" borderId="1" xfId="23" applyNumberFormat="1" applyFont="1" applyBorder="1" applyAlignment="1">
      <alignment horizontal="center"/>
      <protection/>
    </xf>
    <xf numFmtId="0" fontId="3" fillId="0" borderId="10" xfId="23" applyNumberFormat="1" applyFont="1" applyBorder="1" applyAlignment="1">
      <alignment horizontal="center"/>
      <protection/>
    </xf>
    <xf numFmtId="0" fontId="4" fillId="0" borderId="9" xfId="23" applyFont="1" applyBorder="1" applyAlignment="1">
      <alignment horizontal="left" vertical="top" wrapText="1"/>
      <protection/>
    </xf>
    <xf numFmtId="0" fontId="3" fillId="0" borderId="9" xfId="23" applyFont="1" applyBorder="1" applyAlignment="1">
      <alignment vertical="top" wrapText="1"/>
      <protection/>
    </xf>
    <xf numFmtId="0" fontId="4" fillId="0" borderId="9" xfId="23" applyFont="1" applyBorder="1" applyAlignment="1">
      <alignment vertical="top" wrapText="1"/>
      <protection/>
    </xf>
    <xf numFmtId="0" fontId="4" fillId="0" borderId="11" xfId="23" applyFont="1" applyBorder="1" applyAlignment="1">
      <alignment vertical="top" wrapText="1"/>
      <protection/>
    </xf>
    <xf numFmtId="2" fontId="2" fillId="0" borderId="12" xfId="23" applyNumberFormat="1" applyFont="1" applyBorder="1">
      <alignment/>
      <protection/>
    </xf>
    <xf numFmtId="0" fontId="3" fillId="0" borderId="5" xfId="23" applyFont="1" applyBorder="1">
      <alignment/>
      <protection/>
    </xf>
    <xf numFmtId="0" fontId="3" fillId="0" borderId="5" xfId="23" applyFont="1" applyBorder="1" applyAlignment="1">
      <alignment horizontal="centerContinuous"/>
      <protection/>
    </xf>
    <xf numFmtId="2" fontId="2" fillId="0" borderId="16" xfId="23" applyNumberFormat="1" applyFont="1" applyBorder="1">
      <alignment/>
      <protection/>
    </xf>
    <xf numFmtId="4" fontId="2" fillId="0" borderId="0" xfId="23" applyNumberFormat="1" applyFont="1" applyBorder="1">
      <alignment/>
      <protection/>
    </xf>
    <xf numFmtId="0" fontId="20" fillId="0" borderId="5" xfId="23" applyFont="1" applyBorder="1">
      <alignment/>
      <protection/>
    </xf>
    <xf numFmtId="0" fontId="2" fillId="0" borderId="0" xfId="23" applyFont="1" applyBorder="1" applyAlignment="1">
      <alignment/>
      <protection/>
    </xf>
    <xf numFmtId="49" fontId="2" fillId="0" borderId="0" xfId="23" applyNumberFormat="1" applyFont="1">
      <alignment/>
      <protection/>
    </xf>
    <xf numFmtId="0" fontId="0" fillId="0" borderId="0" xfId="23" applyFont="1" applyAlignment="1">
      <alignment/>
      <protection/>
    </xf>
    <xf numFmtId="49" fontId="0" fillId="0" borderId="0" xfId="23" applyNumberFormat="1" applyFont="1" applyAlignment="1">
      <alignment horizontal="center" vertical="top" wrapText="1"/>
      <protection/>
    </xf>
    <xf numFmtId="0" fontId="2" fillId="0" borderId="0" xfId="23" applyFont="1" applyAlignment="1">
      <alignment horizontal="centerContinuous"/>
      <protection/>
    </xf>
    <xf numFmtId="0" fontId="1" fillId="0" borderId="0" xfId="23" applyFont="1" applyAlignment="1">
      <alignment horizontal="centerContinuous" wrapText="1"/>
      <protection/>
    </xf>
    <xf numFmtId="0" fontId="22" fillId="0" borderId="0" xfId="23" applyFont="1" applyAlignment="1">
      <alignment horizontal="centerContinuous"/>
      <protection/>
    </xf>
    <xf numFmtId="0" fontId="1" fillId="0" borderId="0" xfId="23" applyFont="1">
      <alignment/>
      <protection/>
    </xf>
    <xf numFmtId="0" fontId="5" fillId="0" borderId="0" xfId="23" applyFont="1" applyAlignment="1">
      <alignment horizontal="centerContinuous" wrapText="1"/>
      <protection/>
    </xf>
    <xf numFmtId="0" fontId="0" fillId="0" borderId="17" xfId="23" applyFont="1" applyBorder="1" applyAlignment="1">
      <alignment wrapText="1"/>
      <protection/>
    </xf>
    <xf numFmtId="0" fontId="3" fillId="0" borderId="18" xfId="23" applyFont="1" applyBorder="1" applyAlignment="1">
      <alignment horizontal="centerContinuous"/>
      <protection/>
    </xf>
    <xf numFmtId="0" fontId="3" fillId="0" borderId="19" xfId="23" applyFont="1" applyBorder="1" applyAlignment="1">
      <alignment horizontal="centerContinuous"/>
      <protection/>
    </xf>
    <xf numFmtId="0" fontId="0" fillId="0" borderId="20" xfId="23" applyFont="1" applyBorder="1" applyAlignment="1">
      <alignment/>
      <protection/>
    </xf>
    <xf numFmtId="0" fontId="3" fillId="0" borderId="19" xfId="23" applyFont="1" applyBorder="1" applyAlignment="1">
      <alignment horizontal="centerContinuous" vertical="center"/>
      <protection/>
    </xf>
    <xf numFmtId="0" fontId="3" fillId="0" borderId="18" xfId="23" applyFont="1" applyBorder="1" applyAlignment="1">
      <alignment horizontal="centerContinuous" vertical="center" wrapText="1"/>
      <protection/>
    </xf>
    <xf numFmtId="0" fontId="0" fillId="0" borderId="18" xfId="23" applyFont="1" applyBorder="1" applyAlignment="1">
      <alignment horizontal="centerContinuous"/>
      <protection/>
    </xf>
    <xf numFmtId="0" fontId="0" fillId="0" borderId="21" xfId="23" applyFont="1" applyBorder="1" applyAlignment="1">
      <alignment horizontal="center"/>
      <protection/>
    </xf>
    <xf numFmtId="0" fontId="3" fillId="0" borderId="22" xfId="23" applyFont="1" applyBorder="1" applyAlignment="1">
      <alignment wrapText="1"/>
      <protection/>
    </xf>
    <xf numFmtId="0" fontId="3" fillId="0" borderId="23" xfId="23" applyFont="1" applyBorder="1" applyAlignment="1">
      <alignment/>
      <protection/>
    </xf>
    <xf numFmtId="0" fontId="3" fillId="0" borderId="24" xfId="23" applyFont="1" applyBorder="1" applyAlignment="1">
      <alignment horizontal="centerContinuous"/>
      <protection/>
    </xf>
    <xf numFmtId="0" fontId="3" fillId="0" borderId="25" xfId="23" applyFont="1" applyBorder="1" applyAlignment="1">
      <alignment horizontal="center"/>
      <protection/>
    </xf>
    <xf numFmtId="49" fontId="3" fillId="0" borderId="22" xfId="23" applyNumberFormat="1" applyFont="1" applyBorder="1" applyAlignment="1">
      <alignment horizontal="center" vertical="top" wrapText="1"/>
      <protection/>
    </xf>
    <xf numFmtId="49" fontId="3" fillId="0" borderId="26" xfId="23" applyNumberFormat="1" applyFont="1" applyBorder="1" applyAlignment="1">
      <alignment horizontal="center" vertical="center" wrapText="1"/>
      <protection/>
    </xf>
    <xf numFmtId="49" fontId="3" fillId="0" borderId="0" xfId="23" applyNumberFormat="1" applyFont="1" applyAlignment="1">
      <alignment horizontal="center" vertical="center" wrapText="1"/>
      <protection/>
    </xf>
    <xf numFmtId="49" fontId="3" fillId="0" borderId="23" xfId="23" applyNumberFormat="1" applyFont="1" applyBorder="1" applyAlignment="1">
      <alignment horizontal="center" vertical="center" wrapText="1"/>
      <protection/>
    </xf>
    <xf numFmtId="0" fontId="3" fillId="0" borderId="23" xfId="23" applyFont="1" applyBorder="1" applyAlignment="1">
      <alignment horizontal="center" vertical="center" wrapText="1"/>
      <protection/>
    </xf>
    <xf numFmtId="49" fontId="3" fillId="0" borderId="25" xfId="23" applyNumberFormat="1" applyFont="1" applyBorder="1" applyAlignment="1">
      <alignment horizontal="center" vertical="center" wrapText="1"/>
      <protection/>
    </xf>
    <xf numFmtId="49" fontId="3" fillId="0" borderId="0" xfId="23" applyNumberFormat="1" applyFont="1">
      <alignment/>
      <protection/>
    </xf>
    <xf numFmtId="0" fontId="3" fillId="0" borderId="9" xfId="23" applyFont="1" applyBorder="1" applyAlignment="1">
      <alignment horizontal="center" wrapText="1"/>
      <protection/>
    </xf>
    <xf numFmtId="0" fontId="3" fillId="0" borderId="1" xfId="23" applyFont="1" applyBorder="1" applyAlignment="1">
      <alignment horizontal="center"/>
      <protection/>
    </xf>
    <xf numFmtId="0" fontId="3" fillId="0" borderId="10" xfId="23" applyFont="1" applyBorder="1" applyAlignment="1">
      <alignment horizontal="center"/>
      <protection/>
    </xf>
    <xf numFmtId="3" fontId="4" fillId="0" borderId="27" xfId="23" applyNumberFormat="1" applyFont="1" applyBorder="1">
      <alignment/>
      <protection/>
    </xf>
    <xf numFmtId="200" fontId="20" fillId="0" borderId="1" xfId="23" applyNumberFormat="1" applyFont="1" applyBorder="1">
      <alignment/>
      <protection/>
    </xf>
    <xf numFmtId="200" fontId="20" fillId="0" borderId="10" xfId="23" applyNumberFormat="1" applyFont="1" applyBorder="1">
      <alignment/>
      <protection/>
    </xf>
    <xf numFmtId="3" fontId="3" fillId="0" borderId="9" xfId="23" applyNumberFormat="1" applyFont="1" applyBorder="1">
      <alignment/>
      <protection/>
    </xf>
    <xf numFmtId="211" fontId="2" fillId="0" borderId="1" xfId="23" applyNumberFormat="1" applyFont="1" applyBorder="1">
      <alignment/>
      <protection/>
    </xf>
    <xf numFmtId="211" fontId="2" fillId="0" borderId="10" xfId="23" applyNumberFormat="1" applyFont="1" applyBorder="1">
      <alignment/>
      <protection/>
    </xf>
    <xf numFmtId="3" fontId="3" fillId="0" borderId="27" xfId="23" applyNumberFormat="1" applyFont="1" applyBorder="1">
      <alignment/>
      <protection/>
    </xf>
    <xf numFmtId="0" fontId="4" fillId="0" borderId="0" xfId="23" applyFont="1">
      <alignment/>
      <protection/>
    </xf>
    <xf numFmtId="0" fontId="4" fillId="0" borderId="28" xfId="23" applyFont="1" applyBorder="1" applyAlignment="1">
      <alignment horizontal="right" wrapText="1"/>
      <protection/>
    </xf>
    <xf numFmtId="211" fontId="2" fillId="0" borderId="12" xfId="23" applyNumberFormat="1" applyFont="1" applyBorder="1">
      <alignment/>
      <protection/>
    </xf>
    <xf numFmtId="211" fontId="2" fillId="0" borderId="13" xfId="23" applyNumberFormat="1" applyFont="1" applyBorder="1">
      <alignment/>
      <protection/>
    </xf>
    <xf numFmtId="0" fontId="3" fillId="0" borderId="0" xfId="23" applyFont="1" applyBorder="1" applyAlignment="1">
      <alignment/>
      <protection/>
    </xf>
    <xf numFmtId="0" fontId="2" fillId="0" borderId="0" xfId="23" applyFont="1" applyBorder="1">
      <alignment/>
      <protection/>
    </xf>
    <xf numFmtId="49" fontId="2" fillId="0" borderId="0" xfId="23" applyNumberFormat="1" applyFont="1" applyBorder="1" applyAlignment="1">
      <alignment/>
      <protection/>
    </xf>
    <xf numFmtId="49" fontId="2" fillId="0" borderId="0" xfId="23" applyNumberFormat="1" applyFont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center"/>
      <protection/>
    </xf>
    <xf numFmtId="0" fontId="20" fillId="0" borderId="0" xfId="23" applyFont="1" applyBorder="1" applyAlignment="1">
      <alignment wrapText="1"/>
      <protection/>
    </xf>
    <xf numFmtId="0" fontId="20" fillId="0" borderId="0" xfId="23" applyFont="1" applyBorder="1">
      <alignment/>
      <protection/>
    </xf>
    <xf numFmtId="0" fontId="2" fillId="0" borderId="0" xfId="23" applyFont="1" applyBorder="1" applyAlignment="1">
      <alignment horizontal="left"/>
      <protection/>
    </xf>
    <xf numFmtId="0" fontId="1" fillId="0" borderId="0" xfId="23" applyFont="1" applyAlignment="1">
      <alignment/>
      <protection/>
    </xf>
    <xf numFmtId="0" fontId="4" fillId="0" borderId="0" xfId="23" applyFont="1" applyAlignment="1">
      <alignment horizontal="centerContinuous" wrapText="1"/>
      <protection/>
    </xf>
    <xf numFmtId="0" fontId="0" fillId="0" borderId="29" xfId="23" applyFont="1" applyBorder="1" applyAlignment="1">
      <alignment horizontal="center" vertical="top" wrapText="1"/>
      <protection/>
    </xf>
    <xf numFmtId="0" fontId="0" fillId="0" borderId="20" xfId="23" applyFont="1" applyBorder="1" applyAlignment="1">
      <alignment horizontal="center" vertical="top"/>
      <protection/>
    </xf>
    <xf numFmtId="0" fontId="0" fillId="0" borderId="20" xfId="23" applyFont="1" applyBorder="1" applyAlignment="1">
      <alignment horizontal="centerContinuous"/>
      <protection/>
    </xf>
    <xf numFmtId="0" fontId="0" fillId="0" borderId="19" xfId="23" applyFont="1" applyBorder="1" applyAlignment="1">
      <alignment horizontal="centerContinuous" vertical="center"/>
      <protection/>
    </xf>
    <xf numFmtId="0" fontId="0" fillId="0" borderId="18" xfId="23" applyFont="1" applyBorder="1" applyAlignment="1">
      <alignment horizontal="centerContinuous" vertical="center" wrapText="1"/>
      <protection/>
    </xf>
    <xf numFmtId="0" fontId="0" fillId="0" borderId="21" xfId="23" applyFont="1" applyBorder="1" applyAlignment="1">
      <alignment horizontal="center" vertical="top" wrapText="1"/>
      <protection/>
    </xf>
    <xf numFmtId="0" fontId="3" fillId="0" borderId="30" xfId="23" applyFont="1" applyBorder="1" applyAlignment="1">
      <alignment horizontal="center" vertical="top" wrapText="1"/>
      <protection/>
    </xf>
    <xf numFmtId="0" fontId="3" fillId="0" borderId="23" xfId="23" applyFont="1" applyBorder="1" applyAlignment="1">
      <alignment horizontal="center" vertical="top"/>
      <protection/>
    </xf>
    <xf numFmtId="0" fontId="3" fillId="0" borderId="3" xfId="23" applyFont="1" applyBorder="1" applyAlignment="1">
      <alignment horizontal="centerContinuous"/>
      <protection/>
    </xf>
    <xf numFmtId="0" fontId="3" fillId="0" borderId="4" xfId="23" applyFont="1" applyBorder="1" applyAlignment="1">
      <alignment horizontal="centerContinuous"/>
      <protection/>
    </xf>
    <xf numFmtId="0" fontId="3" fillId="0" borderId="25" xfId="23" applyFont="1" applyBorder="1" applyAlignment="1">
      <alignment/>
      <protection/>
    </xf>
    <xf numFmtId="0" fontId="3" fillId="0" borderId="23" xfId="23" applyFont="1" applyBorder="1" applyAlignment="1">
      <alignment horizontal="center" vertical="top" wrapText="1"/>
      <protection/>
    </xf>
    <xf numFmtId="0" fontId="3" fillId="0" borderId="25" xfId="23" applyFont="1" applyBorder="1" applyAlignment="1">
      <alignment horizontal="center" vertical="top" wrapText="1"/>
      <protection/>
    </xf>
    <xf numFmtId="0" fontId="3" fillId="0" borderId="9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wrapText="1"/>
      <protection/>
    </xf>
    <xf numFmtId="0" fontId="20" fillId="0" borderId="30" xfId="23" applyFont="1" applyBorder="1">
      <alignment/>
      <protection/>
    </xf>
    <xf numFmtId="0" fontId="4" fillId="0" borderId="9" xfId="23" applyFont="1" applyBorder="1" applyAlignment="1">
      <alignment horizontal="right" wrapText="1"/>
      <protection/>
    </xf>
    <xf numFmtId="3" fontId="22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4" fillId="0" borderId="11" xfId="23" applyFont="1" applyBorder="1" applyAlignment="1">
      <alignment horizontal="right" wrapText="1"/>
      <protection/>
    </xf>
    <xf numFmtId="0" fontId="2" fillId="0" borderId="0" xfId="23" applyFont="1" applyAlignment="1">
      <alignment wrapText="1"/>
      <protection/>
    </xf>
    <xf numFmtId="49" fontId="3" fillId="0" borderId="0" xfId="23" applyNumberFormat="1" applyFont="1" applyBorder="1" applyAlignment="1">
      <alignment vertical="top" wrapText="1"/>
      <protection/>
    </xf>
    <xf numFmtId="49" fontId="3" fillId="0" borderId="0" xfId="23" applyNumberFormat="1" applyFont="1" applyBorder="1" applyAlignment="1">
      <alignment horizontal="center" vertical="top" wrapText="1"/>
      <protection/>
    </xf>
    <xf numFmtId="0" fontId="3" fillId="0" borderId="0" xfId="23" applyFont="1" applyBorder="1" applyAlignment="1">
      <alignment horizontal="center"/>
      <protection/>
    </xf>
    <xf numFmtId="0" fontId="3" fillId="0" borderId="0" xfId="23" applyFont="1" applyBorder="1">
      <alignment/>
      <protection/>
    </xf>
    <xf numFmtId="49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>
      <alignment/>
      <protection/>
    </xf>
    <xf numFmtId="3" fontId="20" fillId="0" borderId="0" xfId="23" applyNumberFormat="1" applyFont="1" applyBorder="1">
      <alignment/>
      <protection/>
    </xf>
    <xf numFmtId="0" fontId="1" fillId="0" borderId="0" xfId="23" applyFont="1" applyAlignment="1">
      <alignment horizontal="center"/>
      <protection/>
    </xf>
    <xf numFmtId="0" fontId="2" fillId="0" borderId="5" xfId="23" applyFont="1" applyBorder="1">
      <alignment/>
      <protection/>
    </xf>
    <xf numFmtId="0" fontId="3" fillId="0" borderId="5" xfId="23" applyFont="1" applyBorder="1" applyAlignment="1">
      <alignment horizontal="right"/>
      <protection/>
    </xf>
    <xf numFmtId="0" fontId="0" fillId="0" borderId="6" xfId="23" applyFont="1" applyBorder="1" applyAlignment="1">
      <alignment horizontal="center" wrapText="1"/>
      <protection/>
    </xf>
    <xf numFmtId="3" fontId="2" fillId="0" borderId="8" xfId="23" applyNumberFormat="1" applyFont="1" applyBorder="1" applyAlignment="1">
      <alignment horizontal="center"/>
      <protection/>
    </xf>
    <xf numFmtId="0" fontId="0" fillId="0" borderId="9" xfId="23" applyFont="1" applyBorder="1" applyAlignment="1">
      <alignment horizontal="center" wrapText="1"/>
      <protection/>
    </xf>
    <xf numFmtId="3" fontId="2" fillId="0" borderId="10" xfId="23" applyNumberFormat="1" applyFont="1" applyBorder="1" applyAlignment="1">
      <alignment horizontal="center"/>
      <protection/>
    </xf>
    <xf numFmtId="0" fontId="2" fillId="0" borderId="1" xfId="23" applyFont="1" applyBorder="1">
      <alignment/>
      <protection/>
    </xf>
    <xf numFmtId="0" fontId="4" fillId="0" borderId="9" xfId="23" applyFont="1" applyBorder="1" applyAlignment="1">
      <alignment wrapText="1"/>
      <protection/>
    </xf>
    <xf numFmtId="3" fontId="8" fillId="0" borderId="10" xfId="23" applyNumberFormat="1" applyFont="1" applyBorder="1" applyAlignment="1">
      <alignment horizontal="right"/>
      <protection/>
    </xf>
    <xf numFmtId="0" fontId="0" fillId="0" borderId="9" xfId="23" applyFont="1" applyBorder="1" applyAlignment="1">
      <alignment wrapText="1"/>
      <protection/>
    </xf>
    <xf numFmtId="3" fontId="2" fillId="0" borderId="10" xfId="23" applyNumberFormat="1" applyFont="1" applyBorder="1" applyAlignment="1">
      <alignment horizontal="right"/>
      <protection/>
    </xf>
    <xf numFmtId="0" fontId="0" fillId="0" borderId="14" xfId="23" applyFont="1" applyBorder="1" applyAlignment="1">
      <alignment wrapText="1"/>
      <protection/>
    </xf>
    <xf numFmtId="3" fontId="2" fillId="0" borderId="31" xfId="23" applyNumberFormat="1" applyFont="1" applyBorder="1" applyAlignment="1">
      <alignment horizontal="right"/>
      <protection/>
    </xf>
    <xf numFmtId="0" fontId="0" fillId="0" borderId="32" xfId="23" applyFont="1" applyBorder="1" applyAlignment="1">
      <alignment wrapText="1"/>
      <protection/>
    </xf>
    <xf numFmtId="3" fontId="2" fillId="0" borderId="33" xfId="23" applyNumberFormat="1" applyFont="1" applyBorder="1" applyAlignment="1">
      <alignment horizontal="right"/>
      <protection/>
    </xf>
    <xf numFmtId="0" fontId="4" fillId="0" borderId="9" xfId="23" applyFont="1" applyBorder="1" applyAlignment="1">
      <alignment horizontal="left"/>
      <protection/>
    </xf>
    <xf numFmtId="0" fontId="4" fillId="0" borderId="11" xfId="23" applyFont="1" applyBorder="1" applyAlignment="1">
      <alignment horizontal="left"/>
      <protection/>
    </xf>
    <xf numFmtId="3" fontId="8" fillId="0" borderId="13" xfId="23" applyNumberFormat="1" applyFont="1" applyBorder="1" applyAlignment="1">
      <alignment horizontal="right"/>
      <protection/>
    </xf>
    <xf numFmtId="0" fontId="9" fillId="0" borderId="0" xfId="23" applyFont="1">
      <alignment/>
      <protection/>
    </xf>
    <xf numFmtId="3" fontId="2" fillId="0" borderId="0" xfId="23" applyNumberFormat="1" applyFont="1">
      <alignment/>
      <protection/>
    </xf>
    <xf numFmtId="3" fontId="2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0" fontId="3" fillId="0" borderId="1" xfId="23" applyFont="1" applyBorder="1" applyAlignment="1">
      <alignment horizontal="centerContinuous" vertical="center" wrapText="1"/>
      <protection/>
    </xf>
    <xf numFmtId="0" fontId="20" fillId="0" borderId="1" xfId="23" applyFont="1" applyBorder="1" applyAlignment="1">
      <alignment horizontal="centerContinuous"/>
      <protection/>
    </xf>
    <xf numFmtId="164" fontId="3" fillId="0" borderId="1" xfId="23" applyNumberFormat="1" applyFont="1" applyBorder="1" applyAlignment="1">
      <alignment horizontal="center"/>
      <protection/>
    </xf>
    <xf numFmtId="3" fontId="2" fillId="0" borderId="1" xfId="23" applyNumberFormat="1" applyFont="1" applyBorder="1" applyAlignment="1">
      <alignment horizontal="right"/>
      <protection/>
    </xf>
    <xf numFmtId="4" fontId="2" fillId="0" borderId="1" xfId="23" applyNumberFormat="1" applyFont="1" applyBorder="1">
      <alignment/>
      <protection/>
    </xf>
    <xf numFmtId="3" fontId="2" fillId="0" borderId="1" xfId="23" applyNumberFormat="1" applyFont="1" applyBorder="1" applyAlignment="1">
      <alignment horizontal="right"/>
      <protection/>
    </xf>
    <xf numFmtId="4" fontId="8" fillId="0" borderId="0" xfId="23" applyNumberFormat="1" applyFont="1" applyBorder="1">
      <alignment/>
      <protection/>
    </xf>
    <xf numFmtId="3" fontId="2" fillId="0" borderId="0" xfId="23" applyNumberFormat="1" applyFont="1" applyBorder="1" applyAlignment="1">
      <alignment horizontal="right"/>
      <protection/>
    </xf>
    <xf numFmtId="3" fontId="8" fillId="0" borderId="0" xfId="23" applyNumberFormat="1" applyFont="1" applyBorder="1" applyAlignment="1">
      <alignment horizontal="right"/>
      <protection/>
    </xf>
    <xf numFmtId="4" fontId="4" fillId="0" borderId="0" xfId="23" applyNumberFormat="1" applyFont="1" applyBorder="1">
      <alignment/>
      <protection/>
    </xf>
    <xf numFmtId="209" fontId="4" fillId="0" borderId="0" xfId="23" applyNumberFormat="1" applyFont="1" applyBorder="1">
      <alignment/>
      <protection/>
    </xf>
    <xf numFmtId="210" fontId="4" fillId="0" borderId="0" xfId="23" applyNumberFormat="1" applyFont="1" applyBorder="1">
      <alignment/>
      <protection/>
    </xf>
    <xf numFmtId="164" fontId="4" fillId="0" borderId="0" xfId="23" applyNumberFormat="1" applyFont="1" applyBorder="1">
      <alignment/>
      <protection/>
    </xf>
    <xf numFmtId="210" fontId="2" fillId="0" borderId="0" xfId="23" applyNumberFormat="1" applyFont="1" applyBorder="1">
      <alignment/>
      <protection/>
    </xf>
    <xf numFmtId="164" fontId="2" fillId="0" borderId="0" xfId="23" applyNumberFormat="1" applyFont="1" applyBorder="1">
      <alignment/>
      <protection/>
    </xf>
    <xf numFmtId="4" fontId="8" fillId="0" borderId="0" xfId="23" applyNumberFormat="1" applyFont="1">
      <alignment/>
      <protection/>
    </xf>
    <xf numFmtId="164" fontId="2" fillId="0" borderId="0" xfId="23" applyNumberFormat="1" applyFont="1">
      <alignment/>
      <protection/>
    </xf>
    <xf numFmtId="0" fontId="20" fillId="0" borderId="0" xfId="23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omma [0]_9911Pasv budz" xfId="17"/>
    <cellStyle name="Comma_9911Pasv budz" xfId="18"/>
    <cellStyle name="Currency" xfId="19"/>
    <cellStyle name="Currency [0]" xfId="20"/>
    <cellStyle name="Currency [0]_9911Pasv budz" xfId="21"/>
    <cellStyle name="Currency_9911Pasv budz" xfId="22"/>
    <cellStyle name="Normal_9911Pasv budz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2PB-i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1-k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6SB-izd-ek-kl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5SB-ienemumi-m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4PB-izd-ek-k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Aiz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3PB-izdevumi-m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\7sb-zi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9">
        <row r="11">
          <cell r="D11">
            <v>76776185</v>
          </cell>
          <cell r="J11">
            <v>76776</v>
          </cell>
        </row>
        <row r="13">
          <cell r="D13">
            <v>257021374</v>
          </cell>
          <cell r="J13">
            <v>257021</v>
          </cell>
        </row>
        <row r="14">
          <cell r="D14">
            <v>87928656</v>
          </cell>
          <cell r="J14">
            <v>87929</v>
          </cell>
        </row>
        <row r="15">
          <cell r="D15">
            <v>12866240</v>
          </cell>
          <cell r="J15">
            <v>12866</v>
          </cell>
        </row>
        <row r="16">
          <cell r="D16">
            <v>5762683</v>
          </cell>
          <cell r="J16">
            <v>5763</v>
          </cell>
        </row>
        <row r="18">
          <cell r="D18">
            <v>4216488</v>
          </cell>
          <cell r="J18">
            <v>4216</v>
          </cell>
        </row>
        <row r="19">
          <cell r="D19">
            <v>7726109</v>
          </cell>
          <cell r="J19">
            <v>7726</v>
          </cell>
        </row>
        <row r="20">
          <cell r="D20">
            <v>8365503</v>
          </cell>
          <cell r="J20">
            <v>8366</v>
          </cell>
        </row>
        <row r="21">
          <cell r="D21">
            <v>530194</v>
          </cell>
          <cell r="J21">
            <v>530</v>
          </cell>
        </row>
        <row r="22">
          <cell r="D22">
            <v>744995</v>
          </cell>
          <cell r="J22">
            <v>745</v>
          </cell>
        </row>
        <row r="23">
          <cell r="D23">
            <v>4471063</v>
          </cell>
          <cell r="J23">
            <v>4471</v>
          </cell>
        </row>
        <row r="24">
          <cell r="D24">
            <v>12857417</v>
          </cell>
          <cell r="J24">
            <v>12857</v>
          </cell>
        </row>
        <row r="25">
          <cell r="D25">
            <v>5820085</v>
          </cell>
          <cell r="J25">
            <v>5820</v>
          </cell>
        </row>
        <row r="26">
          <cell r="D26">
            <v>985896</v>
          </cell>
          <cell r="J26">
            <v>986</v>
          </cell>
        </row>
        <row r="27">
          <cell r="D27">
            <v>6051436</v>
          </cell>
          <cell r="J27">
            <v>6051</v>
          </cell>
        </row>
        <row r="28">
          <cell r="D28">
            <v>3636000</v>
          </cell>
          <cell r="J28">
            <v>3636</v>
          </cell>
        </row>
        <row r="29">
          <cell r="D29">
            <v>3636000</v>
          </cell>
          <cell r="J29">
            <v>3636</v>
          </cell>
        </row>
        <row r="30">
          <cell r="D30">
            <v>2689352</v>
          </cell>
          <cell r="J30">
            <v>2689</v>
          </cell>
        </row>
        <row r="31">
          <cell r="D31">
            <v>1462500</v>
          </cell>
          <cell r="J31">
            <v>1463</v>
          </cell>
        </row>
        <row r="32">
          <cell r="D32">
            <v>1226852</v>
          </cell>
          <cell r="J32">
            <v>1227</v>
          </cell>
        </row>
        <row r="33">
          <cell r="J33">
            <v>50117</v>
          </cell>
        </row>
        <row r="34">
          <cell r="D34">
            <v>50116713</v>
          </cell>
          <cell r="J34">
            <v>50117</v>
          </cell>
        </row>
      </sheetData>
      <sheetData sheetId="10">
        <row r="11">
          <cell r="D11">
            <v>84008963</v>
          </cell>
        </row>
        <row r="13">
          <cell r="D13">
            <v>286066987</v>
          </cell>
        </row>
        <row r="14">
          <cell r="D14">
            <v>98275113</v>
          </cell>
        </row>
        <row r="15">
          <cell r="D15">
            <v>14308772</v>
          </cell>
        </row>
        <row r="16">
          <cell r="D16">
            <v>6276174</v>
          </cell>
        </row>
        <row r="17">
          <cell r="D17">
            <v>48840226</v>
          </cell>
        </row>
        <row r="33">
          <cell r="D33">
            <v>55092108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9">
        <row r="12">
          <cell r="C12">
            <v>76776185</v>
          </cell>
          <cell r="H12">
            <v>76776</v>
          </cell>
        </row>
        <row r="14">
          <cell r="C14">
            <v>257021374</v>
          </cell>
          <cell r="H14">
            <v>257021</v>
          </cell>
        </row>
        <row r="15">
          <cell r="C15">
            <v>87928656</v>
          </cell>
          <cell r="H15">
            <v>87929</v>
          </cell>
        </row>
        <row r="16">
          <cell r="C16">
            <v>12866240</v>
          </cell>
          <cell r="H16">
            <v>12866</v>
          </cell>
        </row>
        <row r="17">
          <cell r="C17">
            <v>5762683</v>
          </cell>
          <cell r="H17">
            <v>5763</v>
          </cell>
        </row>
        <row r="18">
          <cell r="C18">
            <v>45237121</v>
          </cell>
          <cell r="H18">
            <v>45236</v>
          </cell>
        </row>
        <row r="19">
          <cell r="C19">
            <v>50116713</v>
          </cell>
          <cell r="H19">
            <v>50117</v>
          </cell>
        </row>
        <row r="20">
          <cell r="C20">
            <v>10442085</v>
          </cell>
          <cell r="H20">
            <v>10442</v>
          </cell>
        </row>
        <row r="24">
          <cell r="C24">
            <v>369538670</v>
          </cell>
          <cell r="H24">
            <v>369539</v>
          </cell>
        </row>
        <row r="25">
          <cell r="C25">
            <v>40152113</v>
          </cell>
          <cell r="H25">
            <v>40152</v>
          </cell>
        </row>
        <row r="26">
          <cell r="C26">
            <v>56102392</v>
          </cell>
          <cell r="H26">
            <v>56102</v>
          </cell>
        </row>
        <row r="27">
          <cell r="C27">
            <v>111149895</v>
          </cell>
          <cell r="H27">
            <v>111150</v>
          </cell>
        </row>
        <row r="28">
          <cell r="C28">
            <v>53412869</v>
          </cell>
          <cell r="H28">
            <v>53413</v>
          </cell>
        </row>
        <row r="41">
          <cell r="C41">
            <v>510806269</v>
          </cell>
          <cell r="H41">
            <v>510807</v>
          </cell>
        </row>
        <row r="42">
          <cell r="C42">
            <v>51539129</v>
          </cell>
          <cell r="H42">
            <v>51539</v>
          </cell>
        </row>
        <row r="44">
          <cell r="C44">
            <v>10213446</v>
          </cell>
          <cell r="H44">
            <v>10213</v>
          </cell>
        </row>
        <row r="48">
          <cell r="C48">
            <v>36101627</v>
          </cell>
          <cell r="H48">
            <v>36102</v>
          </cell>
        </row>
        <row r="49">
          <cell r="C49">
            <v>1873740</v>
          </cell>
          <cell r="H49">
            <v>1874</v>
          </cell>
        </row>
        <row r="53">
          <cell r="C53">
            <v>94926291</v>
          </cell>
        </row>
        <row r="54">
          <cell r="C54">
            <v>70534210</v>
          </cell>
        </row>
        <row r="56">
          <cell r="C56">
            <v>32957867</v>
          </cell>
        </row>
        <row r="57">
          <cell r="C57">
            <v>16366762</v>
          </cell>
        </row>
        <row r="59">
          <cell r="H59">
            <v>-83382</v>
          </cell>
        </row>
        <row r="63">
          <cell r="C63">
            <v>608948975</v>
          </cell>
          <cell r="H63">
            <v>608949</v>
          </cell>
        </row>
        <row r="64">
          <cell r="C64">
            <v>10442085</v>
          </cell>
          <cell r="H64">
            <v>10442</v>
          </cell>
        </row>
        <row r="66">
          <cell r="C66">
            <v>18061088</v>
          </cell>
          <cell r="H66">
            <v>18061</v>
          </cell>
        </row>
        <row r="68">
          <cell r="C68">
            <v>23169444</v>
          </cell>
          <cell r="H68">
            <v>23170</v>
          </cell>
        </row>
        <row r="72">
          <cell r="C72">
            <v>2086369</v>
          </cell>
          <cell r="H72">
            <v>2086</v>
          </cell>
        </row>
        <row r="74">
          <cell r="C74">
            <v>14831</v>
          </cell>
          <cell r="H7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4"/>
      <sheetName val="Sheet15"/>
      <sheetName val="Sheet16"/>
    </sheetNames>
    <sheetDataSet>
      <sheetData sheetId="9">
        <row r="11">
          <cell r="D11">
            <v>517702217</v>
          </cell>
          <cell r="K11">
            <v>517702</v>
          </cell>
        </row>
        <row r="12">
          <cell r="D12">
            <v>59240853</v>
          </cell>
          <cell r="K12">
            <v>59241</v>
          </cell>
        </row>
        <row r="16">
          <cell r="D16">
            <v>10788897</v>
          </cell>
          <cell r="K16">
            <v>10789</v>
          </cell>
        </row>
        <row r="17">
          <cell r="D17">
            <v>2890043</v>
          </cell>
          <cell r="K17">
            <v>2890</v>
          </cell>
        </row>
        <row r="19">
          <cell r="D19">
            <v>34899469</v>
          </cell>
          <cell r="K19">
            <v>34899</v>
          </cell>
        </row>
        <row r="21">
          <cell r="D21">
            <v>851354</v>
          </cell>
          <cell r="K21">
            <v>851</v>
          </cell>
        </row>
        <row r="22">
          <cell r="D22">
            <v>567804</v>
          </cell>
          <cell r="K22">
            <v>568</v>
          </cell>
        </row>
        <row r="23">
          <cell r="D23">
            <v>1575161</v>
          </cell>
          <cell r="K23">
            <v>1575</v>
          </cell>
        </row>
        <row r="25">
          <cell r="D25">
            <v>485384</v>
          </cell>
          <cell r="K25">
            <v>486</v>
          </cell>
        </row>
        <row r="26">
          <cell r="D26">
            <v>1309264</v>
          </cell>
          <cell r="K26">
            <v>1309</v>
          </cell>
        </row>
        <row r="28">
          <cell r="D28">
            <v>2051810</v>
          </cell>
          <cell r="K28">
            <v>2052</v>
          </cell>
        </row>
        <row r="29">
          <cell r="D29">
            <v>17200706</v>
          </cell>
          <cell r="K29">
            <v>17201</v>
          </cell>
        </row>
        <row r="30">
          <cell r="K30">
            <v>0</v>
          </cell>
        </row>
        <row r="32">
          <cell r="D32">
            <v>10442085</v>
          </cell>
          <cell r="K32">
            <v>10442</v>
          </cell>
        </row>
        <row r="33">
          <cell r="D33">
            <v>113306930</v>
          </cell>
          <cell r="K33">
            <v>113307</v>
          </cell>
        </row>
        <row r="35">
          <cell r="D35">
            <v>374615881</v>
          </cell>
          <cell r="K35">
            <v>374616</v>
          </cell>
        </row>
        <row r="36">
          <cell r="D36">
            <v>36859308</v>
          </cell>
          <cell r="K36">
            <v>36859</v>
          </cell>
        </row>
        <row r="37">
          <cell r="D37">
            <v>801023</v>
          </cell>
          <cell r="K37">
            <v>801</v>
          </cell>
        </row>
        <row r="38">
          <cell r="D38">
            <v>246838</v>
          </cell>
          <cell r="K38">
            <v>247</v>
          </cell>
        </row>
        <row r="39">
          <cell r="D39">
            <v>57018</v>
          </cell>
          <cell r="K39">
            <v>57</v>
          </cell>
        </row>
        <row r="41">
          <cell r="D41">
            <v>18061088</v>
          </cell>
          <cell r="K41">
            <v>18061</v>
          </cell>
        </row>
        <row r="42">
          <cell r="D42">
            <v>23169444</v>
          </cell>
          <cell r="K42">
            <v>23170</v>
          </cell>
        </row>
        <row r="46">
          <cell r="D46">
            <v>2086369</v>
          </cell>
          <cell r="K46">
            <v>2086</v>
          </cell>
        </row>
        <row r="47">
          <cell r="D47">
            <v>14831</v>
          </cell>
          <cell r="K47">
            <v>15</v>
          </cell>
        </row>
        <row r="50">
          <cell r="D50">
            <v>56038942</v>
          </cell>
          <cell r="K50">
            <v>56039</v>
          </cell>
        </row>
        <row r="51">
          <cell r="D51">
            <v>19269033</v>
          </cell>
          <cell r="K51">
            <v>19269</v>
          </cell>
        </row>
      </sheetData>
      <sheetData sheetId="10">
        <row r="14">
          <cell r="D14">
            <v>670333775</v>
          </cell>
        </row>
        <row r="32">
          <cell r="D32">
            <v>10859660</v>
          </cell>
        </row>
        <row r="41">
          <cell r="D41">
            <v>17395419</v>
          </cell>
        </row>
        <row r="42">
          <cell r="D42">
            <v>25930720</v>
          </cell>
        </row>
        <row r="46">
          <cell r="D46">
            <v>2557031</v>
          </cell>
        </row>
        <row r="47">
          <cell r="D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Marts1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10">
        <row r="19">
          <cell r="D19">
            <v>4740066</v>
          </cell>
        </row>
        <row r="21">
          <cell r="D21">
            <v>4487354</v>
          </cell>
          <cell r="J21">
            <v>4487</v>
          </cell>
        </row>
        <row r="22">
          <cell r="D22">
            <v>3636000</v>
          </cell>
          <cell r="J22">
            <v>3636</v>
          </cell>
        </row>
        <row r="24">
          <cell r="D24">
            <v>2172721</v>
          </cell>
          <cell r="J24">
            <v>2173</v>
          </cell>
        </row>
        <row r="26">
          <cell r="D26">
            <v>1989998</v>
          </cell>
          <cell r="J26">
            <v>1990</v>
          </cell>
        </row>
        <row r="27">
          <cell r="D27">
            <v>52872</v>
          </cell>
          <cell r="J27">
            <v>53</v>
          </cell>
        </row>
        <row r="31">
          <cell r="D31">
            <v>1979333</v>
          </cell>
          <cell r="J31">
            <v>1979</v>
          </cell>
        </row>
        <row r="32">
          <cell r="D32">
            <v>282425</v>
          </cell>
          <cell r="J32">
            <v>282</v>
          </cell>
        </row>
        <row r="34">
          <cell r="D34">
            <v>555669</v>
          </cell>
          <cell r="J34">
            <v>555</v>
          </cell>
        </row>
        <row r="37">
          <cell r="D37">
            <v>219906</v>
          </cell>
          <cell r="J37">
            <v>220</v>
          </cell>
        </row>
        <row r="38">
          <cell r="D38">
            <v>-9</v>
          </cell>
        </row>
        <row r="40">
          <cell r="J40">
            <v>0</v>
          </cell>
        </row>
        <row r="43">
          <cell r="D43">
            <v>121816</v>
          </cell>
          <cell r="J43">
            <v>122</v>
          </cell>
        </row>
        <row r="45">
          <cell r="D45">
            <v>114750</v>
          </cell>
          <cell r="J45">
            <v>115</v>
          </cell>
        </row>
        <row r="48">
          <cell r="D48">
            <v>500000</v>
          </cell>
          <cell r="J48">
            <v>500</v>
          </cell>
        </row>
        <row r="49">
          <cell r="D49">
            <v>769104</v>
          </cell>
          <cell r="J49">
            <v>769</v>
          </cell>
        </row>
        <row r="51">
          <cell r="D51">
            <v>48687</v>
          </cell>
          <cell r="J51">
            <v>49</v>
          </cell>
        </row>
        <row r="52">
          <cell r="D52">
            <v>6361</v>
          </cell>
          <cell r="J52">
            <v>6</v>
          </cell>
        </row>
        <row r="56">
          <cell r="D56">
            <v>1528037</v>
          </cell>
          <cell r="J56">
            <v>1528</v>
          </cell>
        </row>
        <row r="58">
          <cell r="D58">
            <v>812115</v>
          </cell>
          <cell r="J58">
            <v>812</v>
          </cell>
        </row>
        <row r="59">
          <cell r="D59">
            <v>637000</v>
          </cell>
          <cell r="J59">
            <v>637</v>
          </cell>
        </row>
        <row r="62">
          <cell r="D62">
            <v>216438</v>
          </cell>
          <cell r="J62">
            <v>216</v>
          </cell>
        </row>
        <row r="64">
          <cell r="D64">
            <v>84680</v>
          </cell>
          <cell r="J64">
            <v>85</v>
          </cell>
        </row>
        <row r="65">
          <cell r="D65">
            <v>1333</v>
          </cell>
          <cell r="J65">
            <v>1</v>
          </cell>
        </row>
        <row r="66">
          <cell r="D66">
            <v>2086369</v>
          </cell>
          <cell r="J66">
            <v>2086</v>
          </cell>
        </row>
        <row r="67">
          <cell r="D67">
            <v>14831</v>
          </cell>
          <cell r="J67">
            <v>15</v>
          </cell>
        </row>
        <row r="68">
          <cell r="D68">
            <v>-1941113</v>
          </cell>
          <cell r="J68">
            <v>-1941</v>
          </cell>
        </row>
        <row r="69">
          <cell r="D69">
            <v>2086369</v>
          </cell>
          <cell r="J69">
            <v>2086</v>
          </cell>
        </row>
        <row r="73">
          <cell r="D73">
            <v>260790</v>
          </cell>
          <cell r="J73">
            <v>261</v>
          </cell>
        </row>
        <row r="74">
          <cell r="D74">
            <v>224930</v>
          </cell>
          <cell r="J74">
            <v>225</v>
          </cell>
        </row>
        <row r="76">
          <cell r="D76">
            <v>482185</v>
          </cell>
          <cell r="J76">
            <v>482</v>
          </cell>
        </row>
        <row r="77">
          <cell r="D77">
            <v>78511</v>
          </cell>
          <cell r="J77">
            <v>79</v>
          </cell>
        </row>
        <row r="80">
          <cell r="D80">
            <v>14300169</v>
          </cell>
          <cell r="J80">
            <v>14300</v>
          </cell>
        </row>
        <row r="81">
          <cell r="D81">
            <v>1367648</v>
          </cell>
          <cell r="J81">
            <v>1368</v>
          </cell>
        </row>
        <row r="83">
          <cell r="D83">
            <v>15216636</v>
          </cell>
          <cell r="J83">
            <v>15217</v>
          </cell>
        </row>
        <row r="84">
          <cell r="D84">
            <v>1351623</v>
          </cell>
          <cell r="J84">
            <v>1352</v>
          </cell>
        </row>
        <row r="88">
          <cell r="D88">
            <v>7177422</v>
          </cell>
          <cell r="J88">
            <v>7177</v>
          </cell>
        </row>
        <row r="89">
          <cell r="D89">
            <v>39994812</v>
          </cell>
          <cell r="J89">
            <v>39995</v>
          </cell>
        </row>
        <row r="90">
          <cell r="D90">
            <v>23588</v>
          </cell>
          <cell r="J90">
            <v>24</v>
          </cell>
        </row>
        <row r="92">
          <cell r="D92">
            <v>41921346</v>
          </cell>
          <cell r="J92">
            <v>41921</v>
          </cell>
        </row>
        <row r="93">
          <cell r="D93">
            <v>27041976</v>
          </cell>
          <cell r="J93">
            <v>27042</v>
          </cell>
        </row>
        <row r="95">
          <cell r="D95">
            <v>17508164</v>
          </cell>
          <cell r="J95">
            <v>17508</v>
          </cell>
        </row>
        <row r="98">
          <cell r="D98">
            <v>1854333</v>
          </cell>
          <cell r="J98">
            <v>1854</v>
          </cell>
        </row>
        <row r="99">
          <cell r="D99">
            <v>1139211</v>
          </cell>
          <cell r="J99">
            <v>1139</v>
          </cell>
        </row>
        <row r="101">
          <cell r="D101">
            <v>2560636</v>
          </cell>
          <cell r="J101">
            <v>2561</v>
          </cell>
        </row>
        <row r="102">
          <cell r="D102">
            <v>7271</v>
          </cell>
          <cell r="J102">
            <v>7</v>
          </cell>
        </row>
        <row r="105">
          <cell r="D105">
            <v>640622</v>
          </cell>
          <cell r="J105">
            <v>641</v>
          </cell>
        </row>
        <row r="106">
          <cell r="D106">
            <v>2402</v>
          </cell>
          <cell r="J106">
            <v>2</v>
          </cell>
        </row>
        <row r="108">
          <cell r="D108">
            <v>347235</v>
          </cell>
          <cell r="J108">
            <v>347</v>
          </cell>
        </row>
        <row r="109">
          <cell r="D109">
            <v>211526</v>
          </cell>
          <cell r="J109">
            <v>212</v>
          </cell>
        </row>
        <row r="111">
          <cell r="D111">
            <v>2186919</v>
          </cell>
          <cell r="J111">
            <v>2187</v>
          </cell>
        </row>
        <row r="113">
          <cell r="D113">
            <v>4194090</v>
          </cell>
          <cell r="J113">
            <v>4194</v>
          </cell>
        </row>
        <row r="117">
          <cell r="D117">
            <v>369538670</v>
          </cell>
          <cell r="J117">
            <v>369539</v>
          </cell>
        </row>
        <row r="118">
          <cell r="D118">
            <v>4703683</v>
          </cell>
          <cell r="J118">
            <v>4704</v>
          </cell>
        </row>
        <row r="119">
          <cell r="D119">
            <v>1621607</v>
          </cell>
          <cell r="J119">
            <v>1622</v>
          </cell>
        </row>
        <row r="121">
          <cell r="D121">
            <v>424838131</v>
          </cell>
          <cell r="J121">
            <v>424838</v>
          </cell>
        </row>
        <row r="122">
          <cell r="D122">
            <v>1761857</v>
          </cell>
          <cell r="J122">
            <v>1762</v>
          </cell>
        </row>
        <row r="123">
          <cell r="J123">
            <v>-50736</v>
          </cell>
        </row>
        <row r="124">
          <cell r="D124">
            <v>33798968</v>
          </cell>
          <cell r="J124">
            <v>33799</v>
          </cell>
        </row>
        <row r="127">
          <cell r="D127">
            <v>279384498</v>
          </cell>
          <cell r="J127">
            <v>279384</v>
          </cell>
        </row>
        <row r="128">
          <cell r="D128">
            <v>2636347</v>
          </cell>
          <cell r="J128">
            <v>2636</v>
          </cell>
        </row>
        <row r="129">
          <cell r="D129">
            <v>15539186</v>
          </cell>
          <cell r="J129">
            <v>15539</v>
          </cell>
        </row>
        <row r="131">
          <cell r="D131">
            <v>331922727</v>
          </cell>
          <cell r="J131">
            <v>331923</v>
          </cell>
        </row>
        <row r="133">
          <cell r="D133">
            <v>26836558</v>
          </cell>
          <cell r="J133">
            <v>26837</v>
          </cell>
        </row>
        <row r="136">
          <cell r="D136">
            <v>24785982</v>
          </cell>
          <cell r="J136">
            <v>24786</v>
          </cell>
        </row>
        <row r="137">
          <cell r="D137">
            <v>331501</v>
          </cell>
          <cell r="J137">
            <v>332</v>
          </cell>
        </row>
        <row r="138">
          <cell r="D138">
            <v>3214530</v>
          </cell>
          <cell r="J138">
            <v>3215</v>
          </cell>
        </row>
        <row r="140">
          <cell r="D140">
            <v>37089496</v>
          </cell>
          <cell r="J140">
            <v>37089</v>
          </cell>
        </row>
        <row r="141">
          <cell r="D141">
            <v>15000</v>
          </cell>
          <cell r="J141">
            <v>15</v>
          </cell>
        </row>
        <row r="143">
          <cell r="J143">
            <v>0</v>
          </cell>
        </row>
        <row r="146">
          <cell r="D146">
            <v>870059</v>
          </cell>
          <cell r="J146">
            <v>870</v>
          </cell>
        </row>
        <row r="148">
          <cell r="D148">
            <v>18575</v>
          </cell>
          <cell r="J148">
            <v>19</v>
          </cell>
        </row>
        <row r="150">
          <cell r="D150">
            <v>483647</v>
          </cell>
          <cell r="J150">
            <v>484</v>
          </cell>
        </row>
        <row r="153">
          <cell r="J153">
            <v>0</v>
          </cell>
        </row>
        <row r="156">
          <cell r="D156">
            <v>64498131</v>
          </cell>
          <cell r="J156">
            <v>64498</v>
          </cell>
        </row>
        <row r="158">
          <cell r="D158">
            <v>2730024</v>
          </cell>
          <cell r="J158">
            <v>2730</v>
          </cell>
        </row>
        <row r="160">
          <cell r="D160">
            <v>74273584</v>
          </cell>
          <cell r="J160">
            <v>74274</v>
          </cell>
        </row>
        <row r="162">
          <cell r="D162">
            <v>5889636</v>
          </cell>
          <cell r="J162">
            <v>5890</v>
          </cell>
        </row>
        <row r="165">
          <cell r="D165">
            <v>1735840</v>
          </cell>
          <cell r="J165">
            <v>1736</v>
          </cell>
        </row>
        <row r="166">
          <cell r="D166">
            <v>8170672</v>
          </cell>
          <cell r="J166">
            <v>8171</v>
          </cell>
        </row>
        <row r="168">
          <cell r="D168">
            <v>7706576</v>
          </cell>
          <cell r="J168">
            <v>7707</v>
          </cell>
        </row>
        <row r="169">
          <cell r="D169">
            <v>1760338</v>
          </cell>
          <cell r="J169">
            <v>1760</v>
          </cell>
        </row>
        <row r="171">
          <cell r="D171">
            <v>1072774</v>
          </cell>
          <cell r="J171">
            <v>1073</v>
          </cell>
        </row>
        <row r="174">
          <cell r="D174">
            <v>56102392</v>
          </cell>
          <cell r="J174">
            <v>56102</v>
          </cell>
        </row>
        <row r="175">
          <cell r="D175">
            <v>48125224</v>
          </cell>
          <cell r="J175">
            <v>48125</v>
          </cell>
        </row>
        <row r="176">
          <cell r="D176">
            <v>7261037</v>
          </cell>
          <cell r="J176">
            <v>7261</v>
          </cell>
        </row>
        <row r="178">
          <cell r="D178">
            <v>108920279</v>
          </cell>
          <cell r="J178">
            <v>108920</v>
          </cell>
        </row>
        <row r="179">
          <cell r="D179">
            <v>3840015</v>
          </cell>
          <cell r="J179">
            <v>3840</v>
          </cell>
        </row>
        <row r="181">
          <cell r="D181">
            <v>2645441</v>
          </cell>
          <cell r="J181">
            <v>2645</v>
          </cell>
        </row>
        <row r="185">
          <cell r="D185">
            <v>5169927</v>
          </cell>
          <cell r="J185">
            <v>5170</v>
          </cell>
        </row>
        <row r="186">
          <cell r="D186">
            <v>157301</v>
          </cell>
          <cell r="J186">
            <v>157</v>
          </cell>
        </row>
        <row r="187">
          <cell r="D187">
            <v>197400</v>
          </cell>
          <cell r="J187">
            <v>197</v>
          </cell>
        </row>
        <row r="189">
          <cell r="D189">
            <v>5105220</v>
          </cell>
          <cell r="J189">
            <v>5105</v>
          </cell>
        </row>
        <row r="190">
          <cell r="D190">
            <v>686555</v>
          </cell>
          <cell r="J190">
            <v>687</v>
          </cell>
        </row>
        <row r="192">
          <cell r="D192">
            <v>1462500</v>
          </cell>
          <cell r="J192">
            <v>1463</v>
          </cell>
        </row>
        <row r="194">
          <cell r="D194">
            <v>37739</v>
          </cell>
          <cell r="J194">
            <v>38</v>
          </cell>
        </row>
        <row r="195">
          <cell r="D195">
            <v>1353476</v>
          </cell>
          <cell r="J195">
            <v>1353</v>
          </cell>
        </row>
        <row r="199">
          <cell r="D199">
            <v>1527562</v>
          </cell>
          <cell r="J199">
            <v>1528</v>
          </cell>
        </row>
        <row r="200">
          <cell r="D200">
            <v>368000</v>
          </cell>
          <cell r="J200">
            <v>368</v>
          </cell>
        </row>
        <row r="202">
          <cell r="D202">
            <v>2450000</v>
          </cell>
          <cell r="J202">
            <v>2450</v>
          </cell>
        </row>
        <row r="205">
          <cell r="D205">
            <v>12465</v>
          </cell>
          <cell r="J205">
            <v>12</v>
          </cell>
        </row>
        <row r="206">
          <cell r="D206">
            <v>74555</v>
          </cell>
          <cell r="J206">
            <v>75</v>
          </cell>
        </row>
        <row r="208">
          <cell r="D208">
            <v>91962</v>
          </cell>
          <cell r="J208">
            <v>92</v>
          </cell>
        </row>
        <row r="209">
          <cell r="J209">
            <v>1</v>
          </cell>
        </row>
        <row r="212">
          <cell r="D212">
            <v>57275</v>
          </cell>
          <cell r="J212">
            <v>57</v>
          </cell>
        </row>
        <row r="214">
          <cell r="D214">
            <v>23536</v>
          </cell>
          <cell r="J214">
            <v>24</v>
          </cell>
        </row>
        <row r="215">
          <cell r="D215">
            <v>5345</v>
          </cell>
          <cell r="J215">
            <v>5</v>
          </cell>
        </row>
      </sheetData>
      <sheetData sheetId="11">
        <row r="9">
          <cell r="D9">
            <v>629915525</v>
          </cell>
        </row>
        <row r="89">
          <cell r="D89">
            <v>43601329</v>
          </cell>
        </row>
        <row r="117">
          <cell r="D117">
            <v>404712108</v>
          </cell>
        </row>
        <row r="174">
          <cell r="D174">
            <v>61408089</v>
          </cell>
        </row>
        <row r="186">
          <cell r="D186">
            <v>181287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ssd"/>
      <sheetName val="Novembris"/>
      <sheetName val="Decembris"/>
      <sheetName val="Sheet14"/>
      <sheetName val="darbam"/>
      <sheetName val="Sheet16"/>
    </sheetNames>
    <sheetDataSet>
      <sheetData sheetId="9">
        <row r="12">
          <cell r="D12">
            <v>530132993</v>
          </cell>
          <cell r="K12">
            <v>530133</v>
          </cell>
        </row>
        <row r="13">
          <cell r="D13">
            <v>130999</v>
          </cell>
          <cell r="K13">
            <v>131</v>
          </cell>
        </row>
        <row r="14">
          <cell r="D14">
            <v>50116713</v>
          </cell>
          <cell r="K14">
            <v>50117</v>
          </cell>
        </row>
        <row r="18">
          <cell r="D18">
            <v>118660811</v>
          </cell>
          <cell r="K18">
            <v>118662</v>
          </cell>
        </row>
        <row r="19">
          <cell r="D19">
            <v>31915580</v>
          </cell>
          <cell r="K19">
            <v>31916</v>
          </cell>
        </row>
        <row r="21">
          <cell r="D21">
            <v>89268060</v>
          </cell>
          <cell r="K21">
            <v>89268</v>
          </cell>
        </row>
        <row r="22">
          <cell r="D22">
            <v>10231802</v>
          </cell>
          <cell r="K22">
            <v>10232</v>
          </cell>
        </row>
        <row r="23">
          <cell r="D23">
            <v>188877</v>
          </cell>
          <cell r="K23">
            <v>189</v>
          </cell>
        </row>
        <row r="25">
          <cell r="D25">
            <v>11484800</v>
          </cell>
          <cell r="K25">
            <v>11485</v>
          </cell>
        </row>
        <row r="26">
          <cell r="D26">
            <v>9844520</v>
          </cell>
          <cell r="K26">
            <v>9844</v>
          </cell>
        </row>
        <row r="27">
          <cell r="D27">
            <v>606383</v>
          </cell>
          <cell r="K27">
            <v>606</v>
          </cell>
        </row>
        <row r="29">
          <cell r="D29">
            <v>15317102</v>
          </cell>
          <cell r="K29">
            <v>15317</v>
          </cell>
        </row>
        <row r="30">
          <cell r="D30">
            <v>69630349</v>
          </cell>
          <cell r="K30">
            <v>69630</v>
          </cell>
        </row>
        <row r="31">
          <cell r="D31">
            <v>5085842</v>
          </cell>
          <cell r="K31">
            <v>5086</v>
          </cell>
        </row>
        <row r="33">
          <cell r="D33">
            <v>51539129</v>
          </cell>
          <cell r="K33">
            <v>51539</v>
          </cell>
        </row>
        <row r="34">
          <cell r="D34">
            <v>30840139</v>
          </cell>
          <cell r="K34">
            <v>30840</v>
          </cell>
        </row>
        <row r="36">
          <cell r="D36">
            <v>3072552</v>
          </cell>
          <cell r="K36">
            <v>3073</v>
          </cell>
        </row>
        <row r="37">
          <cell r="D37">
            <v>50344692</v>
          </cell>
          <cell r="K37">
            <v>50345</v>
          </cell>
        </row>
        <row r="38">
          <cell r="D38">
            <v>5501480</v>
          </cell>
          <cell r="K38">
            <v>5501</v>
          </cell>
        </row>
        <row r="39">
          <cell r="D39">
            <v>4475800</v>
          </cell>
          <cell r="K39">
            <v>4476</v>
          </cell>
        </row>
        <row r="40">
          <cell r="D40">
            <v>2798351</v>
          </cell>
          <cell r="K40">
            <v>2798</v>
          </cell>
        </row>
        <row r="42">
          <cell r="D42">
            <v>10213446</v>
          </cell>
          <cell r="K42">
            <v>10213</v>
          </cell>
        </row>
        <row r="43">
          <cell r="D43">
            <v>36101627</v>
          </cell>
          <cell r="K43">
            <v>36102</v>
          </cell>
        </row>
        <row r="45">
          <cell r="D45">
            <v>94926291</v>
          </cell>
          <cell r="K45">
            <v>94926</v>
          </cell>
        </row>
        <row r="46">
          <cell r="D46">
            <v>32957867</v>
          </cell>
          <cell r="K46">
            <v>32958</v>
          </cell>
        </row>
      </sheetData>
      <sheetData sheetId="11">
        <row r="16">
          <cell r="D16">
            <v>569691153</v>
          </cell>
        </row>
        <row r="33">
          <cell r="D33">
            <v>57167696</v>
          </cell>
        </row>
        <row r="42">
          <cell r="D42">
            <v>11565646</v>
          </cell>
        </row>
        <row r="43">
          <cell r="D43">
            <v>40353084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Aprīlis1"/>
      <sheetName val="Maijs"/>
      <sheetName val="Jūnijs"/>
      <sheetName val="Jūlijs"/>
      <sheetName val="Augusts"/>
      <sheetName val="Septembris"/>
      <sheetName val="Oktobris"/>
      <sheetName val="Novembris"/>
      <sheetName val="Sheet12"/>
      <sheetName val="Sheet13"/>
      <sheetName val="Sheet14"/>
      <sheetName val="Sheet15"/>
      <sheetName val="Sheet16"/>
    </sheetNames>
    <sheetDataSet>
      <sheetData sheetId="11">
        <row r="9">
          <cell r="C9">
            <v>105369261</v>
          </cell>
        </row>
        <row r="10">
          <cell r="C10">
            <v>36411605</v>
          </cell>
        </row>
        <row r="24">
          <cell r="C24">
            <v>60283437</v>
          </cell>
        </row>
        <row r="40">
          <cell r="C40">
            <v>15267580</v>
          </cell>
        </row>
        <row r="52">
          <cell r="C52">
            <v>19428685</v>
          </cell>
        </row>
        <row r="84">
          <cell r="C84">
            <v>1116762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9">
        <row r="12">
          <cell r="D12">
            <v>734500</v>
          </cell>
          <cell r="K12">
            <v>735</v>
          </cell>
        </row>
        <row r="13">
          <cell r="D13">
            <v>30267</v>
          </cell>
          <cell r="K13">
            <v>30</v>
          </cell>
        </row>
        <row r="15">
          <cell r="D15">
            <v>3736350</v>
          </cell>
          <cell r="K15">
            <v>3736</v>
          </cell>
        </row>
        <row r="16">
          <cell r="D16">
            <v>781772</v>
          </cell>
          <cell r="K16">
            <v>782</v>
          </cell>
        </row>
        <row r="18">
          <cell r="D18">
            <v>2724498</v>
          </cell>
          <cell r="K18">
            <v>2724</v>
          </cell>
        </row>
        <row r="19">
          <cell r="D19">
            <v>166914</v>
          </cell>
          <cell r="K19">
            <v>167</v>
          </cell>
        </row>
        <row r="21">
          <cell r="D21">
            <v>22026828</v>
          </cell>
          <cell r="K21">
            <v>22027</v>
          </cell>
        </row>
        <row r="22">
          <cell r="D22">
            <v>1640957</v>
          </cell>
          <cell r="K22">
            <v>1641</v>
          </cell>
        </row>
        <row r="24">
          <cell r="D24">
            <v>8615825</v>
          </cell>
          <cell r="K24">
            <v>8616</v>
          </cell>
        </row>
        <row r="25">
          <cell r="D25">
            <v>318245</v>
          </cell>
          <cell r="K25">
            <v>318</v>
          </cell>
        </row>
        <row r="27">
          <cell r="D27">
            <v>3320789</v>
          </cell>
          <cell r="K27">
            <v>3321</v>
          </cell>
        </row>
        <row r="28">
          <cell r="D28">
            <v>187512</v>
          </cell>
          <cell r="K28">
            <v>188</v>
          </cell>
        </row>
        <row r="30">
          <cell r="D30">
            <v>64894247</v>
          </cell>
          <cell r="K30">
            <v>64894</v>
          </cell>
        </row>
        <row r="31">
          <cell r="D31">
            <v>7596029</v>
          </cell>
          <cell r="K31">
            <v>7596</v>
          </cell>
        </row>
        <row r="33">
          <cell r="D33">
            <v>68880743</v>
          </cell>
          <cell r="K33">
            <v>68881</v>
          </cell>
        </row>
        <row r="34">
          <cell r="D34">
            <v>8518894</v>
          </cell>
          <cell r="K34">
            <v>8519</v>
          </cell>
        </row>
        <row r="36">
          <cell r="D36">
            <v>43733431</v>
          </cell>
          <cell r="K36">
            <v>43733</v>
          </cell>
        </row>
        <row r="37">
          <cell r="D37">
            <v>3674449</v>
          </cell>
          <cell r="K37">
            <v>3675</v>
          </cell>
        </row>
        <row r="39">
          <cell r="D39">
            <v>35300965</v>
          </cell>
          <cell r="K39">
            <v>35301</v>
          </cell>
        </row>
        <row r="40">
          <cell r="D40">
            <v>2891992</v>
          </cell>
          <cell r="K40">
            <v>2892</v>
          </cell>
        </row>
        <row r="42">
          <cell r="D42">
            <v>4022779</v>
          </cell>
          <cell r="K42">
            <v>4023</v>
          </cell>
        </row>
        <row r="43">
          <cell r="D43">
            <v>2578942</v>
          </cell>
          <cell r="K43">
            <v>2579</v>
          </cell>
        </row>
        <row r="45">
          <cell r="D45">
            <v>128693891</v>
          </cell>
          <cell r="K45">
            <v>128694</v>
          </cell>
        </row>
        <row r="46">
          <cell r="D46">
            <v>4247442</v>
          </cell>
          <cell r="K46">
            <v>4248</v>
          </cell>
        </row>
        <row r="48">
          <cell r="D48">
            <v>9529708</v>
          </cell>
          <cell r="K48">
            <v>9530</v>
          </cell>
        </row>
        <row r="49">
          <cell r="D49">
            <v>706932</v>
          </cell>
          <cell r="K49">
            <v>707</v>
          </cell>
        </row>
        <row r="53">
          <cell r="D53">
            <v>5206198</v>
          </cell>
          <cell r="K53">
            <v>5206</v>
          </cell>
        </row>
        <row r="54">
          <cell r="D54">
            <v>1091452</v>
          </cell>
          <cell r="K54">
            <v>1091</v>
          </cell>
        </row>
        <row r="56">
          <cell r="D56">
            <v>11439329</v>
          </cell>
          <cell r="K56">
            <v>11439</v>
          </cell>
        </row>
        <row r="57">
          <cell r="D57">
            <v>1984239</v>
          </cell>
          <cell r="K57">
            <v>1984</v>
          </cell>
        </row>
        <row r="59">
          <cell r="D59">
            <v>9557797</v>
          </cell>
          <cell r="K59">
            <v>9558</v>
          </cell>
        </row>
        <row r="60">
          <cell r="D60">
            <v>1174478</v>
          </cell>
          <cell r="K60">
            <v>1174</v>
          </cell>
        </row>
        <row r="62">
          <cell r="D62">
            <v>906815</v>
          </cell>
          <cell r="K62">
            <v>907</v>
          </cell>
        </row>
        <row r="63">
          <cell r="D63">
            <v>38973</v>
          </cell>
          <cell r="K63">
            <v>39</v>
          </cell>
        </row>
        <row r="65">
          <cell r="D65">
            <v>604049</v>
          </cell>
          <cell r="K65">
            <v>604</v>
          </cell>
        </row>
        <row r="66">
          <cell r="D66">
            <v>4198</v>
          </cell>
          <cell r="K66">
            <v>4</v>
          </cell>
        </row>
        <row r="68">
          <cell r="D68">
            <v>245955</v>
          </cell>
          <cell r="K68">
            <v>246</v>
          </cell>
        </row>
        <row r="69">
          <cell r="D69">
            <v>43190</v>
          </cell>
          <cell r="K69">
            <v>43</v>
          </cell>
        </row>
        <row r="71">
          <cell r="D71">
            <v>4974658</v>
          </cell>
          <cell r="K71">
            <v>4975</v>
          </cell>
        </row>
        <row r="72">
          <cell r="D72">
            <v>444243</v>
          </cell>
          <cell r="K72">
            <v>444</v>
          </cell>
        </row>
        <row r="74">
          <cell r="D74">
            <v>58072</v>
          </cell>
          <cell r="K74">
            <v>58</v>
          </cell>
        </row>
        <row r="75">
          <cell r="D75">
            <v>2412</v>
          </cell>
          <cell r="K75">
            <v>2</v>
          </cell>
        </row>
        <row r="77">
          <cell r="D77">
            <v>39318</v>
          </cell>
          <cell r="K77">
            <v>39</v>
          </cell>
        </row>
        <row r="79">
          <cell r="D79">
            <v>652807</v>
          </cell>
          <cell r="K79">
            <v>653</v>
          </cell>
        </row>
        <row r="81">
          <cell r="D81">
            <v>5391020</v>
          </cell>
          <cell r="K81">
            <v>5391</v>
          </cell>
        </row>
        <row r="82">
          <cell r="D82">
            <v>4338</v>
          </cell>
          <cell r="K82">
            <v>4</v>
          </cell>
        </row>
        <row r="84">
          <cell r="D84">
            <v>74219</v>
          </cell>
          <cell r="K84">
            <v>74</v>
          </cell>
        </row>
        <row r="86">
          <cell r="D86">
            <v>477717</v>
          </cell>
          <cell r="K86">
            <v>478</v>
          </cell>
        </row>
        <row r="87">
          <cell r="D87">
            <v>7594</v>
          </cell>
          <cell r="K87">
            <v>8</v>
          </cell>
        </row>
        <row r="89">
          <cell r="D89">
            <v>247679</v>
          </cell>
          <cell r="K89">
            <v>248</v>
          </cell>
        </row>
        <row r="90">
          <cell r="D90">
            <v>15612</v>
          </cell>
          <cell r="K90">
            <v>16</v>
          </cell>
        </row>
        <row r="92">
          <cell r="D92">
            <v>69630349</v>
          </cell>
          <cell r="K92">
            <v>69630</v>
          </cell>
        </row>
        <row r="93">
          <cell r="D93">
            <v>8164000</v>
          </cell>
          <cell r="K93">
            <v>8164</v>
          </cell>
        </row>
        <row r="95">
          <cell r="D95">
            <v>5085842</v>
          </cell>
          <cell r="K95">
            <v>5086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1"/>
      <sheetName val="Sheet13"/>
      <sheetName val="Sheet14"/>
      <sheetName val="Sheet15"/>
      <sheetName val="Sheet16"/>
    </sheetNames>
    <sheetDataSet>
      <sheetData sheetId="7">
        <row r="10">
          <cell r="C10">
            <v>3852320</v>
          </cell>
          <cell r="H10">
            <v>3852</v>
          </cell>
        </row>
        <row r="11">
          <cell r="C11">
            <v>5701725</v>
          </cell>
          <cell r="H11">
            <v>5702</v>
          </cell>
        </row>
        <row r="15">
          <cell r="C15">
            <v>447653</v>
          </cell>
          <cell r="H15">
            <v>448</v>
          </cell>
        </row>
        <row r="16">
          <cell r="C16">
            <v>137244</v>
          </cell>
          <cell r="H16">
            <v>137</v>
          </cell>
        </row>
        <row r="18">
          <cell r="C18">
            <v>4637687</v>
          </cell>
          <cell r="H18">
            <v>4638</v>
          </cell>
        </row>
        <row r="19">
          <cell r="C19">
            <v>1214546</v>
          </cell>
          <cell r="H19">
            <v>1215</v>
          </cell>
        </row>
        <row r="20">
          <cell r="C20">
            <v>1083</v>
          </cell>
          <cell r="H20">
            <v>1</v>
          </cell>
        </row>
        <row r="22">
          <cell r="C22">
            <v>154185</v>
          </cell>
          <cell r="H22">
            <v>154</v>
          </cell>
        </row>
        <row r="23">
          <cell r="H23">
            <v>0</v>
          </cell>
        </row>
        <row r="25">
          <cell r="C25">
            <v>28084</v>
          </cell>
          <cell r="H25">
            <v>28</v>
          </cell>
        </row>
        <row r="26">
          <cell r="C26">
            <v>11967</v>
          </cell>
          <cell r="H26">
            <v>12</v>
          </cell>
        </row>
        <row r="27">
          <cell r="H27">
            <v>0</v>
          </cell>
        </row>
        <row r="28">
          <cell r="C28">
            <v>32318</v>
          </cell>
          <cell r="H28">
            <v>32</v>
          </cell>
        </row>
        <row r="29">
          <cell r="C29">
            <v>54876</v>
          </cell>
          <cell r="H29">
            <v>55</v>
          </cell>
        </row>
        <row r="31">
          <cell r="C31">
            <v>1277493</v>
          </cell>
          <cell r="H31">
            <v>1277</v>
          </cell>
        </row>
        <row r="32">
          <cell r="C32">
            <v>104434</v>
          </cell>
          <cell r="H32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4" width="12.57421875" style="2" customWidth="1"/>
    <col min="5" max="5" width="11.28125" style="2" customWidth="1"/>
  </cols>
  <sheetData>
    <row r="1" spans="1:5" ht="12.75" customHeight="1">
      <c r="A1" s="304" t="s">
        <v>386</v>
      </c>
      <c r="B1" s="304"/>
      <c r="C1" s="304"/>
      <c r="D1" s="304"/>
      <c r="E1" s="304"/>
    </row>
    <row r="2" spans="1:5" ht="12.75" customHeight="1">
      <c r="A2" s="304"/>
      <c r="B2" s="304"/>
      <c r="C2" s="304"/>
      <c r="D2" s="304"/>
      <c r="E2" s="304"/>
    </row>
    <row r="3" spans="1:4" ht="12.75">
      <c r="A3" s="1"/>
      <c r="D3" s="2" t="s">
        <v>16</v>
      </c>
    </row>
    <row r="4" spans="1:5" ht="33.75">
      <c r="A4" s="3" t="s">
        <v>17</v>
      </c>
      <c r="B4" s="4" t="s">
        <v>18</v>
      </c>
      <c r="C4" s="4" t="s">
        <v>19</v>
      </c>
      <c r="D4" s="4" t="s">
        <v>20</v>
      </c>
      <c r="E4" s="5" t="s">
        <v>387</v>
      </c>
    </row>
    <row r="5" spans="1:5" ht="12.75">
      <c r="A5" s="6" t="s">
        <v>21</v>
      </c>
      <c r="B5" s="7">
        <v>1153680</v>
      </c>
      <c r="C5" s="8">
        <v>372647</v>
      </c>
      <c r="D5" s="7">
        <f>B5+C5</f>
        <v>1526327</v>
      </c>
      <c r="E5" s="9">
        <v>129268</v>
      </c>
    </row>
    <row r="6" spans="1:5" ht="22.5">
      <c r="A6" s="10" t="s">
        <v>22</v>
      </c>
      <c r="B6" s="11" t="s">
        <v>23</v>
      </c>
      <c r="C6" s="11" t="s">
        <v>23</v>
      </c>
      <c r="D6" s="12">
        <f>85571+8560</f>
        <v>94131</v>
      </c>
      <c r="E6" s="13">
        <v>11251</v>
      </c>
    </row>
    <row r="7" spans="1:5" ht="22.5">
      <c r="A7" s="10" t="s">
        <v>24</v>
      </c>
      <c r="B7" s="11" t="s">
        <v>23</v>
      </c>
      <c r="C7" s="11" t="s">
        <v>23</v>
      </c>
      <c r="D7" s="12">
        <v>18482</v>
      </c>
      <c r="E7" s="13">
        <v>1281</v>
      </c>
    </row>
    <row r="8" spans="1:5" ht="12.75">
      <c r="A8" s="14" t="s">
        <v>25</v>
      </c>
      <c r="B8" s="15" t="s">
        <v>23</v>
      </c>
      <c r="C8" s="15" t="s">
        <v>23</v>
      </c>
      <c r="D8" s="7">
        <f>D5-D6-D7</f>
        <v>1413714</v>
      </c>
      <c r="E8" s="9">
        <v>116736</v>
      </c>
    </row>
    <row r="9" spans="1:5" ht="12.75">
      <c r="A9" s="6" t="s">
        <v>26</v>
      </c>
      <c r="B9" s="7">
        <v>1266990</v>
      </c>
      <c r="C9" s="8">
        <v>375568</v>
      </c>
      <c r="D9" s="7">
        <f>B9+C9</f>
        <v>1642558</v>
      </c>
      <c r="E9" s="9">
        <v>150805</v>
      </c>
    </row>
    <row r="10" spans="1:5" ht="22.5">
      <c r="A10" s="10" t="s">
        <v>27</v>
      </c>
      <c r="B10" s="11" t="s">
        <v>23</v>
      </c>
      <c r="C10" s="11" t="s">
        <v>23</v>
      </c>
      <c r="D10" s="12">
        <f>85571+8560</f>
        <v>94131</v>
      </c>
      <c r="E10" s="13">
        <v>11251</v>
      </c>
    </row>
    <row r="11" spans="1:5" ht="22.5">
      <c r="A11" s="10" t="s">
        <v>28</v>
      </c>
      <c r="B11" s="11" t="s">
        <v>23</v>
      </c>
      <c r="C11" s="11" t="s">
        <v>23</v>
      </c>
      <c r="D11" s="12">
        <v>18482</v>
      </c>
      <c r="E11" s="13">
        <v>1281</v>
      </c>
    </row>
    <row r="12" spans="1:5" ht="12.75">
      <c r="A12" s="14" t="s">
        <v>29</v>
      </c>
      <c r="B12" s="15" t="s">
        <v>23</v>
      </c>
      <c r="C12" s="15" t="s">
        <v>23</v>
      </c>
      <c r="D12" s="7">
        <f>D9-D10-D11</f>
        <v>1529945</v>
      </c>
      <c r="E12" s="9">
        <v>138273</v>
      </c>
    </row>
    <row r="13" spans="1:5" ht="25.5">
      <c r="A13" s="14" t="s">
        <v>30</v>
      </c>
      <c r="B13" s="7">
        <f>B5-B9</f>
        <v>-113310</v>
      </c>
      <c r="C13" s="8">
        <f>C5-C9</f>
        <v>-2921</v>
      </c>
      <c r="D13" s="7">
        <f>D8-D12</f>
        <v>-116231</v>
      </c>
      <c r="E13" s="9">
        <v>-21537</v>
      </c>
    </row>
    <row r="14" spans="1:5" ht="12.75">
      <c r="A14" s="16" t="s">
        <v>31</v>
      </c>
      <c r="B14" s="8">
        <f>B15-B18</f>
        <v>6949</v>
      </c>
      <c r="C14" s="8">
        <f>C15-C18</f>
        <v>3205</v>
      </c>
      <c r="D14" s="8">
        <f>D17-D20</f>
        <v>8730</v>
      </c>
      <c r="E14" s="9">
        <v>-3285</v>
      </c>
    </row>
    <row r="15" spans="1:5" ht="12.75">
      <c r="A15" s="17" t="s">
        <v>32</v>
      </c>
      <c r="B15" s="18">
        <v>12974</v>
      </c>
      <c r="C15" s="19">
        <v>7229</v>
      </c>
      <c r="D15" s="18">
        <f>B15+C15</f>
        <v>20203</v>
      </c>
      <c r="E15" s="20">
        <v>-13067</v>
      </c>
    </row>
    <row r="16" spans="1:5" ht="22.5">
      <c r="A16" s="10" t="s">
        <v>33</v>
      </c>
      <c r="B16" s="11" t="s">
        <v>23</v>
      </c>
      <c r="C16" s="11" t="s">
        <v>23</v>
      </c>
      <c r="D16" s="12">
        <v>9067</v>
      </c>
      <c r="E16" s="13">
        <v>794</v>
      </c>
    </row>
    <row r="17" spans="1:5" ht="12.75">
      <c r="A17" s="16" t="s">
        <v>34</v>
      </c>
      <c r="B17" s="15" t="s">
        <v>23</v>
      </c>
      <c r="C17" s="15" t="s">
        <v>23</v>
      </c>
      <c r="D17" s="7">
        <f>D15-D16</f>
        <v>11136</v>
      </c>
      <c r="E17" s="9">
        <v>-13861</v>
      </c>
    </row>
    <row r="18" spans="1:5" ht="12.75">
      <c r="A18" s="17" t="s">
        <v>35</v>
      </c>
      <c r="B18" s="18">
        <v>6025</v>
      </c>
      <c r="C18" s="19">
        <v>4024</v>
      </c>
      <c r="D18" s="18">
        <f>B18+C18</f>
        <v>10049</v>
      </c>
      <c r="E18" s="20">
        <v>-10278</v>
      </c>
    </row>
    <row r="19" spans="1:5" ht="22.5">
      <c r="A19" s="10" t="s">
        <v>36</v>
      </c>
      <c r="B19" s="21" t="s">
        <v>23</v>
      </c>
      <c r="C19" s="21" t="s">
        <v>23</v>
      </c>
      <c r="D19" s="12">
        <f>7446+197</f>
        <v>7643</v>
      </c>
      <c r="E19" s="13">
        <v>298</v>
      </c>
    </row>
    <row r="20" spans="1:5" ht="12.75">
      <c r="A20" s="16" t="s">
        <v>37</v>
      </c>
      <c r="B20" s="15" t="s">
        <v>23</v>
      </c>
      <c r="C20" s="15" t="s">
        <v>23</v>
      </c>
      <c r="D20" s="7">
        <f>D18-D19</f>
        <v>2406</v>
      </c>
      <c r="E20" s="9">
        <v>-10576</v>
      </c>
    </row>
    <row r="21" spans="1:5" ht="25.5">
      <c r="A21" s="14" t="s">
        <v>38</v>
      </c>
      <c r="B21" s="8">
        <f>B13-B14</f>
        <v>-120259</v>
      </c>
      <c r="C21" s="8">
        <f>C13-C14</f>
        <v>-6126</v>
      </c>
      <c r="D21" s="7">
        <f>D13-D14</f>
        <v>-124961</v>
      </c>
      <c r="E21" s="9">
        <v>-18252</v>
      </c>
    </row>
    <row r="22" spans="1:5" ht="12.75">
      <c r="A22" s="6" t="s">
        <v>39</v>
      </c>
      <c r="B22" s="7">
        <f>B23+B39</f>
        <v>120259</v>
      </c>
      <c r="C22" s="8">
        <f>C23+C39</f>
        <v>6126</v>
      </c>
      <c r="D22" s="7">
        <f>D23+D39</f>
        <v>124961</v>
      </c>
      <c r="E22" s="9">
        <v>18252</v>
      </c>
    </row>
    <row r="23" spans="1:5" ht="12.75">
      <c r="A23" s="6" t="s">
        <v>40</v>
      </c>
      <c r="B23" s="7">
        <f>B24+B29+B34+B38</f>
        <v>-8355</v>
      </c>
      <c r="C23" s="8">
        <f>C24+C29+C34+C38</f>
        <v>6126</v>
      </c>
      <c r="D23" s="8">
        <f>D24+D29+D34+D38</f>
        <v>-3653</v>
      </c>
      <c r="E23" s="9">
        <v>20269</v>
      </c>
    </row>
    <row r="24" spans="1:5" ht="12.75">
      <c r="A24" s="22" t="s">
        <v>41</v>
      </c>
      <c r="B24" s="23">
        <f>B25+B26</f>
        <v>16719</v>
      </c>
      <c r="C24" s="23">
        <f>C25+C26</f>
        <v>2389</v>
      </c>
      <c r="D24" s="23">
        <f>D25+D28</f>
        <v>17684</v>
      </c>
      <c r="E24" s="24">
        <v>11337</v>
      </c>
    </row>
    <row r="25" spans="1:5" ht="22.5">
      <c r="A25" s="10" t="s">
        <v>42</v>
      </c>
      <c r="B25" s="12">
        <v>16719</v>
      </c>
      <c r="C25" s="25">
        <v>965</v>
      </c>
      <c r="D25" s="12">
        <f>B25+C25</f>
        <v>17684</v>
      </c>
      <c r="E25" s="13">
        <v>11337</v>
      </c>
    </row>
    <row r="26" spans="1:5" ht="22.5">
      <c r="A26" s="10" t="s">
        <v>43</v>
      </c>
      <c r="B26" s="12"/>
      <c r="C26" s="25">
        <v>1424</v>
      </c>
      <c r="D26" s="12">
        <f>B26+C26</f>
        <v>1424</v>
      </c>
      <c r="E26" s="13">
        <v>496</v>
      </c>
    </row>
    <row r="27" spans="1:5" ht="22.5">
      <c r="A27" s="26" t="s">
        <v>44</v>
      </c>
      <c r="B27" s="21" t="s">
        <v>23</v>
      </c>
      <c r="C27" s="21" t="s">
        <v>23</v>
      </c>
      <c r="D27" s="27">
        <v>-1424</v>
      </c>
      <c r="E27" s="24">
        <v>-496</v>
      </c>
    </row>
    <row r="28" spans="1:5" ht="22.5">
      <c r="A28" s="10" t="s">
        <v>45</v>
      </c>
      <c r="B28" s="21" t="s">
        <v>23</v>
      </c>
      <c r="C28" s="21" t="s">
        <v>23</v>
      </c>
      <c r="D28" s="27"/>
      <c r="E28" s="24">
        <v>0</v>
      </c>
    </row>
    <row r="29" spans="1:5" ht="12.75">
      <c r="A29" s="28" t="s">
        <v>46</v>
      </c>
      <c r="B29" s="27">
        <f>SUM(B30:B33)</f>
        <v>-42947</v>
      </c>
      <c r="C29" s="23">
        <f>SUM(C30:C33)</f>
        <v>0</v>
      </c>
      <c r="D29" s="27">
        <f aca="true" t="shared" si="0" ref="D29:D38">B29+C29</f>
        <v>-42947</v>
      </c>
      <c r="E29" s="24">
        <v>-15078</v>
      </c>
    </row>
    <row r="30" spans="1:5" ht="12.75">
      <c r="A30" s="10" t="s">
        <v>47</v>
      </c>
      <c r="B30" s="12"/>
      <c r="C30" s="23"/>
      <c r="D30" s="12">
        <f t="shared" si="0"/>
        <v>0</v>
      </c>
      <c r="E30" s="13">
        <v>0</v>
      </c>
    </row>
    <row r="31" spans="1:5" ht="12.75">
      <c r="A31" s="10" t="s">
        <v>48</v>
      </c>
      <c r="B31" s="12">
        <v>-38020</v>
      </c>
      <c r="C31" s="25"/>
      <c r="D31" s="12">
        <f t="shared" si="0"/>
        <v>-38020</v>
      </c>
      <c r="E31" s="13">
        <v>-5571</v>
      </c>
    </row>
    <row r="32" spans="1:5" ht="22.5">
      <c r="A32" s="10" t="s">
        <v>49</v>
      </c>
      <c r="B32" s="12">
        <v>-10145</v>
      </c>
      <c r="C32" s="25"/>
      <c r="D32" s="12">
        <f t="shared" si="0"/>
        <v>-10145</v>
      </c>
      <c r="E32" s="13">
        <v>-5257</v>
      </c>
    </row>
    <row r="33" spans="1:5" ht="12.75">
      <c r="A33" s="10" t="s">
        <v>50</v>
      </c>
      <c r="B33" s="12">
        <v>5218</v>
      </c>
      <c r="C33" s="25"/>
      <c r="D33" s="12">
        <f t="shared" si="0"/>
        <v>5218</v>
      </c>
      <c r="E33" s="13">
        <v>-4250</v>
      </c>
    </row>
    <row r="34" spans="1:5" ht="12.75">
      <c r="A34" s="29" t="s">
        <v>51</v>
      </c>
      <c r="B34" s="27">
        <f>SUM(B35:B37)</f>
        <v>29873</v>
      </c>
      <c r="C34" s="25">
        <f>SUM(C35:C37)</f>
        <v>2618</v>
      </c>
      <c r="D34" s="27">
        <f t="shared" si="0"/>
        <v>32491</v>
      </c>
      <c r="E34" s="24">
        <v>24841</v>
      </c>
    </row>
    <row r="35" spans="1:5" ht="12.75">
      <c r="A35" s="11" t="s">
        <v>52</v>
      </c>
      <c r="B35" s="12">
        <v>5000</v>
      </c>
      <c r="C35" s="25">
        <v>328</v>
      </c>
      <c r="D35" s="12">
        <f t="shared" si="0"/>
        <v>5328</v>
      </c>
      <c r="E35" s="13">
        <v>1041</v>
      </c>
    </row>
    <row r="36" spans="1:5" ht="12.75">
      <c r="A36" s="11" t="s">
        <v>48</v>
      </c>
      <c r="B36" s="12">
        <v>19691</v>
      </c>
      <c r="C36" s="25"/>
      <c r="D36" s="12">
        <f t="shared" si="0"/>
        <v>19691</v>
      </c>
      <c r="E36" s="13">
        <v>20437</v>
      </c>
    </row>
    <row r="37" spans="1:5" ht="22.5">
      <c r="A37" s="10" t="s">
        <v>49</v>
      </c>
      <c r="B37" s="12">
        <v>5182</v>
      </c>
      <c r="C37" s="25">
        <v>2290</v>
      </c>
      <c r="D37" s="12">
        <f t="shared" si="0"/>
        <v>7472</v>
      </c>
      <c r="E37" s="13">
        <v>3363</v>
      </c>
    </row>
    <row r="38" spans="1:5" ht="12.75">
      <c r="A38" s="29" t="s">
        <v>53</v>
      </c>
      <c r="B38" s="27">
        <v>-12000</v>
      </c>
      <c r="C38" s="23">
        <v>1119</v>
      </c>
      <c r="D38" s="12">
        <f t="shared" si="0"/>
        <v>-10881</v>
      </c>
      <c r="E38" s="13">
        <v>-831</v>
      </c>
    </row>
    <row r="39" spans="1:5" ht="12.75">
      <c r="A39" s="30" t="s">
        <v>54</v>
      </c>
      <c r="B39" s="7">
        <v>128614</v>
      </c>
      <c r="C39" s="8"/>
      <c r="D39" s="7">
        <f>B39+C39</f>
        <v>128614</v>
      </c>
      <c r="E39" s="9">
        <v>-2017</v>
      </c>
    </row>
    <row r="40" spans="1:5" ht="12.75">
      <c r="A40" s="31" t="s">
        <v>55</v>
      </c>
      <c r="B40" s="32"/>
      <c r="C40" s="33"/>
      <c r="D40" s="34"/>
      <c r="E40" s="35"/>
    </row>
    <row r="41" spans="1:5" ht="12.75">
      <c r="A41" s="36"/>
      <c r="B41" s="37"/>
      <c r="C41" s="33"/>
      <c r="D41" s="38"/>
      <c r="E41" s="39"/>
    </row>
    <row r="42" spans="1:5" ht="12.75">
      <c r="A42" s="305"/>
      <c r="B42" s="305"/>
      <c r="C42" s="305"/>
      <c r="D42" s="305"/>
      <c r="E42" s="35"/>
    </row>
    <row r="43" spans="1:5" ht="12.75">
      <c r="A43" s="41" t="s">
        <v>56</v>
      </c>
      <c r="B43" s="40"/>
      <c r="C43" s="40"/>
      <c r="D43" s="40"/>
      <c r="E43" s="42"/>
    </row>
    <row r="44" spans="1:5" ht="12.75">
      <c r="A44" s="40"/>
      <c r="B44" s="40"/>
      <c r="C44" s="40"/>
      <c r="D44" s="40"/>
      <c r="E44" s="35"/>
    </row>
    <row r="45" spans="1:5" ht="12.75">
      <c r="A45" s="43"/>
      <c r="B45" s="43"/>
      <c r="C45" s="44"/>
      <c r="D45" s="45"/>
      <c r="E45" s="46"/>
    </row>
    <row r="46" spans="1:5" ht="12.75">
      <c r="A46" s="43"/>
      <c r="B46" s="43"/>
      <c r="C46" s="31"/>
      <c r="D46" s="43"/>
      <c r="E46" s="47"/>
    </row>
    <row r="47" spans="1:5" ht="12.75">
      <c r="A47" s="43" t="s">
        <v>57</v>
      </c>
      <c r="B47" s="32"/>
      <c r="C47" s="33"/>
      <c r="D47" s="34"/>
      <c r="E47" s="35"/>
    </row>
    <row r="48" spans="1:5" ht="12.75">
      <c r="A48" s="43" t="s">
        <v>388</v>
      </c>
      <c r="B48" s="32"/>
      <c r="C48" s="33"/>
      <c r="D48" s="34"/>
      <c r="E48" s="35"/>
    </row>
  </sheetData>
  <mergeCells count="2">
    <mergeCell ref="A1:E2"/>
    <mergeCell ref="A42:D4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2"/>
  <sheetViews>
    <sheetView workbookViewId="0" topLeftCell="G18">
      <selection activeCell="G19" sqref="G19"/>
    </sheetView>
  </sheetViews>
  <sheetFormatPr defaultColWidth="9.140625" defaultRowHeight="12.75"/>
  <cols>
    <col min="1" max="1" width="34.7109375" style="2" hidden="1" customWidth="1"/>
    <col min="2" max="2" width="7.421875" style="2" hidden="1" customWidth="1"/>
    <col min="3" max="3" width="10.00390625" style="2" hidden="1" customWidth="1"/>
    <col min="4" max="4" width="11.28125" style="2" hidden="1" customWidth="1"/>
    <col min="5" max="5" width="7.8515625" style="2" hidden="1" customWidth="1"/>
    <col min="6" max="6" width="11.28125" style="2" hidden="1" customWidth="1"/>
    <col min="7" max="7" width="31.28125" style="2" customWidth="1"/>
    <col min="8" max="8" width="7.28125" style="2" customWidth="1"/>
    <col min="9" max="9" width="10.7109375" style="2" customWidth="1"/>
    <col min="10" max="10" width="7.7109375" style="2" customWidth="1"/>
    <col min="11" max="11" width="7.28125" style="2" customWidth="1"/>
    <col min="12" max="12" width="10.7109375" style="2" customWidth="1"/>
    <col min="13" max="16384" width="7.8515625" style="2" customWidth="1"/>
  </cols>
  <sheetData>
    <row r="1" spans="3:10" ht="12.75">
      <c r="C1" s="48"/>
      <c r="D1" s="48"/>
      <c r="I1" s="48"/>
      <c r="J1" s="48"/>
    </row>
    <row r="2" spans="1:12" ht="12.75">
      <c r="A2" s="48" t="s">
        <v>445</v>
      </c>
      <c r="C2" s="48"/>
      <c r="D2" s="48"/>
      <c r="E2" s="48"/>
      <c r="F2" s="41" t="s">
        <v>446</v>
      </c>
      <c r="G2" s="48" t="s">
        <v>445</v>
      </c>
      <c r="I2" s="48"/>
      <c r="J2" s="48"/>
      <c r="K2" s="48"/>
      <c r="L2" s="225" t="s">
        <v>446</v>
      </c>
    </row>
    <row r="4" spans="1:12" ht="15.75">
      <c r="A4" s="87" t="s">
        <v>447</v>
      </c>
      <c r="G4" s="306" t="s">
        <v>448</v>
      </c>
      <c r="H4" s="306"/>
      <c r="I4" s="306"/>
      <c r="J4" s="306"/>
      <c r="K4" s="306"/>
      <c r="L4" s="306"/>
    </row>
    <row r="5" spans="1:12" ht="15.75">
      <c r="A5" s="87" t="s">
        <v>449</v>
      </c>
      <c r="G5" s="306" t="s">
        <v>402</v>
      </c>
      <c r="H5" s="306"/>
      <c r="I5" s="306"/>
      <c r="J5" s="306"/>
      <c r="K5" s="306"/>
      <c r="L5" s="306"/>
    </row>
    <row r="7" spans="6:12" ht="12">
      <c r="F7" s="298"/>
      <c r="L7" s="298"/>
    </row>
    <row r="8" spans="4:12" ht="12.75">
      <c r="D8" s="48"/>
      <c r="F8" s="81" t="s">
        <v>149</v>
      </c>
      <c r="J8" s="48"/>
      <c r="L8" s="286" t="s">
        <v>149</v>
      </c>
    </row>
    <row r="9" spans="1:12" ht="60" customHeight="1">
      <c r="A9" s="287" t="s">
        <v>17</v>
      </c>
      <c r="B9" s="288" t="s">
        <v>422</v>
      </c>
      <c r="C9" s="288" t="s">
        <v>62</v>
      </c>
      <c r="D9" s="288" t="s">
        <v>63</v>
      </c>
      <c r="E9" s="288" t="s">
        <v>423</v>
      </c>
      <c r="F9" s="299" t="s">
        <v>450</v>
      </c>
      <c r="G9" s="287" t="s">
        <v>17</v>
      </c>
      <c r="H9" s="288" t="s">
        <v>422</v>
      </c>
      <c r="I9" s="288" t="s">
        <v>62</v>
      </c>
      <c r="J9" s="288" t="s">
        <v>63</v>
      </c>
      <c r="K9" s="288" t="s">
        <v>423</v>
      </c>
      <c r="L9" s="288" t="s">
        <v>450</v>
      </c>
    </row>
    <row r="10" spans="1:12" ht="12" customHeight="1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300">
        <v>6</v>
      </c>
      <c r="G10" s="3">
        <v>1</v>
      </c>
      <c r="H10" s="3">
        <v>2</v>
      </c>
      <c r="I10" s="4">
        <v>3</v>
      </c>
      <c r="J10" s="4">
        <v>4</v>
      </c>
      <c r="K10" s="4">
        <v>5</v>
      </c>
      <c r="L10" s="95">
        <v>6</v>
      </c>
    </row>
    <row r="11" spans="1:12" ht="18" customHeight="1">
      <c r="A11" s="289" t="s">
        <v>281</v>
      </c>
      <c r="B11" s="165"/>
      <c r="C11" s="138">
        <f>SUM(C12:C25)</f>
        <v>828317136</v>
      </c>
      <c r="D11" s="138">
        <f>SUM(D12:D25)</f>
        <v>716216945</v>
      </c>
      <c r="E11" s="290">
        <f>IF(ISERROR(D11/C11)," ",(D11/C11))</f>
        <v>0.8646651311098796</v>
      </c>
      <c r="F11" s="233">
        <f>SUM(F12:F25)</f>
        <v>11051724.569999998</v>
      </c>
      <c r="G11" s="289" t="s">
        <v>281</v>
      </c>
      <c r="H11" s="165"/>
      <c r="I11" s="241">
        <f>SUM(I12:I25)</f>
        <v>828318</v>
      </c>
      <c r="J11" s="241">
        <f>SUM(J12:J25)</f>
        <v>716217</v>
      </c>
      <c r="K11" s="56">
        <f>IF(ISERROR(J11/I11)," ",(J11/I11))</f>
        <v>0.8646642955966187</v>
      </c>
      <c r="L11" s="241">
        <f>SUM(L12:L25)</f>
        <v>11052</v>
      </c>
    </row>
    <row r="12" spans="1:12" ht="18" customHeight="1">
      <c r="A12" s="203" t="s">
        <v>424</v>
      </c>
      <c r="B12" s="292">
        <v>1</v>
      </c>
      <c r="C12" s="293">
        <v>122568</v>
      </c>
      <c r="D12" s="293">
        <v>37916</v>
      </c>
      <c r="E12" s="294">
        <f aca="true" t="shared" si="0" ref="E12:E25">IF(ISERROR(D12/C12)," ",(D12/C12))</f>
        <v>0.3093466483910972</v>
      </c>
      <c r="F12" s="301">
        <f>738126+3644934.16+750818.41+44708.4+16022.23+96081.05+1543.83+21306.11+1780.5</f>
        <v>5315320.690000001</v>
      </c>
      <c r="G12" s="163" t="s">
        <v>424</v>
      </c>
      <c r="H12" s="295">
        <v>1</v>
      </c>
      <c r="I12" s="186">
        <f>ROUND(C12/1000,0)</f>
        <v>123</v>
      </c>
      <c r="J12" s="186">
        <f>ROUND(D12/1000,0)</f>
        <v>38</v>
      </c>
      <c r="K12" s="63">
        <f aca="true" t="shared" si="1" ref="K12:K25">IF(ISERROR(J12/I12)," ",(J12/I12))</f>
        <v>0.3089430894308943</v>
      </c>
      <c r="L12" s="186">
        <f>ROUND(F12/1000,0)</f>
        <v>5315</v>
      </c>
    </row>
    <row r="13" spans="1:12" ht="18.75" customHeight="1">
      <c r="A13" s="65" t="s">
        <v>425</v>
      </c>
      <c r="B13" s="292">
        <v>2</v>
      </c>
      <c r="C13" s="293"/>
      <c r="D13" s="293"/>
      <c r="E13" s="294" t="str">
        <f t="shared" si="0"/>
        <v> </v>
      </c>
      <c r="F13" s="302">
        <v>176100</v>
      </c>
      <c r="G13" s="64" t="s">
        <v>425</v>
      </c>
      <c r="H13" s="295">
        <v>2</v>
      </c>
      <c r="I13" s="186">
        <f aca="true" t="shared" si="2" ref="I13:J25">ROUND(C13/1000,0)</f>
        <v>0</v>
      </c>
      <c r="J13" s="186">
        <f t="shared" si="2"/>
        <v>0</v>
      </c>
      <c r="K13" s="63" t="str">
        <f t="shared" si="1"/>
        <v> </v>
      </c>
      <c r="L13" s="186">
        <f>ROUND(F13/1000,0)</f>
        <v>176</v>
      </c>
    </row>
    <row r="14" spans="1:12" ht="17.25" customHeight="1">
      <c r="A14" s="65" t="s">
        <v>426</v>
      </c>
      <c r="B14" s="292">
        <v>3</v>
      </c>
      <c r="C14" s="293"/>
      <c r="D14" s="293"/>
      <c r="E14" s="294" t="str">
        <f t="shared" si="0"/>
        <v> </v>
      </c>
      <c r="F14" s="302">
        <f>252476+35048.37</f>
        <v>287524.37</v>
      </c>
      <c r="G14" s="64" t="s">
        <v>426</v>
      </c>
      <c r="H14" s="295">
        <v>3</v>
      </c>
      <c r="I14" s="186">
        <f t="shared" si="2"/>
        <v>0</v>
      </c>
      <c r="J14" s="186">
        <f t="shared" si="2"/>
        <v>0</v>
      </c>
      <c r="K14" s="63" t="str">
        <f t="shared" si="1"/>
        <v> </v>
      </c>
      <c r="L14" s="186">
        <f>ROUND(F14/1000,0)</f>
        <v>288</v>
      </c>
    </row>
    <row r="15" spans="1:12" ht="16.5" customHeight="1">
      <c r="A15" s="65" t="s">
        <v>451</v>
      </c>
      <c r="B15" s="292">
        <v>4</v>
      </c>
      <c r="C15" s="293">
        <f>262480+3750750</f>
        <v>4013230</v>
      </c>
      <c r="D15" s="293">
        <f>88386+2557031</f>
        <v>2645417</v>
      </c>
      <c r="E15" s="294">
        <f t="shared" si="0"/>
        <v>0.6591740318895254</v>
      </c>
      <c r="F15" s="302">
        <f>1508974+274378.55</f>
        <v>1783352.55</v>
      </c>
      <c r="G15" s="64" t="s">
        <v>452</v>
      </c>
      <c r="H15" s="295">
        <v>4</v>
      </c>
      <c r="I15" s="186">
        <f t="shared" si="2"/>
        <v>4013</v>
      </c>
      <c r="J15" s="186">
        <f>ROUND(D15/1000,0)</f>
        <v>2645</v>
      </c>
      <c r="K15" s="63">
        <f t="shared" si="1"/>
        <v>0.6591078993271866</v>
      </c>
      <c r="L15" s="186">
        <f>ROUND(F15/1000,0)</f>
        <v>1783</v>
      </c>
    </row>
    <row r="16" spans="1:12" ht="18.75" customHeight="1">
      <c r="A16" s="65" t="s">
        <v>428</v>
      </c>
      <c r="B16" s="292">
        <v>5</v>
      </c>
      <c r="C16" s="293">
        <v>142290807</v>
      </c>
      <c r="D16" s="293">
        <v>123810276</v>
      </c>
      <c r="E16" s="294">
        <f t="shared" si="0"/>
        <v>0.8701213986368073</v>
      </c>
      <c r="F16" s="302">
        <v>263197</v>
      </c>
      <c r="G16" s="64" t="s">
        <v>428</v>
      </c>
      <c r="H16" s="295">
        <v>5</v>
      </c>
      <c r="I16" s="186">
        <f t="shared" si="2"/>
        <v>142291</v>
      </c>
      <c r="J16" s="186">
        <f>ROUND(D16/1000,0)</f>
        <v>123810</v>
      </c>
      <c r="K16" s="63">
        <f t="shared" si="1"/>
        <v>0.8701182787386412</v>
      </c>
      <c r="L16" s="186">
        <f aca="true" t="shared" si="3" ref="L16:L24">ROUND(F16/1000,0)</f>
        <v>263</v>
      </c>
    </row>
    <row r="17" spans="1:12" ht="18" customHeight="1">
      <c r="A17" s="65" t="s">
        <v>429</v>
      </c>
      <c r="B17" s="292">
        <v>6</v>
      </c>
      <c r="C17" s="293">
        <v>523312766</v>
      </c>
      <c r="D17" s="293">
        <v>471252913</v>
      </c>
      <c r="E17" s="294">
        <f t="shared" si="0"/>
        <v>0.9005186642054896</v>
      </c>
      <c r="F17" s="302">
        <f>24558+409485.11</f>
        <v>434043.11</v>
      </c>
      <c r="G17" s="64" t="s">
        <v>429</v>
      </c>
      <c r="H17" s="295">
        <v>6</v>
      </c>
      <c r="I17" s="186">
        <f t="shared" si="2"/>
        <v>523313</v>
      </c>
      <c r="J17" s="186">
        <f t="shared" si="2"/>
        <v>471253</v>
      </c>
      <c r="K17" s="63">
        <f t="shared" si="1"/>
        <v>0.9005184277860477</v>
      </c>
      <c r="L17" s="186">
        <f>ROUND(F17/1000,0)</f>
        <v>434</v>
      </c>
    </row>
    <row r="18" spans="1:12" ht="24" customHeight="1">
      <c r="A18" s="66" t="s">
        <v>430</v>
      </c>
      <c r="B18" s="292">
        <v>7</v>
      </c>
      <c r="C18" s="293">
        <f>1450000+7808770-156250</f>
        <v>9102520</v>
      </c>
      <c r="D18" s="293">
        <f>1410286+6123049</f>
        <v>7533335</v>
      </c>
      <c r="E18" s="294">
        <f t="shared" si="0"/>
        <v>0.8276098267293014</v>
      </c>
      <c r="F18" s="302">
        <f>62234+39582.77</f>
        <v>101816.76999999999</v>
      </c>
      <c r="G18" s="115" t="s">
        <v>430</v>
      </c>
      <c r="H18" s="295">
        <v>7</v>
      </c>
      <c r="I18" s="186">
        <f t="shared" si="2"/>
        <v>9103</v>
      </c>
      <c r="J18" s="186">
        <f t="shared" si="2"/>
        <v>7533</v>
      </c>
      <c r="K18" s="63">
        <f t="shared" si="1"/>
        <v>0.8275293859167308</v>
      </c>
      <c r="L18" s="186">
        <f t="shared" si="3"/>
        <v>102</v>
      </c>
    </row>
    <row r="19" spans="1:12" ht="15.75" customHeight="1">
      <c r="A19" s="65" t="s">
        <v>431</v>
      </c>
      <c r="B19" s="292">
        <v>8</v>
      </c>
      <c r="C19" s="293">
        <f>2032476+105000+156250+2750000</f>
        <v>5043726</v>
      </c>
      <c r="D19" s="293">
        <f>1751831+99899+2550000</f>
        <v>4401730</v>
      </c>
      <c r="E19" s="294">
        <f t="shared" si="0"/>
        <v>0.8727139420341232</v>
      </c>
      <c r="F19" s="302">
        <f>443503+14335.81</f>
        <v>457838.81</v>
      </c>
      <c r="G19" s="64" t="s">
        <v>431</v>
      </c>
      <c r="H19" s="295">
        <v>8</v>
      </c>
      <c r="I19" s="186">
        <f t="shared" si="2"/>
        <v>5044</v>
      </c>
      <c r="J19" s="186">
        <f t="shared" si="2"/>
        <v>4402</v>
      </c>
      <c r="K19" s="63">
        <f t="shared" si="1"/>
        <v>0.8727200634417129</v>
      </c>
      <c r="L19" s="186">
        <f t="shared" si="3"/>
        <v>458</v>
      </c>
    </row>
    <row r="20" spans="1:12" ht="20.25" customHeight="1">
      <c r="A20" s="65" t="s">
        <v>432</v>
      </c>
      <c r="B20" s="292">
        <v>9</v>
      </c>
      <c r="C20" s="293"/>
      <c r="D20" s="293"/>
      <c r="E20" s="294" t="str">
        <f t="shared" si="0"/>
        <v> </v>
      </c>
      <c r="F20" s="302"/>
      <c r="G20" s="64" t="s">
        <v>432</v>
      </c>
      <c r="H20" s="295">
        <v>9</v>
      </c>
      <c r="I20" s="186">
        <f t="shared" si="2"/>
        <v>0</v>
      </c>
      <c r="J20" s="186">
        <f t="shared" si="2"/>
        <v>0</v>
      </c>
      <c r="K20" s="63" t="str">
        <f t="shared" si="1"/>
        <v> </v>
      </c>
      <c r="L20" s="186">
        <f t="shared" si="3"/>
        <v>0</v>
      </c>
    </row>
    <row r="21" spans="1:12" ht="24.75" customHeight="1">
      <c r="A21" s="66" t="s">
        <v>433</v>
      </c>
      <c r="B21" s="292">
        <v>10</v>
      </c>
      <c r="C21" s="293">
        <v>23784500</v>
      </c>
      <c r="D21" s="293">
        <f>604027+18508514</f>
        <v>19112541</v>
      </c>
      <c r="E21" s="294">
        <f t="shared" si="0"/>
        <v>0.8035712754104564</v>
      </c>
      <c r="F21" s="302">
        <f>126097+236476.86</f>
        <v>362573.86</v>
      </c>
      <c r="G21" s="115" t="s">
        <v>433</v>
      </c>
      <c r="H21" s="295">
        <v>10</v>
      </c>
      <c r="I21" s="186">
        <f>ROUND(C21/1000,0)-1</f>
        <v>23784</v>
      </c>
      <c r="J21" s="186">
        <f t="shared" si="2"/>
        <v>19113</v>
      </c>
      <c r="K21" s="63">
        <f t="shared" si="1"/>
        <v>0.8036074672048436</v>
      </c>
      <c r="L21" s="186">
        <f t="shared" si="3"/>
        <v>363</v>
      </c>
    </row>
    <row r="22" spans="1:12" ht="27.75" customHeight="1">
      <c r="A22" s="66" t="s">
        <v>434</v>
      </c>
      <c r="B22" s="292">
        <v>11</v>
      </c>
      <c r="C22" s="293"/>
      <c r="D22" s="293"/>
      <c r="E22" s="294" t="str">
        <f t="shared" si="0"/>
        <v> </v>
      </c>
      <c r="F22" s="302"/>
      <c r="G22" s="115" t="s">
        <v>434</v>
      </c>
      <c r="H22" s="295">
        <v>11</v>
      </c>
      <c r="I22" s="186">
        <f t="shared" si="2"/>
        <v>0</v>
      </c>
      <c r="J22" s="186">
        <f t="shared" si="2"/>
        <v>0</v>
      </c>
      <c r="K22" s="63" t="str">
        <f t="shared" si="1"/>
        <v> </v>
      </c>
      <c r="L22" s="186">
        <f t="shared" si="3"/>
        <v>0</v>
      </c>
    </row>
    <row r="23" spans="1:12" ht="18" customHeight="1">
      <c r="A23" s="65" t="s">
        <v>435</v>
      </c>
      <c r="B23" s="292">
        <v>12</v>
      </c>
      <c r="C23" s="293">
        <f>107841801-2600000</f>
        <v>105241801</v>
      </c>
      <c r="D23" s="293">
        <f>646766+3565458+3262092+73849316-1502806</f>
        <v>79820826</v>
      </c>
      <c r="E23" s="294">
        <f t="shared" si="0"/>
        <v>0.7584517296506547</v>
      </c>
      <c r="F23" s="302">
        <v>1713416.38</v>
      </c>
      <c r="G23" s="64" t="s">
        <v>435</v>
      </c>
      <c r="H23" s="295">
        <v>12</v>
      </c>
      <c r="I23" s="186">
        <f t="shared" si="2"/>
        <v>105242</v>
      </c>
      <c r="J23" s="186">
        <f t="shared" si="2"/>
        <v>79821</v>
      </c>
      <c r="K23" s="63">
        <f t="shared" si="1"/>
        <v>0.7584519488417172</v>
      </c>
      <c r="L23" s="186">
        <f t="shared" si="3"/>
        <v>1713</v>
      </c>
    </row>
    <row r="24" spans="1:12" ht="18.75" customHeight="1">
      <c r="A24" s="65" t="s">
        <v>436</v>
      </c>
      <c r="B24" s="292">
        <v>13</v>
      </c>
      <c r="C24" s="293">
        <v>15405218</v>
      </c>
      <c r="D24" s="293">
        <f>4487354+2246124+666264+143599+58650</f>
        <v>7601991</v>
      </c>
      <c r="E24" s="294">
        <f t="shared" si="0"/>
        <v>0.4934685766861592</v>
      </c>
      <c r="F24" s="302">
        <f>5151+12191.02+140155.01</f>
        <v>157497.03</v>
      </c>
      <c r="G24" s="64" t="s">
        <v>436</v>
      </c>
      <c r="H24" s="295">
        <v>13</v>
      </c>
      <c r="I24" s="186">
        <f t="shared" si="2"/>
        <v>15405</v>
      </c>
      <c r="J24" s="186">
        <f t="shared" si="2"/>
        <v>7602</v>
      </c>
      <c r="K24" s="63">
        <f t="shared" si="1"/>
        <v>0.4934761441090555</v>
      </c>
      <c r="L24" s="186">
        <f t="shared" si="3"/>
        <v>157</v>
      </c>
    </row>
    <row r="25" spans="1:12" ht="24" customHeight="1">
      <c r="A25" s="66" t="s">
        <v>437</v>
      </c>
      <c r="B25" s="292">
        <v>14</v>
      </c>
      <c r="C25" s="293"/>
      <c r="D25" s="293"/>
      <c r="E25" s="294" t="str">
        <f t="shared" si="0"/>
        <v> </v>
      </c>
      <c r="F25" s="302">
        <v>-956</v>
      </c>
      <c r="G25" s="115" t="s">
        <v>437</v>
      </c>
      <c r="H25" s="295">
        <v>14</v>
      </c>
      <c r="I25" s="186">
        <f t="shared" si="2"/>
        <v>0</v>
      </c>
      <c r="J25" s="186">
        <f t="shared" si="2"/>
        <v>0</v>
      </c>
      <c r="K25" s="63" t="str">
        <f t="shared" si="1"/>
        <v> </v>
      </c>
      <c r="L25" s="186">
        <f>ROUND(F25/1000,0)+1</f>
        <v>0</v>
      </c>
    </row>
    <row r="26" spans="2:11" ht="12.75">
      <c r="B26" s="252"/>
      <c r="C26" s="34"/>
      <c r="D26" s="34"/>
      <c r="E26" s="129"/>
      <c r="H26" s="252"/>
      <c r="I26" s="34"/>
      <c r="J26" s="34"/>
      <c r="K26" s="129"/>
    </row>
    <row r="27" spans="1:11" ht="14.25">
      <c r="A27" s="91"/>
      <c r="B27" s="296"/>
      <c r="C27" s="34"/>
      <c r="D27" s="34"/>
      <c r="E27" s="129"/>
      <c r="G27" s="91"/>
      <c r="H27" s="296"/>
      <c r="I27" s="34"/>
      <c r="J27" s="34"/>
      <c r="K27" s="129"/>
    </row>
    <row r="28" spans="1:11" ht="14.25">
      <c r="A28" s="91"/>
      <c r="B28" s="296"/>
      <c r="C28" s="34"/>
      <c r="D28" s="34"/>
      <c r="E28" s="129"/>
      <c r="G28" s="91"/>
      <c r="H28" s="296"/>
      <c r="I28" s="34"/>
      <c r="J28" s="34"/>
      <c r="K28" s="129"/>
    </row>
    <row r="29" spans="1:11" ht="14.25">
      <c r="A29" s="91"/>
      <c r="B29" s="296"/>
      <c r="C29" s="34"/>
      <c r="D29" s="34"/>
      <c r="E29" s="129"/>
      <c r="G29" s="2" t="s">
        <v>453</v>
      </c>
      <c r="H29" s="296"/>
      <c r="I29" s="34"/>
      <c r="J29" s="34"/>
      <c r="K29" s="129"/>
    </row>
    <row r="30" spans="1:11" ht="14.25">
      <c r="A30" s="91"/>
      <c r="B30" s="296"/>
      <c r="C30" s="34"/>
      <c r="D30" s="34"/>
      <c r="E30" s="129"/>
      <c r="G30" s="91"/>
      <c r="H30" s="296"/>
      <c r="I30" s="34"/>
      <c r="J30" s="34"/>
      <c r="K30" s="129"/>
    </row>
    <row r="31" spans="1:11" ht="14.25">
      <c r="A31" s="91"/>
      <c r="B31" s="296"/>
      <c r="C31" s="34"/>
      <c r="D31" s="34"/>
      <c r="E31" s="129"/>
      <c r="G31" s="91"/>
      <c r="H31" s="296"/>
      <c r="I31" s="34"/>
      <c r="J31" s="34"/>
      <c r="K31" s="129"/>
    </row>
    <row r="32" spans="1:11" ht="14.25">
      <c r="A32" s="91"/>
      <c r="B32" s="296"/>
      <c r="C32" s="34"/>
      <c r="D32" s="34"/>
      <c r="E32" s="129"/>
      <c r="G32" s="2" t="s">
        <v>454</v>
      </c>
      <c r="H32" s="252"/>
      <c r="I32" s="131" t="s">
        <v>443</v>
      </c>
      <c r="J32" s="34"/>
      <c r="K32" s="129"/>
    </row>
    <row r="33" spans="1:11" ht="14.25">
      <c r="A33" s="91"/>
      <c r="B33" s="296"/>
      <c r="C33" s="34"/>
      <c r="D33" s="34"/>
      <c r="E33" s="129"/>
      <c r="G33" s="91"/>
      <c r="H33" s="296"/>
      <c r="I33" s="34"/>
      <c r="J33" s="34"/>
      <c r="K33" s="129"/>
    </row>
    <row r="34" spans="1:11" ht="15.75" customHeight="1">
      <c r="A34" s="2" t="s">
        <v>454</v>
      </c>
      <c r="B34" s="252"/>
      <c r="C34" s="131" t="s">
        <v>441</v>
      </c>
      <c r="D34" s="131"/>
      <c r="E34" s="129"/>
      <c r="H34" s="252"/>
      <c r="I34" s="131"/>
      <c r="J34" s="131"/>
      <c r="K34" s="129"/>
    </row>
    <row r="35" spans="2:11" ht="12">
      <c r="B35" s="252"/>
      <c r="C35" s="131"/>
      <c r="D35" s="131"/>
      <c r="E35" s="129"/>
      <c r="H35" s="252"/>
      <c r="I35" s="131"/>
      <c r="J35" s="131"/>
      <c r="K35" s="129"/>
    </row>
    <row r="36" spans="3:11" ht="15.75" customHeight="1">
      <c r="C36" s="131"/>
      <c r="D36" s="131"/>
      <c r="E36" s="297"/>
      <c r="I36" s="131"/>
      <c r="J36" s="131"/>
      <c r="K36" s="297"/>
    </row>
    <row r="37" spans="3:11" ht="12.75">
      <c r="C37" s="34"/>
      <c r="D37" s="34"/>
      <c r="E37" s="129"/>
      <c r="I37" s="34"/>
      <c r="J37" s="34"/>
      <c r="K37" s="129"/>
    </row>
    <row r="38" spans="3:11" ht="12.75">
      <c r="C38" s="34"/>
      <c r="D38" s="34"/>
      <c r="E38" s="129"/>
      <c r="I38" s="34"/>
      <c r="J38" s="34"/>
      <c r="K38" s="129"/>
    </row>
    <row r="39" spans="3:11" ht="12.75">
      <c r="C39" s="34"/>
      <c r="D39" s="34"/>
      <c r="E39" s="129"/>
      <c r="I39" s="34"/>
      <c r="J39" s="34"/>
      <c r="K39" s="129"/>
    </row>
    <row r="40" spans="1:11" ht="12.75">
      <c r="A40" s="2" t="s">
        <v>444</v>
      </c>
      <c r="C40" s="34"/>
      <c r="D40" s="34"/>
      <c r="E40" s="129"/>
      <c r="I40" s="34"/>
      <c r="J40" s="34"/>
      <c r="K40" s="129"/>
    </row>
    <row r="41" spans="1:11" ht="12.75">
      <c r="A41" s="2" t="s">
        <v>401</v>
      </c>
      <c r="C41" s="34"/>
      <c r="D41" s="34"/>
      <c r="E41" s="129"/>
      <c r="I41" s="34"/>
      <c r="J41" s="34"/>
      <c r="K41" s="129"/>
    </row>
    <row r="42" spans="3:11" ht="12.75">
      <c r="C42" s="34"/>
      <c r="D42" s="34"/>
      <c r="E42" s="129"/>
      <c r="G42" s="2" t="s">
        <v>444</v>
      </c>
      <c r="I42" s="34"/>
      <c r="J42" s="34"/>
      <c r="K42" s="129"/>
    </row>
    <row r="43" spans="3:11" ht="12.75">
      <c r="C43" s="34"/>
      <c r="D43" s="34"/>
      <c r="E43" s="129"/>
      <c r="G43" s="2" t="s">
        <v>401</v>
      </c>
      <c r="I43" s="34"/>
      <c r="J43" s="34"/>
      <c r="K43" s="129"/>
    </row>
    <row r="44" spans="3:11" ht="12.75">
      <c r="C44" s="34"/>
      <c r="D44" s="34"/>
      <c r="E44" s="129"/>
      <c r="I44" s="34"/>
      <c r="J44" s="34"/>
      <c r="K44" s="129"/>
    </row>
    <row r="45" spans="1:11" ht="14.25">
      <c r="A45" s="91"/>
      <c r="B45" s="91"/>
      <c r="C45" s="34"/>
      <c r="D45" s="34"/>
      <c r="E45" s="129"/>
      <c r="G45" s="91"/>
      <c r="H45" s="91"/>
      <c r="I45" s="34"/>
      <c r="J45" s="34"/>
      <c r="K45" s="129"/>
    </row>
    <row r="46" spans="3:11" ht="12.75">
      <c r="C46" s="34"/>
      <c r="D46" s="34"/>
      <c r="E46" s="129"/>
      <c r="I46" s="34"/>
      <c r="J46" s="34"/>
      <c r="K46" s="129"/>
    </row>
    <row r="47" spans="3:11" ht="12.75">
      <c r="C47" s="34"/>
      <c r="D47" s="34"/>
      <c r="E47" s="129"/>
      <c r="I47" s="34"/>
      <c r="J47" s="34"/>
      <c r="K47" s="129"/>
    </row>
    <row r="48" spans="3:11" ht="12.75">
      <c r="C48" s="34"/>
      <c r="D48" s="34"/>
      <c r="E48" s="129"/>
      <c r="I48" s="34"/>
      <c r="J48" s="34"/>
      <c r="K48" s="129"/>
    </row>
    <row r="49" spans="3:11" ht="12.75">
      <c r="C49" s="34"/>
      <c r="D49" s="34"/>
      <c r="E49" s="129"/>
      <c r="I49" s="34"/>
      <c r="J49" s="34"/>
      <c r="K49" s="129"/>
    </row>
    <row r="50" spans="3:11" ht="12.75">
      <c r="C50" s="34"/>
      <c r="D50" s="34"/>
      <c r="E50" s="129"/>
      <c r="I50" s="34"/>
      <c r="J50" s="34"/>
      <c r="K50" s="129"/>
    </row>
    <row r="51" spans="3:11" ht="12.75">
      <c r="C51" s="131"/>
      <c r="D51" s="34"/>
      <c r="E51" s="129"/>
      <c r="I51" s="131"/>
      <c r="J51" s="34"/>
      <c r="K51" s="129"/>
    </row>
    <row r="52" spans="3:11" ht="12.75">
      <c r="C52" s="131"/>
      <c r="D52" s="34"/>
      <c r="E52" s="129"/>
      <c r="I52" s="131"/>
      <c r="J52" s="34"/>
      <c r="K52" s="129"/>
    </row>
    <row r="53" spans="3:11" ht="12.75">
      <c r="C53" s="131"/>
      <c r="D53" s="34"/>
      <c r="E53" s="129"/>
      <c r="I53" s="131"/>
      <c r="J53" s="34"/>
      <c r="K53" s="129"/>
    </row>
    <row r="54" spans="3:11" ht="12.75">
      <c r="C54" s="131"/>
      <c r="D54" s="48"/>
      <c r="E54" s="129"/>
      <c r="I54" s="131"/>
      <c r="J54" s="48"/>
      <c r="K54" s="129"/>
    </row>
    <row r="55" spans="3:11" ht="12.75">
      <c r="C55" s="131"/>
      <c r="D55" s="48"/>
      <c r="E55" s="129"/>
      <c r="I55" s="131"/>
      <c r="J55" s="48"/>
      <c r="K55" s="129"/>
    </row>
    <row r="56" spans="3:11" ht="12.75">
      <c r="C56" s="131"/>
      <c r="D56" s="48"/>
      <c r="E56" s="129"/>
      <c r="I56" s="131"/>
      <c r="J56" s="48"/>
      <c r="K56" s="129"/>
    </row>
    <row r="57" spans="3:11" ht="12.75">
      <c r="C57" s="131"/>
      <c r="D57" s="48"/>
      <c r="E57" s="129"/>
      <c r="I57" s="131"/>
      <c r="J57" s="48"/>
      <c r="K57" s="129"/>
    </row>
    <row r="58" spans="3:11" ht="12.75">
      <c r="C58" s="131"/>
      <c r="D58" s="48"/>
      <c r="E58" s="129"/>
      <c r="I58" s="131"/>
      <c r="J58" s="48"/>
      <c r="K58" s="129"/>
    </row>
    <row r="59" spans="3:11" ht="12.75">
      <c r="C59" s="131"/>
      <c r="D59" s="48"/>
      <c r="E59" s="129"/>
      <c r="I59" s="131"/>
      <c r="J59" s="48"/>
      <c r="K59" s="129"/>
    </row>
    <row r="60" spans="3:11" ht="12.75">
      <c r="C60" s="131"/>
      <c r="D60" s="48"/>
      <c r="E60" s="129"/>
      <c r="I60" s="131"/>
      <c r="J60" s="48"/>
      <c r="K60" s="129"/>
    </row>
    <row r="61" spans="3:11" ht="12.75">
      <c r="C61" s="131"/>
      <c r="D61" s="48"/>
      <c r="E61" s="129"/>
      <c r="I61" s="131"/>
      <c r="J61" s="48"/>
      <c r="K61" s="129"/>
    </row>
    <row r="62" spans="3:11" ht="12.75">
      <c r="C62" s="131"/>
      <c r="D62" s="48"/>
      <c r="E62" s="129"/>
      <c r="I62" s="131"/>
      <c r="J62" s="48"/>
      <c r="K62" s="129"/>
    </row>
    <row r="63" spans="3:11" ht="12.75">
      <c r="C63" s="131"/>
      <c r="D63" s="48"/>
      <c r="E63" s="129"/>
      <c r="I63" s="131"/>
      <c r="J63" s="48"/>
      <c r="K63" s="129"/>
    </row>
    <row r="64" spans="3:11" ht="12.75">
      <c r="C64" s="131"/>
      <c r="D64" s="48"/>
      <c r="E64" s="129"/>
      <c r="I64" s="131"/>
      <c r="J64" s="48"/>
      <c r="K64" s="129"/>
    </row>
    <row r="65" spans="3:11" ht="12.75">
      <c r="C65" s="131"/>
      <c r="D65" s="48"/>
      <c r="E65" s="129"/>
      <c r="I65" s="131"/>
      <c r="J65" s="48"/>
      <c r="K65" s="129"/>
    </row>
    <row r="66" spans="3:11" ht="12.75">
      <c r="C66" s="131"/>
      <c r="D66" s="48"/>
      <c r="E66" s="129"/>
      <c r="I66" s="131"/>
      <c r="J66" s="48"/>
      <c r="K66" s="129"/>
    </row>
    <row r="67" spans="3:11" ht="12.75">
      <c r="C67" s="131"/>
      <c r="D67" s="48"/>
      <c r="E67" s="129"/>
      <c r="I67" s="131"/>
      <c r="J67" s="48"/>
      <c r="K67" s="129"/>
    </row>
    <row r="68" spans="3:11" ht="12.75">
      <c r="C68" s="131"/>
      <c r="D68" s="48"/>
      <c r="E68" s="129"/>
      <c r="I68" s="131"/>
      <c r="J68" s="48"/>
      <c r="K68" s="129"/>
    </row>
    <row r="69" spans="3:11" ht="12.75">
      <c r="C69" s="131"/>
      <c r="D69" s="48"/>
      <c r="E69" s="129"/>
      <c r="I69" s="131"/>
      <c r="J69" s="48"/>
      <c r="K69" s="129"/>
    </row>
    <row r="70" spans="3:11" ht="12.75">
      <c r="C70" s="131"/>
      <c r="D70" s="48"/>
      <c r="E70" s="129"/>
      <c r="I70" s="131"/>
      <c r="J70" s="48"/>
      <c r="K70" s="129"/>
    </row>
    <row r="71" spans="3:11" ht="12.75">
      <c r="C71" s="131"/>
      <c r="D71" s="48"/>
      <c r="E71" s="129"/>
      <c r="I71" s="131"/>
      <c r="J71" s="48"/>
      <c r="K71" s="129"/>
    </row>
    <row r="72" spans="3:11" ht="12.75">
      <c r="C72" s="131"/>
      <c r="D72" s="48"/>
      <c r="E72" s="129"/>
      <c r="I72" s="131"/>
      <c r="J72" s="48"/>
      <c r="K72" s="129"/>
    </row>
    <row r="73" spans="3:11" ht="12.75">
      <c r="C73" s="131"/>
      <c r="D73" s="48"/>
      <c r="E73" s="129"/>
      <c r="I73" s="131"/>
      <c r="J73" s="48"/>
      <c r="K73" s="129"/>
    </row>
    <row r="74" spans="3:11" ht="12">
      <c r="C74" s="131"/>
      <c r="E74" s="129"/>
      <c r="I74" s="131"/>
      <c r="K74" s="129"/>
    </row>
    <row r="75" spans="3:11" ht="12">
      <c r="C75" s="131"/>
      <c r="E75" s="129"/>
      <c r="I75" s="131"/>
      <c r="K75" s="129"/>
    </row>
    <row r="76" spans="3:11" ht="12">
      <c r="C76" s="131"/>
      <c r="E76" s="129"/>
      <c r="I76" s="131"/>
      <c r="K76" s="129"/>
    </row>
    <row r="77" spans="3:11" ht="12">
      <c r="C77" s="131"/>
      <c r="E77" s="129"/>
      <c r="I77" s="131"/>
      <c r="K77" s="129"/>
    </row>
    <row r="78" spans="3:11" ht="12">
      <c r="C78" s="131"/>
      <c r="E78" s="129"/>
      <c r="I78" s="131"/>
      <c r="K78" s="129"/>
    </row>
    <row r="79" spans="3:11" ht="12">
      <c r="C79" s="131"/>
      <c r="E79" s="129"/>
      <c r="I79" s="131"/>
      <c r="K79" s="129"/>
    </row>
    <row r="80" spans="3:11" ht="12">
      <c r="C80" s="131"/>
      <c r="E80" s="129"/>
      <c r="I80" s="131"/>
      <c r="K80" s="129"/>
    </row>
    <row r="81" spans="2:10" ht="12">
      <c r="B81" s="131"/>
      <c r="D81" s="129"/>
      <c r="H81" s="131"/>
      <c r="J81" s="129"/>
    </row>
    <row r="82" spans="2:10" ht="12">
      <c r="B82" s="131"/>
      <c r="D82" s="129"/>
      <c r="H82" s="131"/>
      <c r="J82" s="129"/>
    </row>
    <row r="83" spans="2:10" ht="12">
      <c r="B83" s="131"/>
      <c r="D83" s="129"/>
      <c r="H83" s="131"/>
      <c r="J83" s="129"/>
    </row>
    <row r="84" spans="2:10" ht="12">
      <c r="B84" s="131"/>
      <c r="D84" s="129"/>
      <c r="H84" s="131"/>
      <c r="J84" s="129"/>
    </row>
    <row r="85" spans="2:10" ht="12">
      <c r="B85" s="131"/>
      <c r="D85" s="129"/>
      <c r="H85" s="131"/>
      <c r="J85" s="129"/>
    </row>
    <row r="86" spans="2:10" ht="12">
      <c r="B86" s="131"/>
      <c r="D86" s="129"/>
      <c r="H86" s="131"/>
      <c r="J86" s="129"/>
    </row>
    <row r="87" spans="2:10" ht="12">
      <c r="B87" s="131"/>
      <c r="D87" s="129"/>
      <c r="H87" s="131"/>
      <c r="J87" s="129"/>
    </row>
    <row r="88" spans="2:10" ht="12">
      <c r="B88" s="131"/>
      <c r="D88" s="129"/>
      <c r="H88" s="131"/>
      <c r="J88" s="129"/>
    </row>
    <row r="89" spans="2:10" ht="12">
      <c r="B89" s="131"/>
      <c r="D89" s="129"/>
      <c r="H89" s="131"/>
      <c r="J89" s="129"/>
    </row>
    <row r="90" spans="2:10" ht="12">
      <c r="B90" s="131"/>
      <c r="D90" s="129"/>
      <c r="H90" s="131"/>
      <c r="J90" s="129"/>
    </row>
    <row r="91" spans="2:10" ht="12">
      <c r="B91" s="131"/>
      <c r="D91" s="129"/>
      <c r="H91" s="131"/>
      <c r="J91" s="129"/>
    </row>
    <row r="92" spans="2:10" ht="12">
      <c r="B92" s="131"/>
      <c r="D92" s="129"/>
      <c r="H92" s="131"/>
      <c r="J92" s="129"/>
    </row>
    <row r="93" spans="2:10" ht="12">
      <c r="B93" s="131"/>
      <c r="D93" s="129"/>
      <c r="H93" s="131"/>
      <c r="J93" s="129"/>
    </row>
    <row r="94" spans="2:10" ht="12">
      <c r="B94" s="131"/>
      <c r="D94" s="129"/>
      <c r="H94" s="131"/>
      <c r="J94" s="129"/>
    </row>
    <row r="95" spans="2:10" ht="12">
      <c r="B95" s="131"/>
      <c r="D95" s="129"/>
      <c r="H95" s="131"/>
      <c r="J95" s="129"/>
    </row>
    <row r="96" spans="2:10" ht="12">
      <c r="B96" s="131"/>
      <c r="D96" s="129"/>
      <c r="H96" s="131"/>
      <c r="J96" s="129"/>
    </row>
    <row r="97" spans="2:10" ht="12">
      <c r="B97" s="131"/>
      <c r="D97" s="129"/>
      <c r="H97" s="131"/>
      <c r="J97" s="129"/>
    </row>
    <row r="98" spans="2:10" ht="12">
      <c r="B98" s="131"/>
      <c r="D98" s="129"/>
      <c r="H98" s="131"/>
      <c r="J98" s="129"/>
    </row>
    <row r="99" spans="2:10" ht="12">
      <c r="B99" s="131"/>
      <c r="D99" s="129"/>
      <c r="H99" s="131"/>
      <c r="J99" s="129"/>
    </row>
    <row r="100" spans="2:10" ht="12">
      <c r="B100" s="131"/>
      <c r="D100" s="129"/>
      <c r="H100" s="131"/>
      <c r="J100" s="129"/>
    </row>
    <row r="101" spans="2:8" ht="12">
      <c r="B101" s="131"/>
      <c r="H101" s="131"/>
    </row>
    <row r="102" spans="2:8" ht="12">
      <c r="B102" s="131"/>
      <c r="H102" s="131"/>
    </row>
    <row r="103" spans="2:8" ht="12">
      <c r="B103" s="131"/>
      <c r="H103" s="131"/>
    </row>
    <row r="104" spans="2:8" ht="12">
      <c r="B104" s="131"/>
      <c r="H104" s="131"/>
    </row>
    <row r="105" spans="2:8" ht="12">
      <c r="B105" s="131"/>
      <c r="H105" s="131"/>
    </row>
    <row r="106" spans="2:8" ht="12">
      <c r="B106" s="131"/>
      <c r="H106" s="131"/>
    </row>
    <row r="107" spans="2:8" ht="12">
      <c r="B107" s="131"/>
      <c r="H107" s="131"/>
    </row>
    <row r="108" spans="2:8" ht="12">
      <c r="B108" s="131"/>
      <c r="H108" s="131"/>
    </row>
    <row r="109" spans="2:8" ht="12">
      <c r="B109" s="131"/>
      <c r="H109" s="131"/>
    </row>
    <row r="236" spans="1:12" ht="12">
      <c r="A236" s="303"/>
      <c r="B236" s="303"/>
      <c r="C236" s="303"/>
      <c r="D236" s="303"/>
      <c r="E236" s="303"/>
      <c r="F236" s="303"/>
      <c r="G236" s="303"/>
      <c r="H236" s="303"/>
      <c r="I236" s="303"/>
      <c r="J236" s="303"/>
      <c r="K236" s="303"/>
      <c r="L236" s="303"/>
    </row>
    <row r="237" spans="1:12" ht="12">
      <c r="A237" s="303"/>
      <c r="B237" s="303"/>
      <c r="C237" s="303"/>
      <c r="D237" s="303"/>
      <c r="E237" s="303"/>
      <c r="F237" s="303"/>
      <c r="G237" s="303"/>
      <c r="H237" s="303"/>
      <c r="I237" s="303"/>
      <c r="J237" s="303"/>
      <c r="K237" s="303"/>
      <c r="L237" s="303"/>
    </row>
    <row r="238" spans="1:12" ht="12">
      <c r="A238" s="303"/>
      <c r="B238" s="303"/>
      <c r="C238" s="303"/>
      <c r="D238" s="303"/>
      <c r="E238" s="303"/>
      <c r="F238" s="303"/>
      <c r="G238" s="303"/>
      <c r="H238" s="303"/>
      <c r="I238" s="303"/>
      <c r="J238" s="303"/>
      <c r="K238" s="303"/>
      <c r="L238" s="303"/>
    </row>
    <row r="239" spans="1:12" ht="12">
      <c r="A239" s="303"/>
      <c r="B239" s="303"/>
      <c r="C239" s="303"/>
      <c r="D239" s="303"/>
      <c r="E239" s="303"/>
      <c r="F239" s="303"/>
      <c r="G239" s="303"/>
      <c r="H239" s="303"/>
      <c r="I239" s="303"/>
      <c r="J239" s="303"/>
      <c r="K239" s="303"/>
      <c r="L239" s="303"/>
    </row>
    <row r="240" spans="1:12" ht="12">
      <c r="A240" s="303"/>
      <c r="B240" s="303"/>
      <c r="C240" s="303"/>
      <c r="D240" s="303"/>
      <c r="E240" s="303"/>
      <c r="F240" s="303"/>
      <c r="G240" s="303"/>
      <c r="H240" s="303"/>
      <c r="I240" s="303"/>
      <c r="J240" s="303"/>
      <c r="K240" s="303"/>
      <c r="L240" s="303"/>
    </row>
    <row r="241" spans="1:12" ht="12">
      <c r="A241" s="303"/>
      <c r="B241" s="303"/>
      <c r="C241" s="303"/>
      <c r="D241" s="303"/>
      <c r="E241" s="303"/>
      <c r="F241" s="303"/>
      <c r="G241" s="303"/>
      <c r="H241" s="303"/>
      <c r="I241" s="303"/>
      <c r="J241" s="303"/>
      <c r="K241" s="303"/>
      <c r="L241" s="303"/>
    </row>
    <row r="242" spans="1:12" ht="12">
      <c r="A242" s="303"/>
      <c r="B242" s="303"/>
      <c r="C242" s="303"/>
      <c r="D242" s="303"/>
      <c r="E242" s="303"/>
      <c r="F242" s="303"/>
      <c r="G242" s="303"/>
      <c r="H242" s="303"/>
      <c r="I242" s="303"/>
      <c r="J242" s="303"/>
      <c r="K242" s="303"/>
      <c r="L242" s="303"/>
    </row>
    <row r="243" spans="1:12" ht="12">
      <c r="A243" s="303"/>
      <c r="B243" s="303"/>
      <c r="C243" s="303"/>
      <c r="D243" s="303"/>
      <c r="E243" s="303"/>
      <c r="F243" s="303"/>
      <c r="G243" s="303"/>
      <c r="H243" s="303"/>
      <c r="I243" s="303"/>
      <c r="J243" s="303"/>
      <c r="K243" s="303"/>
      <c r="L243" s="303"/>
    </row>
    <row r="244" spans="1:12" ht="12">
      <c r="A244" s="303"/>
      <c r="B244" s="303"/>
      <c r="C244" s="303"/>
      <c r="D244" s="303"/>
      <c r="E244" s="303"/>
      <c r="F244" s="303"/>
      <c r="G244" s="303"/>
      <c r="H244" s="303"/>
      <c r="I244" s="303"/>
      <c r="J244" s="303"/>
      <c r="K244" s="303"/>
      <c r="L244" s="303"/>
    </row>
    <row r="245" spans="1:12" ht="12">
      <c r="A245" s="303"/>
      <c r="B245" s="303"/>
      <c r="C245" s="303"/>
      <c r="D245" s="303"/>
      <c r="E245" s="303"/>
      <c r="F245" s="303"/>
      <c r="G245" s="303"/>
      <c r="H245" s="303"/>
      <c r="I245" s="303"/>
      <c r="J245" s="303"/>
      <c r="K245" s="303"/>
      <c r="L245" s="303"/>
    </row>
    <row r="246" spans="1:12" ht="12">
      <c r="A246" s="303"/>
      <c r="B246" s="303"/>
      <c r="C246" s="303"/>
      <c r="D246" s="303"/>
      <c r="E246" s="303"/>
      <c r="F246" s="303"/>
      <c r="G246" s="303"/>
      <c r="H246" s="303"/>
      <c r="I246" s="303"/>
      <c r="J246" s="303"/>
      <c r="K246" s="303"/>
      <c r="L246" s="303"/>
    </row>
    <row r="247" spans="1:12" ht="12">
      <c r="A247" s="303"/>
      <c r="B247" s="303"/>
      <c r="C247" s="303"/>
      <c r="D247" s="303"/>
      <c r="E247" s="303"/>
      <c r="F247" s="303"/>
      <c r="G247" s="303"/>
      <c r="H247" s="303"/>
      <c r="I247" s="303"/>
      <c r="J247" s="303"/>
      <c r="K247" s="303"/>
      <c r="L247" s="303"/>
    </row>
    <row r="248" spans="1:12" ht="12">
      <c r="A248" s="303"/>
      <c r="B248" s="303"/>
      <c r="C248" s="303"/>
      <c r="D248" s="303"/>
      <c r="E248" s="303"/>
      <c r="F248" s="303"/>
      <c r="G248" s="303"/>
      <c r="H248" s="303"/>
      <c r="I248" s="303"/>
      <c r="J248" s="303"/>
      <c r="K248" s="303"/>
      <c r="L248" s="303"/>
    </row>
    <row r="249" spans="1:12" ht="12">
      <c r="A249" s="303"/>
      <c r="B249" s="303"/>
      <c r="C249" s="303"/>
      <c r="D249" s="303"/>
      <c r="E249" s="303"/>
      <c r="F249" s="303"/>
      <c r="G249" s="303"/>
      <c r="H249" s="303"/>
      <c r="I249" s="303"/>
      <c r="J249" s="303"/>
      <c r="K249" s="303"/>
      <c r="L249" s="303"/>
    </row>
    <row r="250" spans="1:12" ht="12">
      <c r="A250" s="303"/>
      <c r="B250" s="303"/>
      <c r="C250" s="303"/>
      <c r="D250" s="303"/>
      <c r="E250" s="303"/>
      <c r="F250" s="303"/>
      <c r="G250" s="303"/>
      <c r="H250" s="303"/>
      <c r="I250" s="303"/>
      <c r="J250" s="303"/>
      <c r="K250" s="303"/>
      <c r="L250" s="303"/>
    </row>
    <row r="251" spans="1:12" ht="12">
      <c r="A251" s="303"/>
      <c r="B251" s="303"/>
      <c r="C251" s="303"/>
      <c r="D251" s="303"/>
      <c r="E251" s="303"/>
      <c r="F251" s="303"/>
      <c r="G251" s="303"/>
      <c r="H251" s="303"/>
      <c r="I251" s="303"/>
      <c r="J251" s="303"/>
      <c r="K251" s="303"/>
      <c r="L251" s="303"/>
    </row>
    <row r="252" spans="1:12" ht="12">
      <c r="A252" s="303"/>
      <c r="B252" s="303"/>
      <c r="C252" s="303"/>
      <c r="D252" s="303"/>
      <c r="E252" s="303"/>
      <c r="F252" s="303"/>
      <c r="G252" s="303"/>
      <c r="H252" s="303"/>
      <c r="I252" s="303"/>
      <c r="J252" s="303"/>
      <c r="K252" s="303"/>
      <c r="L252" s="303"/>
    </row>
    <row r="253" spans="1:12" ht="12">
      <c r="A253" s="303"/>
      <c r="B253" s="303"/>
      <c r="C253" s="303"/>
      <c r="D253" s="303"/>
      <c r="E253" s="303"/>
      <c r="F253" s="303"/>
      <c r="G253" s="303"/>
      <c r="H253" s="303"/>
      <c r="I253" s="303"/>
      <c r="J253" s="303"/>
      <c r="K253" s="303"/>
      <c r="L253" s="303"/>
    </row>
    <row r="254" spans="1:12" ht="12">
      <c r="A254" s="303"/>
      <c r="B254" s="303"/>
      <c r="C254" s="303"/>
      <c r="D254" s="303"/>
      <c r="E254" s="303"/>
      <c r="F254" s="303"/>
      <c r="G254" s="303"/>
      <c r="H254" s="303"/>
      <c r="I254" s="303"/>
      <c r="J254" s="303"/>
      <c r="K254" s="303"/>
      <c r="L254" s="303"/>
    </row>
    <row r="255" spans="1:12" ht="12">
      <c r="A255" s="303"/>
      <c r="B255" s="303"/>
      <c r="C255" s="303"/>
      <c r="D255" s="303"/>
      <c r="E255" s="303"/>
      <c r="F255" s="303"/>
      <c r="G255" s="303"/>
      <c r="H255" s="303"/>
      <c r="I255" s="303"/>
      <c r="J255" s="303"/>
      <c r="K255" s="303"/>
      <c r="L255" s="303"/>
    </row>
    <row r="256" spans="1:12" ht="12">
      <c r="A256" s="303"/>
      <c r="B256" s="303"/>
      <c r="C256" s="303"/>
      <c r="D256" s="303"/>
      <c r="E256" s="303"/>
      <c r="F256" s="303"/>
      <c r="G256" s="303"/>
      <c r="H256" s="303"/>
      <c r="I256" s="303"/>
      <c r="J256" s="303"/>
      <c r="K256" s="303"/>
      <c r="L256" s="303"/>
    </row>
    <row r="257" spans="1:12" ht="12">
      <c r="A257" s="303"/>
      <c r="B257" s="303"/>
      <c r="C257" s="303"/>
      <c r="D257" s="303"/>
      <c r="E257" s="303"/>
      <c r="F257" s="303"/>
      <c r="G257" s="303"/>
      <c r="H257" s="303"/>
      <c r="I257" s="303"/>
      <c r="J257" s="303"/>
      <c r="K257" s="303"/>
      <c r="L257" s="303"/>
    </row>
    <row r="258" spans="1:12" ht="12">
      <c r="A258" s="303"/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</row>
    <row r="259" spans="1:12" ht="12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</row>
    <row r="260" spans="1:12" ht="12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</row>
    <row r="261" spans="1:12" ht="12">
      <c r="A261" s="303"/>
      <c r="B261" s="303"/>
      <c r="C261" s="303"/>
      <c r="D261" s="303"/>
      <c r="E261" s="303"/>
      <c r="F261" s="303"/>
      <c r="G261" s="303"/>
      <c r="H261" s="303"/>
      <c r="I261" s="303"/>
      <c r="J261" s="303"/>
      <c r="K261" s="303"/>
      <c r="L261" s="303"/>
    </row>
    <row r="262" spans="1:12" ht="12">
      <c r="A262" s="303"/>
      <c r="B262" s="303"/>
      <c r="C262" s="303"/>
      <c r="D262" s="303"/>
      <c r="E262" s="303"/>
      <c r="F262" s="303"/>
      <c r="G262" s="303"/>
      <c r="H262" s="303"/>
      <c r="I262" s="303"/>
      <c r="J262" s="303"/>
      <c r="K262" s="303"/>
      <c r="L262" s="303"/>
    </row>
  </sheetData>
  <mergeCells count="2">
    <mergeCell ref="G4:L4"/>
    <mergeCell ref="G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 topLeftCell="A1">
      <selection activeCell="E13" sqref="E13"/>
    </sheetView>
  </sheetViews>
  <sheetFormatPr defaultColWidth="9.140625" defaultRowHeight="12.75"/>
  <cols>
    <col min="1" max="1" width="58.57421875" style="309" customWidth="1"/>
    <col min="2" max="2" width="9.8515625" style="309" customWidth="1"/>
    <col min="3" max="3" width="11.00390625" style="309" customWidth="1"/>
    <col min="4" max="4" width="10.421875" style="309" customWidth="1"/>
    <col min="5" max="5" width="11.140625" style="309" customWidth="1"/>
    <col min="6" max="16384" width="8.00390625" style="309" customWidth="1"/>
  </cols>
  <sheetData>
    <row r="1" spans="1:5" ht="12.75">
      <c r="A1" s="307" t="s">
        <v>59</v>
      </c>
      <c r="B1" s="307"/>
      <c r="C1" s="307"/>
      <c r="D1" s="307"/>
      <c r="E1" s="308" t="s">
        <v>455</v>
      </c>
    </row>
    <row r="2" spans="1:5" ht="12.75">
      <c r="A2" s="310"/>
      <c r="B2" s="310"/>
      <c r="C2" s="310"/>
      <c r="D2" s="310"/>
      <c r="E2" s="310"/>
    </row>
    <row r="3" spans="1:5" ht="18">
      <c r="A3" s="311" t="s">
        <v>456</v>
      </c>
      <c r="B3" s="312"/>
      <c r="C3" s="307"/>
      <c r="D3" s="307"/>
      <c r="E3" s="307"/>
    </row>
    <row r="4" spans="1:5" ht="18">
      <c r="A4" s="311" t="s">
        <v>457</v>
      </c>
      <c r="B4" s="312"/>
      <c r="C4" s="307"/>
      <c r="D4" s="307"/>
      <c r="E4" s="307"/>
    </row>
    <row r="5" spans="1:5" ht="18">
      <c r="A5" s="312"/>
      <c r="B5" s="312"/>
      <c r="C5" s="307"/>
      <c r="D5" s="313"/>
      <c r="E5" s="313" t="s">
        <v>61</v>
      </c>
    </row>
    <row r="6" spans="1:5" ht="35.25" customHeight="1">
      <c r="A6" s="314" t="s">
        <v>17</v>
      </c>
      <c r="B6" s="314" t="s">
        <v>458</v>
      </c>
      <c r="C6" s="314" t="s">
        <v>63</v>
      </c>
      <c r="D6" s="314" t="s">
        <v>64</v>
      </c>
      <c r="E6" s="314" t="s">
        <v>387</v>
      </c>
    </row>
    <row r="7" spans="1:5" s="315" customFormat="1" ht="12.75" customHeight="1">
      <c r="A7" s="314">
        <v>1</v>
      </c>
      <c r="B7" s="314">
        <v>2</v>
      </c>
      <c r="C7" s="314">
        <v>3</v>
      </c>
      <c r="D7" s="314">
        <v>4</v>
      </c>
      <c r="E7" s="314">
        <v>5</v>
      </c>
    </row>
    <row r="8" spans="1:5" ht="16.5" customHeight="1">
      <c r="A8" s="316" t="s">
        <v>459</v>
      </c>
      <c r="B8" s="317">
        <f>B16+B20</f>
        <v>409077</v>
      </c>
      <c r="C8" s="317">
        <f>C16+C20</f>
        <v>372647</v>
      </c>
      <c r="D8" s="318">
        <f aca="true" t="shared" si="0" ref="D8:D24">C8/B8*100</f>
        <v>91.09</v>
      </c>
      <c r="E8" s="317">
        <f>E16+E20</f>
        <v>33937</v>
      </c>
    </row>
    <row r="9" spans="1:5" ht="12">
      <c r="A9" s="319" t="s">
        <v>460</v>
      </c>
      <c r="B9" s="317">
        <f>SUM(B10:B13)</f>
        <v>394763</v>
      </c>
      <c r="C9" s="317">
        <f>SUM(C10:C13)</f>
        <v>359926</v>
      </c>
      <c r="D9" s="318">
        <f t="shared" si="0"/>
        <v>91.18</v>
      </c>
      <c r="E9" s="317">
        <f>SUM(E10:E13)</f>
        <v>33297</v>
      </c>
    </row>
    <row r="10" spans="1:5" ht="12">
      <c r="A10" s="319" t="s">
        <v>461</v>
      </c>
      <c r="B10" s="317">
        <v>220283</v>
      </c>
      <c r="C10" s="317">
        <v>200358</v>
      </c>
      <c r="D10" s="318">
        <f t="shared" si="0"/>
        <v>90.95</v>
      </c>
      <c r="E10" s="317">
        <v>18140</v>
      </c>
    </row>
    <row r="11" spans="1:5" ht="12">
      <c r="A11" s="319" t="s">
        <v>462</v>
      </c>
      <c r="B11" s="317">
        <v>18453</v>
      </c>
      <c r="C11" s="317">
        <v>16158</v>
      </c>
      <c r="D11" s="318">
        <f t="shared" si="0"/>
        <v>87.56</v>
      </c>
      <c r="E11" s="317">
        <v>1576</v>
      </c>
    </row>
    <row r="12" spans="1:5" ht="12">
      <c r="A12" s="319" t="s">
        <v>463</v>
      </c>
      <c r="B12" s="317">
        <v>25648</v>
      </c>
      <c r="C12" s="317">
        <v>23469</v>
      </c>
      <c r="D12" s="318">
        <f t="shared" si="0"/>
        <v>91.5</v>
      </c>
      <c r="E12" s="317">
        <v>2358</v>
      </c>
    </row>
    <row r="13" spans="1:5" ht="12">
      <c r="A13" s="319" t="s">
        <v>464</v>
      </c>
      <c r="B13" s="317">
        <v>130379</v>
      </c>
      <c r="C13" s="317">
        <v>119941</v>
      </c>
      <c r="D13" s="318">
        <f t="shared" si="0"/>
        <v>91.99</v>
      </c>
      <c r="E13" s="317">
        <v>11223</v>
      </c>
    </row>
    <row r="14" spans="1:5" ht="12">
      <c r="A14" s="320" t="s">
        <v>465</v>
      </c>
      <c r="B14" s="317">
        <v>6456</v>
      </c>
      <c r="C14" s="317">
        <v>5348</v>
      </c>
      <c r="D14" s="318">
        <f t="shared" si="0"/>
        <v>82.84</v>
      </c>
      <c r="E14" s="317">
        <v>671</v>
      </c>
    </row>
    <row r="15" spans="1:5" ht="22.5">
      <c r="A15" s="320" t="s">
        <v>466</v>
      </c>
      <c r="B15" s="317">
        <v>24052</v>
      </c>
      <c r="C15" s="317">
        <v>21951</v>
      </c>
      <c r="D15" s="318">
        <f t="shared" si="0"/>
        <v>91.26</v>
      </c>
      <c r="E15" s="317">
        <v>2081</v>
      </c>
    </row>
    <row r="16" spans="1:5" ht="19.5" customHeight="1">
      <c r="A16" s="316" t="s">
        <v>467</v>
      </c>
      <c r="B16" s="317">
        <f>B9-B14-B15</f>
        <v>364255</v>
      </c>
      <c r="C16" s="317">
        <f>C9-C14-C15</f>
        <v>332627</v>
      </c>
      <c r="D16" s="318">
        <f t="shared" si="0"/>
        <v>91.32</v>
      </c>
      <c r="E16" s="317">
        <f>E9-E14-E15</f>
        <v>30545</v>
      </c>
    </row>
    <row r="17" spans="1:5" ht="12">
      <c r="A17" s="319" t="s">
        <v>468</v>
      </c>
      <c r="B17" s="317">
        <f>SUM(B18:B19)</f>
        <v>44822</v>
      </c>
      <c r="C17" s="317">
        <f>SUM(C18:C19)</f>
        <v>40020</v>
      </c>
      <c r="D17" s="318">
        <f t="shared" si="0"/>
        <v>89.29</v>
      </c>
      <c r="E17" s="317">
        <f>SUM(E18:E19)</f>
        <v>3392</v>
      </c>
    </row>
    <row r="18" spans="1:5" ht="12">
      <c r="A18" s="319" t="s">
        <v>469</v>
      </c>
      <c r="B18" s="317">
        <v>38765</v>
      </c>
      <c r="C18" s="317">
        <v>34423</v>
      </c>
      <c r="D18" s="318">
        <f t="shared" si="0"/>
        <v>88.8</v>
      </c>
      <c r="E18" s="317">
        <v>2894</v>
      </c>
    </row>
    <row r="19" spans="1:5" ht="12">
      <c r="A19" s="319" t="s">
        <v>470</v>
      </c>
      <c r="B19" s="317">
        <v>6057</v>
      </c>
      <c r="C19" s="317">
        <v>5597</v>
      </c>
      <c r="D19" s="318">
        <f t="shared" si="0"/>
        <v>92.41</v>
      </c>
      <c r="E19" s="317">
        <v>498</v>
      </c>
    </row>
    <row r="20" spans="1:5" ht="23.25" customHeight="1">
      <c r="A20" s="316" t="s">
        <v>471</v>
      </c>
      <c r="B20" s="317">
        <v>44822</v>
      </c>
      <c r="C20" s="317">
        <v>40020</v>
      </c>
      <c r="D20" s="318">
        <f t="shared" si="0"/>
        <v>89.29</v>
      </c>
      <c r="E20" s="317">
        <v>3392</v>
      </c>
    </row>
    <row r="21" spans="1:5" ht="35.25" customHeight="1">
      <c r="A21" s="316" t="s">
        <v>472</v>
      </c>
      <c r="B21" s="317">
        <f>SUM(B22:B24)</f>
        <v>416003</v>
      </c>
      <c r="C21" s="317">
        <f>SUM(C22:C24)</f>
        <v>375568</v>
      </c>
      <c r="D21" s="318">
        <f t="shared" si="0"/>
        <v>90.28</v>
      </c>
      <c r="E21" s="317">
        <f>SUM(E22:E24)</f>
        <v>35362</v>
      </c>
    </row>
    <row r="22" spans="1:5" ht="34.5" customHeight="1">
      <c r="A22" s="321" t="s">
        <v>473</v>
      </c>
      <c r="B22" s="317">
        <f aca="true" t="shared" si="1" ref="B22:C24">B34+B43</f>
        <v>363580</v>
      </c>
      <c r="C22" s="317">
        <f t="shared" si="1"/>
        <v>310025</v>
      </c>
      <c r="D22" s="318">
        <f t="shared" si="0"/>
        <v>85.27</v>
      </c>
      <c r="E22" s="317">
        <f>E34+E43</f>
        <v>29719</v>
      </c>
    </row>
    <row r="23" spans="1:5" ht="30.75" customHeight="1">
      <c r="A23" s="321" t="s">
        <v>474</v>
      </c>
      <c r="B23" s="317">
        <f t="shared" si="1"/>
        <v>33858</v>
      </c>
      <c r="C23" s="317">
        <f t="shared" si="1"/>
        <v>27711</v>
      </c>
      <c r="D23" s="318">
        <f t="shared" si="0"/>
        <v>81.84</v>
      </c>
      <c r="E23" s="317">
        <f>E35+E44</f>
        <v>3074</v>
      </c>
    </row>
    <row r="24" spans="1:5" ht="31.5" customHeight="1">
      <c r="A24" s="321" t="s">
        <v>475</v>
      </c>
      <c r="B24" s="317">
        <f t="shared" si="1"/>
        <v>18565</v>
      </c>
      <c r="C24" s="317">
        <f t="shared" si="1"/>
        <v>37832</v>
      </c>
      <c r="D24" s="318">
        <f t="shared" si="0"/>
        <v>203.78</v>
      </c>
      <c r="E24" s="317">
        <f>E36+E45</f>
        <v>2569</v>
      </c>
    </row>
    <row r="25" spans="1:5" ht="59.25" customHeight="1">
      <c r="A25" s="316" t="s">
        <v>476</v>
      </c>
      <c r="B25" s="317">
        <f>B8-B21</f>
        <v>-6926</v>
      </c>
      <c r="C25" s="317">
        <f>C8-C21</f>
        <v>-2921</v>
      </c>
      <c r="D25" s="317"/>
      <c r="E25" s="317">
        <f>E8-E21</f>
        <v>-1425</v>
      </c>
    </row>
    <row r="26" spans="1:5" ht="30" customHeight="1">
      <c r="A26" s="316" t="s">
        <v>477</v>
      </c>
      <c r="B26" s="317">
        <f>B38+B47</f>
        <v>-3602</v>
      </c>
      <c r="C26" s="317">
        <f>C38+C47</f>
        <v>3205</v>
      </c>
      <c r="D26" s="317"/>
      <c r="E26" s="317">
        <f>E38+E47</f>
        <v>133</v>
      </c>
    </row>
    <row r="27" spans="1:5" ht="38.25" customHeight="1">
      <c r="A27" s="316" t="s">
        <v>478</v>
      </c>
      <c r="B27" s="317">
        <f>B21+B26</f>
        <v>412401</v>
      </c>
      <c r="C27" s="317">
        <f>C21+C26</f>
        <v>378773</v>
      </c>
      <c r="D27" s="318">
        <f>C27/B27*100</f>
        <v>91.85</v>
      </c>
      <c r="E27" s="317">
        <f>E21+E26</f>
        <v>35495</v>
      </c>
    </row>
    <row r="28" spans="1:5" ht="41.25" customHeight="1">
      <c r="A28" s="316" t="s">
        <v>479</v>
      </c>
      <c r="B28" s="317">
        <f>SUM(B25-B26)</f>
        <v>-3324</v>
      </c>
      <c r="C28" s="317">
        <f>SUM(C25-C26)</f>
        <v>-6126</v>
      </c>
      <c r="D28" s="317"/>
      <c r="E28" s="317">
        <f>SUM(E25-E26)</f>
        <v>-1558</v>
      </c>
    </row>
    <row r="29" spans="1:5" ht="18.75" customHeight="1">
      <c r="A29" s="322" t="s">
        <v>480</v>
      </c>
      <c r="B29" s="317">
        <v>389662</v>
      </c>
      <c r="C29" s="317">
        <v>360894</v>
      </c>
      <c r="D29" s="318">
        <f aca="true" t="shared" si="2" ref="D29:D36">C29/B29*100</f>
        <v>92.62</v>
      </c>
      <c r="E29" s="317">
        <v>33838</v>
      </c>
    </row>
    <row r="30" spans="1:5" ht="12">
      <c r="A30" s="320" t="s">
        <v>481</v>
      </c>
      <c r="B30" s="317">
        <v>30508</v>
      </c>
      <c r="C30" s="317">
        <v>27299</v>
      </c>
      <c r="D30" s="318">
        <f t="shared" si="2"/>
        <v>89.48</v>
      </c>
      <c r="E30" s="317">
        <v>2752</v>
      </c>
    </row>
    <row r="31" spans="1:5" ht="17.25" customHeight="1">
      <c r="A31" s="322" t="s">
        <v>482</v>
      </c>
      <c r="B31" s="317">
        <f>SUM(B29-B30)</f>
        <v>359154</v>
      </c>
      <c r="C31" s="317">
        <f>SUM(C29-C30)</f>
        <v>333595</v>
      </c>
      <c r="D31" s="318">
        <f t="shared" si="2"/>
        <v>92.88</v>
      </c>
      <c r="E31" s="317">
        <f>SUM(E29-E30)</f>
        <v>31086</v>
      </c>
    </row>
    <row r="32" spans="1:5" ht="15.75" customHeight="1">
      <c r="A32" s="323" t="s">
        <v>483</v>
      </c>
      <c r="B32" s="317">
        <v>353043</v>
      </c>
      <c r="C32" s="317">
        <v>306622</v>
      </c>
      <c r="D32" s="318">
        <f t="shared" si="2"/>
        <v>86.85</v>
      </c>
      <c r="E32" s="317">
        <v>29130</v>
      </c>
    </row>
    <row r="33" spans="1:5" ht="12">
      <c r="A33" s="320" t="s">
        <v>481</v>
      </c>
      <c r="B33" s="317">
        <v>30508</v>
      </c>
      <c r="C33" s="317">
        <v>27299</v>
      </c>
      <c r="D33" s="318">
        <f t="shared" si="2"/>
        <v>89.48</v>
      </c>
      <c r="E33" s="317">
        <v>2752</v>
      </c>
    </row>
    <row r="34" spans="1:5" ht="12">
      <c r="A34" s="323" t="s">
        <v>484</v>
      </c>
      <c r="B34" s="317">
        <f>B32-B33</f>
        <v>322535</v>
      </c>
      <c r="C34" s="317">
        <f>C32-C33</f>
        <v>279323</v>
      </c>
      <c r="D34" s="318">
        <f t="shared" si="2"/>
        <v>86.6</v>
      </c>
      <c r="E34" s="317">
        <f>E32-E33</f>
        <v>26378</v>
      </c>
    </row>
    <row r="35" spans="1:5" ht="12">
      <c r="A35" s="323" t="s">
        <v>485</v>
      </c>
      <c r="B35" s="317">
        <v>20976</v>
      </c>
      <c r="C35" s="317">
        <v>18142</v>
      </c>
      <c r="D35" s="318">
        <f t="shared" si="2"/>
        <v>86.49</v>
      </c>
      <c r="E35" s="317">
        <v>2207</v>
      </c>
    </row>
    <row r="36" spans="1:5" ht="12">
      <c r="A36" s="323" t="s">
        <v>486</v>
      </c>
      <c r="B36" s="317">
        <v>15643</v>
      </c>
      <c r="C36" s="317">
        <v>36130</v>
      </c>
      <c r="D36" s="318">
        <f t="shared" si="2"/>
        <v>230.97</v>
      </c>
      <c r="E36" s="317">
        <v>2501</v>
      </c>
    </row>
    <row r="37" spans="1:5" s="324" customFormat="1" ht="42" customHeight="1">
      <c r="A37" s="316" t="s">
        <v>487</v>
      </c>
      <c r="B37" s="317">
        <f>B16-B31</f>
        <v>5101</v>
      </c>
      <c r="C37" s="317">
        <f>C16-C31</f>
        <v>-968</v>
      </c>
      <c r="D37" s="318"/>
      <c r="E37" s="317">
        <f>E16-E31</f>
        <v>-541</v>
      </c>
    </row>
    <row r="38" spans="1:5" s="324" customFormat="1" ht="27" customHeight="1">
      <c r="A38" s="322" t="s">
        <v>488</v>
      </c>
      <c r="B38" s="317">
        <f>B39-B40</f>
        <v>40</v>
      </c>
      <c r="C38" s="317">
        <f>C39-C40</f>
        <v>1054</v>
      </c>
      <c r="D38" s="317"/>
      <c r="E38" s="317">
        <f>E39-E40</f>
        <v>243</v>
      </c>
    </row>
    <row r="39" spans="1:5" s="324" customFormat="1" ht="15.75" customHeight="1">
      <c r="A39" s="323" t="s">
        <v>489</v>
      </c>
      <c r="B39" s="317">
        <v>1002</v>
      </c>
      <c r="C39" s="317">
        <v>1737</v>
      </c>
      <c r="D39" s="317"/>
      <c r="E39" s="317">
        <v>314</v>
      </c>
    </row>
    <row r="40" spans="1:5" s="324" customFormat="1" ht="18" customHeight="1">
      <c r="A40" s="323" t="s">
        <v>490</v>
      </c>
      <c r="B40" s="317">
        <v>962</v>
      </c>
      <c r="C40" s="317">
        <v>683</v>
      </c>
      <c r="D40" s="317"/>
      <c r="E40" s="317">
        <v>71</v>
      </c>
    </row>
    <row r="41" spans="1:5" s="324" customFormat="1" ht="38.25" customHeight="1">
      <c r="A41" s="316" t="s">
        <v>491</v>
      </c>
      <c r="B41" s="317">
        <f>SUM(B37-B38)</f>
        <v>5061</v>
      </c>
      <c r="C41" s="317">
        <f>SUM(C37-C38)</f>
        <v>-2022</v>
      </c>
      <c r="D41" s="318"/>
      <c r="E41" s="317">
        <f>SUM(E37-E38)</f>
        <v>-784</v>
      </c>
    </row>
    <row r="42" spans="1:5" s="324" customFormat="1" ht="23.25" customHeight="1">
      <c r="A42" s="322" t="s">
        <v>492</v>
      </c>
      <c r="B42" s="317">
        <f>SUM(B43:B45)</f>
        <v>56849</v>
      </c>
      <c r="C42" s="317">
        <f>SUM(C43:C45)</f>
        <v>41973</v>
      </c>
      <c r="D42" s="318">
        <f>C42/B42*100</f>
        <v>73.83</v>
      </c>
      <c r="E42" s="317">
        <f>SUM(E43:E45)</f>
        <v>4276</v>
      </c>
    </row>
    <row r="43" spans="1:5" s="324" customFormat="1" ht="12">
      <c r="A43" s="323" t="s">
        <v>493</v>
      </c>
      <c r="B43" s="317">
        <v>41045</v>
      </c>
      <c r="C43" s="317">
        <v>30702</v>
      </c>
      <c r="D43" s="318">
        <f>C43/B43*100</f>
        <v>74.8</v>
      </c>
      <c r="E43" s="317">
        <v>3341</v>
      </c>
    </row>
    <row r="44" spans="1:5" s="324" customFormat="1" ht="12">
      <c r="A44" s="323" t="s">
        <v>494</v>
      </c>
      <c r="B44" s="317">
        <v>12882</v>
      </c>
      <c r="C44" s="317">
        <v>9569</v>
      </c>
      <c r="D44" s="318">
        <f>C44/B44*100</f>
        <v>74.28</v>
      </c>
      <c r="E44" s="317">
        <v>867</v>
      </c>
    </row>
    <row r="45" spans="1:5" s="324" customFormat="1" ht="12">
      <c r="A45" s="323" t="s">
        <v>495</v>
      </c>
      <c r="B45" s="317">
        <v>2922</v>
      </c>
      <c r="C45" s="317">
        <v>1702</v>
      </c>
      <c r="D45" s="318">
        <f>C45/B45*100</f>
        <v>58.25</v>
      </c>
      <c r="E45" s="317">
        <v>68</v>
      </c>
    </row>
    <row r="46" spans="1:14" s="324" customFormat="1" ht="46.5" customHeight="1">
      <c r="A46" s="316" t="s">
        <v>496</v>
      </c>
      <c r="B46" s="317">
        <f>SUM(B20-B42)</f>
        <v>-12027</v>
      </c>
      <c r="C46" s="317">
        <f>SUM(C20-C42)</f>
        <v>-1953</v>
      </c>
      <c r="D46" s="317"/>
      <c r="E46" s="317">
        <f>SUM(E20-E42)</f>
        <v>-884</v>
      </c>
      <c r="N46" s="310"/>
    </row>
    <row r="47" spans="1:5" s="324" customFormat="1" ht="18.75" customHeight="1">
      <c r="A47" s="322" t="s">
        <v>497</v>
      </c>
      <c r="B47" s="317">
        <f>B48-B49</f>
        <v>-3642</v>
      </c>
      <c r="C47" s="317">
        <f>C48-C49</f>
        <v>2151</v>
      </c>
      <c r="D47" s="317"/>
      <c r="E47" s="317">
        <f>E48-E49</f>
        <v>-110</v>
      </c>
    </row>
    <row r="48" spans="1:5" s="324" customFormat="1" ht="12">
      <c r="A48" s="323" t="s">
        <v>498</v>
      </c>
      <c r="B48" s="317">
        <v>3466</v>
      </c>
      <c r="C48" s="317">
        <v>5492</v>
      </c>
      <c r="D48" s="317"/>
      <c r="E48" s="317">
        <v>122</v>
      </c>
    </row>
    <row r="49" spans="1:5" s="324" customFormat="1" ht="12">
      <c r="A49" s="323" t="s">
        <v>499</v>
      </c>
      <c r="B49" s="317">
        <v>7108</v>
      </c>
      <c r="C49" s="317">
        <v>3341</v>
      </c>
      <c r="E49" s="317">
        <v>232</v>
      </c>
    </row>
    <row r="50" spans="1:5" s="324" customFormat="1" ht="46.5" customHeight="1">
      <c r="A50" s="316" t="s">
        <v>500</v>
      </c>
      <c r="B50" s="317">
        <f>SUM(B46-B47)</f>
        <v>-8385</v>
      </c>
      <c r="C50" s="317">
        <f>SUM(C46-C47)</f>
        <v>-4104</v>
      </c>
      <c r="E50" s="317">
        <f>SUM(E46-E47)</f>
        <v>-774</v>
      </c>
    </row>
    <row r="51" s="310" customFormat="1" ht="12.75">
      <c r="A51" s="325"/>
    </row>
    <row r="52" s="310" customFormat="1" ht="12.75">
      <c r="A52" s="325"/>
    </row>
    <row r="53" s="310" customFormat="1" ht="12.75">
      <c r="A53" s="325"/>
    </row>
    <row r="54" s="310" customFormat="1" ht="12.75">
      <c r="A54" s="325"/>
    </row>
    <row r="55" s="310" customFormat="1" ht="12.75">
      <c r="A55" s="325"/>
    </row>
    <row r="56" s="310" customFormat="1" ht="12.75">
      <c r="A56" s="325"/>
    </row>
    <row r="57" spans="1:4" s="310" customFormat="1" ht="12.75">
      <c r="A57" s="326" t="s">
        <v>501</v>
      </c>
      <c r="B57" s="327"/>
      <c r="C57" s="328"/>
      <c r="D57" s="328" t="s">
        <v>502</v>
      </c>
    </row>
    <row r="58" s="310" customFormat="1" ht="12.75">
      <c r="A58" s="325"/>
    </row>
    <row r="59" s="310" customFormat="1" ht="12.75">
      <c r="A59" s="325"/>
    </row>
    <row r="60" s="310" customFormat="1" ht="12.75">
      <c r="A60" s="325"/>
    </row>
    <row r="61" s="310" customFormat="1" ht="12.75">
      <c r="A61" s="325"/>
    </row>
    <row r="62" s="310" customFormat="1" ht="12.75">
      <c r="A62" s="325"/>
    </row>
    <row r="63" s="310" customFormat="1" ht="12.75">
      <c r="A63" s="325"/>
    </row>
    <row r="64" s="310" customFormat="1" ht="12.75">
      <c r="A64" s="325"/>
    </row>
    <row r="65" s="310" customFormat="1" ht="12.75">
      <c r="A65" s="329" t="s">
        <v>503</v>
      </c>
    </row>
    <row r="66" s="310" customFormat="1" ht="12.75">
      <c r="A66" s="329" t="s">
        <v>504</v>
      </c>
    </row>
    <row r="67" s="310" customFormat="1" ht="12.75">
      <c r="A67" s="325"/>
    </row>
    <row r="68" s="310" customFormat="1" ht="12.75">
      <c r="A68" s="325"/>
    </row>
    <row r="69" s="310" customFormat="1" ht="12.75">
      <c r="A69" s="329"/>
    </row>
    <row r="72" s="310" customFormat="1" ht="12.75">
      <c r="A72" s="325"/>
    </row>
    <row r="73" s="310" customFormat="1" ht="12.75">
      <c r="A73" s="325"/>
    </row>
    <row r="74" s="310" customFormat="1" ht="12.75">
      <c r="A74" s="325"/>
    </row>
    <row r="75" s="310" customFormat="1" ht="12.75">
      <c r="A75" s="325"/>
    </row>
    <row r="76" s="310" customFormat="1" ht="12.75">
      <c r="A76" s="325"/>
    </row>
    <row r="77" s="310" customFormat="1" ht="12.75">
      <c r="A77" s="325"/>
    </row>
    <row r="78" s="310" customFormat="1" ht="12.75">
      <c r="A78" s="325"/>
    </row>
    <row r="79" ht="11.25">
      <c r="A79" s="330"/>
    </row>
    <row r="80" ht="11.25">
      <c r="A80" s="330"/>
    </row>
    <row r="81" ht="11.25">
      <c r="A81" s="330"/>
    </row>
    <row r="82" ht="11.25">
      <c r="A82" s="330"/>
    </row>
    <row r="83" ht="11.25">
      <c r="A83" s="330"/>
    </row>
    <row r="84" ht="11.25">
      <c r="A84" s="330"/>
    </row>
    <row r="85" ht="11.25">
      <c r="A85" s="330"/>
    </row>
    <row r="86" ht="11.25">
      <c r="A86" s="330"/>
    </row>
    <row r="87" ht="11.25">
      <c r="A87" s="330"/>
    </row>
    <row r="88" ht="11.25">
      <c r="A88" s="330"/>
    </row>
    <row r="89" ht="11.25">
      <c r="A89" s="330"/>
    </row>
    <row r="90" ht="11.25">
      <c r="A90" s="330"/>
    </row>
    <row r="91" ht="11.25">
      <c r="A91" s="330"/>
    </row>
    <row r="92" ht="11.25">
      <c r="A92" s="330"/>
    </row>
    <row r="93" ht="11.25">
      <c r="A93" s="330"/>
    </row>
    <row r="94" ht="11.25">
      <c r="A94" s="330"/>
    </row>
    <row r="95" ht="11.25">
      <c r="A95" s="330"/>
    </row>
    <row r="96" ht="11.25">
      <c r="A96" s="330"/>
    </row>
    <row r="97" ht="11.25">
      <c r="A97" s="330"/>
    </row>
    <row r="98" ht="11.25">
      <c r="A98" s="330"/>
    </row>
    <row r="99" ht="11.25">
      <c r="A99" s="330"/>
    </row>
    <row r="100" ht="11.25">
      <c r="A100" s="330"/>
    </row>
    <row r="101" ht="11.25">
      <c r="A101" s="330"/>
    </row>
    <row r="102" ht="11.25">
      <c r="A102" s="330"/>
    </row>
    <row r="103" ht="11.25">
      <c r="A103" s="330"/>
    </row>
    <row r="104" ht="11.25">
      <c r="A104" s="330"/>
    </row>
    <row r="105" ht="11.25">
      <c r="A105" s="330"/>
    </row>
    <row r="106" ht="11.25">
      <c r="A106" s="330"/>
    </row>
    <row r="107" ht="11.25">
      <c r="A107" s="330"/>
    </row>
    <row r="108" ht="11.25">
      <c r="A108" s="330"/>
    </row>
    <row r="109" ht="11.25">
      <c r="A109" s="330"/>
    </row>
    <row r="110" ht="11.25">
      <c r="A110" s="330"/>
    </row>
    <row r="111" ht="11.25">
      <c r="A111" s="330"/>
    </row>
    <row r="112" ht="11.25">
      <c r="A112" s="330"/>
    </row>
    <row r="113" ht="11.25">
      <c r="A113" s="330"/>
    </row>
    <row r="114" ht="11.25">
      <c r="A114" s="330"/>
    </row>
    <row r="115" ht="11.25">
      <c r="A115" s="330"/>
    </row>
    <row r="116" ht="11.25">
      <c r="A116" s="330"/>
    </row>
    <row r="117" ht="11.25">
      <c r="A117" s="330"/>
    </row>
    <row r="118" ht="11.25">
      <c r="A118" s="330"/>
    </row>
    <row r="119" ht="11.25">
      <c r="A119" s="330"/>
    </row>
    <row r="120" ht="11.25">
      <c r="A120" s="330"/>
    </row>
    <row r="121" ht="11.25">
      <c r="A121" s="330"/>
    </row>
    <row r="122" ht="11.25">
      <c r="A122" s="330"/>
    </row>
    <row r="123" ht="11.25">
      <c r="A123" s="330"/>
    </row>
    <row r="124" ht="11.25">
      <c r="A124" s="330"/>
    </row>
    <row r="125" ht="11.25">
      <c r="A125" s="330"/>
    </row>
  </sheetData>
  <printOptions/>
  <pageMargins left="0.39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showGridLines="0" showZeros="0" workbookViewId="0" topLeftCell="A1">
      <selection activeCell="E13" sqref="E13"/>
    </sheetView>
  </sheetViews>
  <sheetFormatPr defaultColWidth="9.140625" defaultRowHeight="12.75"/>
  <cols>
    <col min="1" max="1" width="37.57421875" style="337" customWidth="1"/>
    <col min="2" max="5" width="12.7109375" style="309" customWidth="1"/>
    <col min="6" max="16384" width="7.421875" style="309" customWidth="1"/>
  </cols>
  <sheetData>
    <row r="1" spans="1:5" ht="12.75">
      <c r="A1" s="331" t="s">
        <v>505</v>
      </c>
      <c r="B1" s="331"/>
      <c r="C1" s="307"/>
      <c r="D1" s="307"/>
      <c r="E1" s="307" t="s">
        <v>506</v>
      </c>
    </row>
    <row r="2" spans="1:7" s="307" customFormat="1" ht="12.75">
      <c r="A2" s="331"/>
      <c r="B2" s="331"/>
      <c r="E2" s="332"/>
      <c r="G2" s="331" t="s">
        <v>507</v>
      </c>
    </row>
    <row r="4" spans="1:6" s="336" customFormat="1" ht="15.75">
      <c r="A4" s="333" t="s">
        <v>508</v>
      </c>
      <c r="B4" s="334"/>
      <c r="C4" s="335"/>
      <c r="D4" s="335"/>
      <c r="E4" s="335"/>
      <c r="F4" s="335"/>
    </row>
    <row r="5" spans="1:6" s="336" customFormat="1" ht="15.75">
      <c r="A5" s="333" t="s">
        <v>509</v>
      </c>
      <c r="B5" s="334"/>
      <c r="C5" s="335"/>
      <c r="D5" s="335"/>
      <c r="E5" s="335"/>
      <c r="F5" s="335"/>
    </row>
    <row r="6" spans="2:4" ht="11.25">
      <c r="B6" s="338"/>
      <c r="C6" s="338"/>
      <c r="D6" s="338"/>
    </row>
    <row r="7" spans="3:9" ht="12.75" customHeight="1">
      <c r="C7" s="338"/>
      <c r="D7" s="338"/>
      <c r="E7" s="338"/>
      <c r="F7" s="313"/>
      <c r="G7" s="313"/>
      <c r="H7" s="313"/>
      <c r="I7" s="313"/>
    </row>
    <row r="8" spans="1:5" s="313" customFormat="1" ht="12.75" customHeight="1">
      <c r="A8" s="339"/>
      <c r="B8" s="339"/>
      <c r="C8" s="340"/>
      <c r="D8" s="340"/>
      <c r="E8" s="340" t="s">
        <v>149</v>
      </c>
    </row>
    <row r="9" spans="1:8" s="313" customFormat="1" ht="40.5" customHeight="1">
      <c r="A9" s="341" t="s">
        <v>17</v>
      </c>
      <c r="B9" s="342" t="s">
        <v>458</v>
      </c>
      <c r="C9" s="342" t="s">
        <v>63</v>
      </c>
      <c r="D9" s="342" t="s">
        <v>510</v>
      </c>
      <c r="E9" s="342" t="s">
        <v>398</v>
      </c>
      <c r="F9" s="310"/>
      <c r="G9" s="310"/>
      <c r="H9" s="310"/>
    </row>
    <row r="10" spans="1:8" s="313" customFormat="1" ht="12.75">
      <c r="A10" s="343" t="s">
        <v>511</v>
      </c>
      <c r="B10" s="343">
        <v>2</v>
      </c>
      <c r="C10" s="343">
        <v>3</v>
      </c>
      <c r="D10" s="343">
        <v>4</v>
      </c>
      <c r="E10" s="343">
        <v>5</v>
      </c>
      <c r="F10" s="310"/>
      <c r="G10" s="310"/>
      <c r="H10" s="310"/>
    </row>
    <row r="11" spans="1:6" s="310" customFormat="1" ht="12.75">
      <c r="A11" s="344" t="s">
        <v>512</v>
      </c>
      <c r="B11" s="345">
        <v>394763</v>
      </c>
      <c r="C11" s="345">
        <v>359926</v>
      </c>
      <c r="D11" s="346">
        <f aca="true" t="shared" si="0" ref="D11:D39">C11/B11*100</f>
        <v>91.18</v>
      </c>
      <c r="E11" s="345">
        <v>33297</v>
      </c>
      <c r="F11" s="309"/>
    </row>
    <row r="12" spans="1:7" ht="25.5">
      <c r="A12" s="347" t="s">
        <v>513</v>
      </c>
      <c r="B12" s="345">
        <v>264384</v>
      </c>
      <c r="C12" s="345">
        <v>239985</v>
      </c>
      <c r="D12" s="346">
        <f t="shared" si="0"/>
        <v>90.77</v>
      </c>
      <c r="E12" s="345">
        <v>22074</v>
      </c>
      <c r="F12" s="310"/>
      <c r="G12" s="310"/>
    </row>
    <row r="13" spans="1:5" s="310" customFormat="1" ht="12.75">
      <c r="A13" s="348" t="s">
        <v>514</v>
      </c>
      <c r="B13" s="345">
        <v>220283</v>
      </c>
      <c r="C13" s="345">
        <v>200358</v>
      </c>
      <c r="D13" s="346">
        <f t="shared" si="0"/>
        <v>90.95</v>
      </c>
      <c r="E13" s="345">
        <v>18140</v>
      </c>
    </row>
    <row r="14" spans="1:6" s="310" customFormat="1" ht="12.75">
      <c r="A14" s="349" t="s">
        <v>154</v>
      </c>
      <c r="B14" s="345">
        <v>219358</v>
      </c>
      <c r="C14" s="345">
        <v>199370</v>
      </c>
      <c r="D14" s="346">
        <f t="shared" si="0"/>
        <v>90.89</v>
      </c>
      <c r="E14" s="345">
        <v>18059</v>
      </c>
      <c r="F14" s="309"/>
    </row>
    <row r="15" spans="1:6" s="313" customFormat="1" ht="12">
      <c r="A15" s="350" t="s">
        <v>515</v>
      </c>
      <c r="B15" s="345">
        <v>174214</v>
      </c>
      <c r="C15" s="345">
        <v>157117</v>
      </c>
      <c r="D15" s="346">
        <f t="shared" si="0"/>
        <v>90.19</v>
      </c>
      <c r="E15" s="345">
        <v>14231</v>
      </c>
      <c r="F15" s="309"/>
    </row>
    <row r="16" spans="1:6" s="313" customFormat="1" ht="12">
      <c r="A16" s="350" t="s">
        <v>516</v>
      </c>
      <c r="B16" s="345">
        <v>20973</v>
      </c>
      <c r="C16" s="345">
        <v>18887</v>
      </c>
      <c r="D16" s="346">
        <f t="shared" si="0"/>
        <v>90.05</v>
      </c>
      <c r="E16" s="345">
        <v>2855</v>
      </c>
      <c r="F16" s="309"/>
    </row>
    <row r="17" spans="1:6" s="313" customFormat="1" ht="12">
      <c r="A17" s="350" t="s">
        <v>517</v>
      </c>
      <c r="B17" s="345">
        <v>22175</v>
      </c>
      <c r="C17" s="345">
        <v>21693</v>
      </c>
      <c r="D17" s="346">
        <f t="shared" si="0"/>
        <v>97.83</v>
      </c>
      <c r="E17" s="345">
        <v>831</v>
      </c>
      <c r="F17" s="309"/>
    </row>
    <row r="18" spans="1:6" s="313" customFormat="1" ht="12">
      <c r="A18" s="350" t="s">
        <v>518</v>
      </c>
      <c r="B18" s="345">
        <v>1996</v>
      </c>
      <c r="C18" s="345">
        <v>1673</v>
      </c>
      <c r="D18" s="346">
        <f t="shared" si="0"/>
        <v>83.82</v>
      </c>
      <c r="E18" s="345">
        <v>142</v>
      </c>
      <c r="F18" s="309"/>
    </row>
    <row r="19" spans="1:6" s="310" customFormat="1" ht="12.75">
      <c r="A19" s="349" t="s">
        <v>156</v>
      </c>
      <c r="B19" s="345">
        <v>925</v>
      </c>
      <c r="C19" s="345">
        <v>988</v>
      </c>
      <c r="D19" s="346">
        <f t="shared" si="0"/>
        <v>106.81</v>
      </c>
      <c r="E19" s="345">
        <v>81</v>
      </c>
      <c r="F19" s="309"/>
    </row>
    <row r="20" spans="1:5" ht="12">
      <c r="A20" s="350" t="s">
        <v>519</v>
      </c>
      <c r="B20" s="345">
        <v>925</v>
      </c>
      <c r="C20" s="345">
        <v>988</v>
      </c>
      <c r="D20" s="346">
        <f t="shared" si="0"/>
        <v>106.81</v>
      </c>
      <c r="E20" s="345">
        <v>81</v>
      </c>
    </row>
    <row r="21" spans="1:5" s="310" customFormat="1" ht="12.75">
      <c r="A21" s="348" t="s">
        <v>520</v>
      </c>
      <c r="B21" s="345">
        <v>18453</v>
      </c>
      <c r="C21" s="345">
        <v>16158</v>
      </c>
      <c r="D21" s="346">
        <f t="shared" si="0"/>
        <v>87.56</v>
      </c>
      <c r="E21" s="345">
        <v>1576</v>
      </c>
    </row>
    <row r="22" spans="1:7" ht="12.75">
      <c r="A22" s="350" t="s">
        <v>521</v>
      </c>
      <c r="B22" s="345">
        <v>319</v>
      </c>
      <c r="C22" s="345">
        <v>321</v>
      </c>
      <c r="D22" s="346">
        <f t="shared" si="0"/>
        <v>100.63</v>
      </c>
      <c r="E22" s="345">
        <v>7</v>
      </c>
      <c r="F22" s="310"/>
      <c r="G22" s="310"/>
    </row>
    <row r="23" spans="1:7" ht="12.75">
      <c r="A23" s="350" t="s">
        <v>522</v>
      </c>
      <c r="B23" s="345">
        <v>3625</v>
      </c>
      <c r="C23" s="345">
        <v>3255</v>
      </c>
      <c r="D23" s="346">
        <f t="shared" si="0"/>
        <v>89.79</v>
      </c>
      <c r="E23" s="345">
        <v>208</v>
      </c>
      <c r="F23" s="310"/>
      <c r="G23" s="310"/>
    </row>
    <row r="24" spans="1:7" ht="12.75">
      <c r="A24" s="350" t="s">
        <v>523</v>
      </c>
      <c r="B24" s="345">
        <v>283</v>
      </c>
      <c r="C24" s="345">
        <v>255</v>
      </c>
      <c r="D24" s="346">
        <f t="shared" si="0"/>
        <v>90.11</v>
      </c>
      <c r="E24" s="345">
        <v>26</v>
      </c>
      <c r="F24" s="310"/>
      <c r="G24" s="310"/>
    </row>
    <row r="25" spans="1:7" ht="12.75">
      <c r="A25" s="350" t="s">
        <v>524</v>
      </c>
      <c r="B25" s="345">
        <v>13465</v>
      </c>
      <c r="C25" s="345">
        <v>11757</v>
      </c>
      <c r="D25" s="346">
        <f t="shared" si="0"/>
        <v>87.32</v>
      </c>
      <c r="E25" s="345">
        <v>1227</v>
      </c>
      <c r="F25" s="310"/>
      <c r="G25" s="310"/>
    </row>
    <row r="26" spans="1:7" ht="22.5">
      <c r="A26" s="351" t="s">
        <v>525</v>
      </c>
      <c r="B26" s="345">
        <v>673</v>
      </c>
      <c r="C26" s="345">
        <v>499</v>
      </c>
      <c r="D26" s="346">
        <f t="shared" si="0"/>
        <v>74.15</v>
      </c>
      <c r="E26" s="345">
        <v>102</v>
      </c>
      <c r="F26" s="310"/>
      <c r="G26" s="310"/>
    </row>
    <row r="27" spans="1:7" ht="12.75">
      <c r="A27" s="350" t="s">
        <v>526</v>
      </c>
      <c r="B27" s="345">
        <v>88</v>
      </c>
      <c r="C27" s="345">
        <v>71</v>
      </c>
      <c r="D27" s="346">
        <f t="shared" si="0"/>
        <v>80.68</v>
      </c>
      <c r="E27" s="345">
        <v>6</v>
      </c>
      <c r="F27" s="310"/>
      <c r="G27" s="310"/>
    </row>
    <row r="28" spans="1:7" ht="38.25">
      <c r="A28" s="352" t="s">
        <v>527</v>
      </c>
      <c r="B28" s="345">
        <v>25648</v>
      </c>
      <c r="C28" s="345">
        <v>23469</v>
      </c>
      <c r="D28" s="346">
        <f t="shared" si="0"/>
        <v>91.5</v>
      </c>
      <c r="E28" s="345">
        <v>2358</v>
      </c>
      <c r="F28" s="310"/>
      <c r="G28" s="310"/>
    </row>
    <row r="29" spans="1:7" ht="12.75">
      <c r="A29" s="348" t="s">
        <v>528</v>
      </c>
      <c r="B29" s="345">
        <v>130379</v>
      </c>
      <c r="C29" s="345">
        <v>119941</v>
      </c>
      <c r="D29" s="346">
        <f t="shared" si="0"/>
        <v>91.99</v>
      </c>
      <c r="E29" s="345">
        <v>11223</v>
      </c>
      <c r="F29" s="310"/>
      <c r="G29" s="310"/>
    </row>
    <row r="30" spans="1:7" ht="12.75">
      <c r="A30" s="353" t="s">
        <v>529</v>
      </c>
      <c r="B30" s="345">
        <v>6456</v>
      </c>
      <c r="C30" s="345">
        <v>5348</v>
      </c>
      <c r="D30" s="346">
        <f t="shared" si="0"/>
        <v>82.84</v>
      </c>
      <c r="E30" s="345">
        <v>671</v>
      </c>
      <c r="F30" s="310"/>
      <c r="G30" s="310"/>
    </row>
    <row r="31" spans="1:7" ht="22.5">
      <c r="A31" s="351" t="s">
        <v>530</v>
      </c>
      <c r="B31" s="345">
        <v>5174</v>
      </c>
      <c r="C31" s="345">
        <v>4211</v>
      </c>
      <c r="D31" s="346">
        <f t="shared" si="0"/>
        <v>81.39</v>
      </c>
      <c r="E31" s="345">
        <v>583</v>
      </c>
      <c r="F31" s="310"/>
      <c r="G31" s="310"/>
    </row>
    <row r="32" spans="1:7" ht="22.5">
      <c r="A32" s="351" t="s">
        <v>531</v>
      </c>
      <c r="B32" s="345">
        <v>254</v>
      </c>
      <c r="C32" s="345">
        <v>233</v>
      </c>
      <c r="D32" s="346">
        <f t="shared" si="0"/>
        <v>91.73</v>
      </c>
      <c r="E32" s="345">
        <v>24</v>
      </c>
      <c r="F32" s="310"/>
      <c r="G32" s="310"/>
    </row>
    <row r="33" spans="1:7" ht="12.75">
      <c r="A33" s="350" t="s">
        <v>532</v>
      </c>
      <c r="B33" s="345">
        <v>1028</v>
      </c>
      <c r="C33" s="345">
        <v>904</v>
      </c>
      <c r="D33" s="346">
        <f t="shared" si="0"/>
        <v>87.94</v>
      </c>
      <c r="E33" s="345">
        <v>64</v>
      </c>
      <c r="F33" s="310"/>
      <c r="G33" s="310"/>
    </row>
    <row r="34" spans="1:7" ht="12.75">
      <c r="A34" s="353" t="s">
        <v>533</v>
      </c>
      <c r="B34" s="345">
        <v>92852</v>
      </c>
      <c r="C34" s="345">
        <v>85864</v>
      </c>
      <c r="D34" s="346">
        <f t="shared" si="0"/>
        <v>92.47</v>
      </c>
      <c r="E34" s="345">
        <v>7931</v>
      </c>
      <c r="F34" s="310"/>
      <c r="G34" s="310"/>
    </row>
    <row r="35" spans="1:7" ht="12.75">
      <c r="A35" s="350" t="s">
        <v>534</v>
      </c>
      <c r="B35" s="345">
        <v>56</v>
      </c>
      <c r="C35" s="345">
        <v>171</v>
      </c>
      <c r="D35" s="346">
        <f t="shared" si="0"/>
        <v>305.36</v>
      </c>
      <c r="E35" s="345">
        <v>116</v>
      </c>
      <c r="F35" s="310"/>
      <c r="G35" s="310"/>
    </row>
    <row r="36" spans="1:5" ht="12">
      <c r="A36" s="350" t="s">
        <v>535</v>
      </c>
      <c r="B36" s="345">
        <v>43</v>
      </c>
      <c r="C36" s="345">
        <v>43</v>
      </c>
      <c r="D36" s="346">
        <f t="shared" si="0"/>
        <v>100</v>
      </c>
      <c r="E36" s="345">
        <v>0</v>
      </c>
    </row>
    <row r="37" spans="1:5" ht="12">
      <c r="A37" s="350" t="s">
        <v>536</v>
      </c>
      <c r="B37" s="345">
        <v>92796</v>
      </c>
      <c r="C37" s="345">
        <v>85693</v>
      </c>
      <c r="D37" s="346">
        <f t="shared" si="0"/>
        <v>92.35</v>
      </c>
      <c r="E37" s="345">
        <v>7815</v>
      </c>
    </row>
    <row r="38" spans="1:5" ht="22.5">
      <c r="A38" s="354" t="s">
        <v>537</v>
      </c>
      <c r="B38" s="345">
        <v>30149</v>
      </c>
      <c r="C38" s="345">
        <v>27643</v>
      </c>
      <c r="D38" s="346">
        <f t="shared" si="0"/>
        <v>91.69</v>
      </c>
      <c r="E38" s="345">
        <v>2510</v>
      </c>
    </row>
    <row r="39" spans="1:5" ht="12">
      <c r="A39" s="350" t="s">
        <v>534</v>
      </c>
      <c r="B39" s="345">
        <v>30149</v>
      </c>
      <c r="C39" s="345">
        <v>27643</v>
      </c>
      <c r="D39" s="346">
        <f t="shared" si="0"/>
        <v>91.69</v>
      </c>
      <c r="E39" s="345">
        <v>2510</v>
      </c>
    </row>
    <row r="40" spans="1:5" ht="12">
      <c r="A40" s="350" t="s">
        <v>538</v>
      </c>
      <c r="B40" s="345">
        <v>0</v>
      </c>
      <c r="C40" s="345">
        <v>0</v>
      </c>
      <c r="D40" s="346"/>
      <c r="E40" s="345">
        <v>0</v>
      </c>
    </row>
    <row r="41" spans="1:5" ht="22.5">
      <c r="A41" s="351" t="s">
        <v>539</v>
      </c>
      <c r="B41" s="345">
        <v>0</v>
      </c>
      <c r="C41" s="345">
        <v>0</v>
      </c>
      <c r="D41" s="346"/>
      <c r="E41" s="345">
        <v>0</v>
      </c>
    </row>
    <row r="42" spans="1:5" ht="12">
      <c r="A42" s="353" t="s">
        <v>540</v>
      </c>
      <c r="B42" s="345">
        <v>922</v>
      </c>
      <c r="C42" s="345">
        <v>1086</v>
      </c>
      <c r="D42" s="346">
        <f>C42/B42*100</f>
        <v>117.79</v>
      </c>
      <c r="E42" s="345">
        <v>111</v>
      </c>
    </row>
    <row r="43" spans="1:5" ht="12">
      <c r="A43" s="355" t="s">
        <v>541</v>
      </c>
      <c r="B43" s="356"/>
      <c r="C43" s="356"/>
      <c r="D43" s="357"/>
      <c r="E43" s="358"/>
    </row>
    <row r="44" spans="1:5" ht="12.75">
      <c r="A44" s="355" t="s">
        <v>542</v>
      </c>
      <c r="B44" s="359"/>
      <c r="C44" s="359"/>
      <c r="D44" s="359"/>
      <c r="E44" s="358"/>
    </row>
    <row r="45" spans="1:5" ht="12.75">
      <c r="A45" s="355"/>
      <c r="B45" s="359"/>
      <c r="C45" s="359"/>
      <c r="D45" s="359"/>
      <c r="E45" s="358"/>
    </row>
    <row r="46" spans="1:5" ht="12.75">
      <c r="A46" s="355"/>
      <c r="B46" s="359"/>
      <c r="C46" s="359"/>
      <c r="D46" s="359"/>
      <c r="E46" s="358"/>
    </row>
    <row r="47" spans="1:4" s="357" customFormat="1" ht="12">
      <c r="A47" s="360"/>
      <c r="B47" s="358"/>
      <c r="C47" s="356"/>
      <c r="D47" s="356"/>
    </row>
    <row r="48" spans="1:5" s="363" customFormat="1" ht="15.75" customHeight="1">
      <c r="A48" s="361" t="s">
        <v>543</v>
      </c>
      <c r="B48" s="361"/>
      <c r="C48" s="362"/>
      <c r="D48" s="362"/>
      <c r="E48" s="328" t="s">
        <v>502</v>
      </c>
    </row>
    <row r="49" spans="1:4" ht="12.75">
      <c r="A49" s="359"/>
      <c r="B49" s="357"/>
      <c r="C49" s="357"/>
      <c r="D49" s="357"/>
    </row>
    <row r="50" spans="1:4" s="357" customFormat="1" ht="13.5" customHeight="1">
      <c r="A50" s="364"/>
      <c r="C50" s="365"/>
      <c r="D50" s="309"/>
    </row>
    <row r="51" spans="1:4" ht="12.75">
      <c r="A51" s="359"/>
      <c r="B51" s="357"/>
      <c r="C51" s="357"/>
      <c r="D51" s="357"/>
    </row>
    <row r="52" spans="1:4" s="357" customFormat="1" ht="11.25">
      <c r="A52" s="364"/>
      <c r="C52" s="365"/>
      <c r="D52" s="309"/>
    </row>
    <row r="53" spans="1:4" ht="13.5" customHeight="1">
      <c r="A53" s="359"/>
      <c r="B53" s="357"/>
      <c r="C53" s="357"/>
      <c r="D53" s="357"/>
    </row>
    <row r="54" spans="1:3" ht="12">
      <c r="A54" s="361"/>
      <c r="B54" s="366"/>
      <c r="C54" s="365"/>
    </row>
    <row r="55" spans="1:3" ht="12">
      <c r="A55" s="361"/>
      <c r="B55" s="366"/>
      <c r="C55" s="313"/>
    </row>
    <row r="57" spans="1:3" ht="12">
      <c r="A57" s="339"/>
      <c r="B57" s="366"/>
      <c r="C57" s="363"/>
    </row>
    <row r="58" spans="1:3" ht="12">
      <c r="A58" s="361"/>
      <c r="B58" s="366"/>
      <c r="C58" s="363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&amp;L&amp;"Arial,Regular"&amp;8          Valsts kase / Pārskatu departaments    
          15.12.99.
 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I65"/>
  <sheetViews>
    <sheetView showGridLines="0" showZeros="0" workbookViewId="0" topLeftCell="A1">
      <selection activeCell="E13" sqref="E13"/>
    </sheetView>
  </sheetViews>
  <sheetFormatPr defaultColWidth="9.140625" defaultRowHeight="12.75"/>
  <cols>
    <col min="1" max="1" width="41.00390625" style="337" customWidth="1"/>
    <col min="2" max="2" width="13.140625" style="392" customWidth="1"/>
    <col min="3" max="5" width="13.140625" style="309" customWidth="1"/>
    <col min="6" max="6" width="11.28125" style="309" customWidth="1"/>
    <col min="7" max="16384" width="8.00390625" style="309" customWidth="1"/>
  </cols>
  <sheetData>
    <row r="1" spans="1:6" ht="12.75">
      <c r="A1" s="331" t="s">
        <v>544</v>
      </c>
      <c r="B1" s="331"/>
      <c r="C1" s="307"/>
      <c r="D1" s="307"/>
      <c r="E1" s="307" t="s">
        <v>545</v>
      </c>
      <c r="F1" s="359" t="s">
        <v>546</v>
      </c>
    </row>
    <row r="2" spans="1:6" ht="12.75">
      <c r="A2" s="331"/>
      <c r="B2" s="331"/>
      <c r="C2" s="307"/>
      <c r="D2" s="307"/>
      <c r="E2" s="307"/>
      <c r="F2" s="359"/>
    </row>
    <row r="3" spans="1:6" ht="12.75">
      <c r="A3" s="331"/>
      <c r="B3" s="331"/>
      <c r="C3" s="307"/>
      <c r="D3" s="307"/>
      <c r="E3" s="307"/>
      <c r="F3" s="359"/>
    </row>
    <row r="4" spans="1:5" s="313" customFormat="1" ht="11.25">
      <c r="A4" s="367"/>
      <c r="B4" s="367"/>
      <c r="C4" s="340"/>
      <c r="D4" s="340"/>
      <c r="E4" s="340"/>
    </row>
    <row r="5" spans="1:6" ht="15.75">
      <c r="A5" s="333" t="s">
        <v>547</v>
      </c>
      <c r="B5" s="334"/>
      <c r="C5" s="335"/>
      <c r="D5" s="335"/>
      <c r="E5" s="335"/>
      <c r="F5" s="335"/>
    </row>
    <row r="6" spans="1:6" s="336" customFormat="1" ht="15.75">
      <c r="A6" s="333" t="s">
        <v>548</v>
      </c>
      <c r="B6" s="334"/>
      <c r="C6" s="335"/>
      <c r="D6" s="335"/>
      <c r="E6" s="335"/>
      <c r="F6" s="335"/>
    </row>
    <row r="7" spans="1:6" s="336" customFormat="1" ht="15">
      <c r="A7" s="337"/>
      <c r="B7" s="368"/>
      <c r="C7" s="338"/>
      <c r="D7" s="338"/>
      <c r="E7" s="338"/>
      <c r="F7" s="309"/>
    </row>
    <row r="8" spans="1:6" ht="11.25">
      <c r="A8" s="339"/>
      <c r="B8" s="369"/>
      <c r="C8" s="313"/>
      <c r="D8" s="340" t="s">
        <v>549</v>
      </c>
      <c r="E8" s="340"/>
      <c r="F8" s="370"/>
    </row>
    <row r="9" spans="1:5" s="313" customFormat="1" ht="43.5" customHeight="1">
      <c r="A9" s="371" t="s">
        <v>17</v>
      </c>
      <c r="B9" s="372" t="s">
        <v>458</v>
      </c>
      <c r="C9" s="372" t="s">
        <v>63</v>
      </c>
      <c r="D9" s="372" t="s">
        <v>510</v>
      </c>
      <c r="E9" s="373" t="s">
        <v>387</v>
      </c>
    </row>
    <row r="10" spans="1:5" ht="11.25">
      <c r="A10" s="374" t="s">
        <v>511</v>
      </c>
      <c r="B10" s="343" t="s">
        <v>550</v>
      </c>
      <c r="C10" s="343" t="s">
        <v>551</v>
      </c>
      <c r="D10" s="343" t="s">
        <v>552</v>
      </c>
      <c r="E10" s="375" t="s">
        <v>553</v>
      </c>
    </row>
    <row r="11" spans="1:5" ht="12.75">
      <c r="A11" s="376" t="s">
        <v>554</v>
      </c>
      <c r="B11" s="345">
        <v>389702</v>
      </c>
      <c r="C11" s="345">
        <v>361948</v>
      </c>
      <c r="D11" s="346">
        <f aca="true" t="shared" si="0" ref="D11:D36">C11/B11*100</f>
        <v>92.88</v>
      </c>
      <c r="E11" s="377">
        <v>34081</v>
      </c>
    </row>
    <row r="12" spans="1:5" s="310" customFormat="1" ht="12.75">
      <c r="A12" s="378" t="s">
        <v>555</v>
      </c>
      <c r="B12" s="345">
        <v>358958</v>
      </c>
      <c r="C12" s="345">
        <v>334452</v>
      </c>
      <c r="D12" s="346">
        <f t="shared" si="0"/>
        <v>93.17</v>
      </c>
      <c r="E12" s="377">
        <v>31244</v>
      </c>
    </row>
    <row r="13" spans="1:5" s="363" customFormat="1" ht="12">
      <c r="A13" s="379" t="s">
        <v>556</v>
      </c>
      <c r="B13" s="345">
        <v>46399</v>
      </c>
      <c r="C13" s="345">
        <v>39347</v>
      </c>
      <c r="D13" s="346">
        <f t="shared" si="0"/>
        <v>84.8</v>
      </c>
      <c r="E13" s="377">
        <v>3331</v>
      </c>
    </row>
    <row r="14" spans="1:5" s="363" customFormat="1" ht="12">
      <c r="A14" s="379" t="s">
        <v>425</v>
      </c>
      <c r="B14" s="345">
        <v>182</v>
      </c>
      <c r="C14" s="345">
        <v>136</v>
      </c>
      <c r="D14" s="346">
        <f t="shared" si="0"/>
        <v>74.73</v>
      </c>
      <c r="E14" s="377">
        <v>11</v>
      </c>
    </row>
    <row r="15" spans="1:5" s="363" customFormat="1" ht="12">
      <c r="A15" s="379" t="s">
        <v>426</v>
      </c>
      <c r="B15" s="345">
        <v>6105</v>
      </c>
      <c r="C15" s="345">
        <v>5303</v>
      </c>
      <c r="D15" s="346">
        <f t="shared" si="0"/>
        <v>86.86</v>
      </c>
      <c r="E15" s="377">
        <v>514</v>
      </c>
    </row>
    <row r="16" spans="1:9" s="363" customFormat="1" ht="12">
      <c r="A16" s="379" t="s">
        <v>427</v>
      </c>
      <c r="B16" s="345">
        <v>181233</v>
      </c>
      <c r="C16" s="345">
        <v>162946</v>
      </c>
      <c r="D16" s="346">
        <f t="shared" si="0"/>
        <v>89.91</v>
      </c>
      <c r="E16" s="377">
        <v>15639</v>
      </c>
      <c r="I16" s="363" t="s">
        <v>546</v>
      </c>
    </row>
    <row r="17" spans="1:5" s="363" customFormat="1" ht="12">
      <c r="A17" s="379" t="s">
        <v>428</v>
      </c>
      <c r="B17" s="345">
        <v>4646</v>
      </c>
      <c r="C17" s="345">
        <v>6204</v>
      </c>
      <c r="D17" s="346">
        <f t="shared" si="0"/>
        <v>133.53</v>
      </c>
      <c r="E17" s="377">
        <v>511</v>
      </c>
    </row>
    <row r="18" spans="1:5" s="363" customFormat="1" ht="12">
      <c r="A18" s="379" t="s">
        <v>429</v>
      </c>
      <c r="B18" s="345">
        <v>33113</v>
      </c>
      <c r="C18" s="345">
        <v>28680</v>
      </c>
      <c r="D18" s="346">
        <f t="shared" si="0"/>
        <v>86.61</v>
      </c>
      <c r="E18" s="377">
        <v>2949</v>
      </c>
    </row>
    <row r="19" spans="1:5" s="363" customFormat="1" ht="12">
      <c r="A19" s="379" t="s">
        <v>430</v>
      </c>
      <c r="B19" s="345">
        <v>48589</v>
      </c>
      <c r="C19" s="345">
        <v>55071</v>
      </c>
      <c r="D19" s="346">
        <f t="shared" si="0"/>
        <v>113.34</v>
      </c>
      <c r="E19" s="377">
        <v>4820</v>
      </c>
    </row>
    <row r="20" spans="1:5" s="363" customFormat="1" ht="12">
      <c r="A20" s="379" t="s">
        <v>557</v>
      </c>
      <c r="B20" s="345">
        <v>21312</v>
      </c>
      <c r="C20" s="345">
        <v>20441</v>
      </c>
      <c r="D20" s="346">
        <f t="shared" si="0"/>
        <v>95.91</v>
      </c>
      <c r="E20" s="377">
        <v>1948</v>
      </c>
    </row>
    <row r="21" spans="1:5" s="363" customFormat="1" ht="12">
      <c r="A21" s="379" t="s">
        <v>432</v>
      </c>
      <c r="B21" s="345">
        <v>3056</v>
      </c>
      <c r="C21" s="345">
        <v>2125</v>
      </c>
      <c r="D21" s="346">
        <f t="shared" si="0"/>
        <v>69.54</v>
      </c>
      <c r="E21" s="377">
        <v>178</v>
      </c>
    </row>
    <row r="22" spans="1:5" s="363" customFormat="1" ht="12">
      <c r="A22" s="379" t="s">
        <v>558</v>
      </c>
      <c r="B22" s="345">
        <v>394</v>
      </c>
      <c r="C22" s="345">
        <v>364</v>
      </c>
      <c r="D22" s="346">
        <f t="shared" si="0"/>
        <v>92.39</v>
      </c>
      <c r="E22" s="377">
        <v>49</v>
      </c>
    </row>
    <row r="23" spans="1:5" s="363" customFormat="1" ht="22.5">
      <c r="A23" s="379" t="s">
        <v>434</v>
      </c>
      <c r="B23" s="345">
        <v>406</v>
      </c>
      <c r="C23" s="345">
        <v>392</v>
      </c>
      <c r="D23" s="346">
        <f t="shared" si="0"/>
        <v>96.55</v>
      </c>
      <c r="E23" s="377">
        <v>65</v>
      </c>
    </row>
    <row r="24" spans="1:5" s="363" customFormat="1" ht="12">
      <c r="A24" s="379" t="s">
        <v>559</v>
      </c>
      <c r="B24" s="345">
        <v>7003</v>
      </c>
      <c r="C24" s="345">
        <v>9202</v>
      </c>
      <c r="D24" s="346">
        <f t="shared" si="0"/>
        <v>131.4</v>
      </c>
      <c r="E24" s="377">
        <v>918</v>
      </c>
    </row>
    <row r="25" spans="1:5" s="363" customFormat="1" ht="12">
      <c r="A25" s="379" t="s">
        <v>436</v>
      </c>
      <c r="B25" s="345">
        <v>855</v>
      </c>
      <c r="C25" s="345">
        <v>813</v>
      </c>
      <c r="D25" s="346">
        <f t="shared" si="0"/>
        <v>95.09</v>
      </c>
      <c r="E25" s="377">
        <v>96</v>
      </c>
    </row>
    <row r="26" spans="1:5" s="363" customFormat="1" ht="12">
      <c r="A26" s="379" t="s">
        <v>560</v>
      </c>
      <c r="B26" s="345">
        <v>2101</v>
      </c>
      <c r="C26" s="345">
        <v>1735</v>
      </c>
      <c r="D26" s="346">
        <f t="shared" si="0"/>
        <v>82.58</v>
      </c>
      <c r="E26" s="377">
        <v>99</v>
      </c>
    </row>
    <row r="27" spans="1:5" s="363" customFormat="1" ht="12">
      <c r="A27" s="379" t="s">
        <v>561</v>
      </c>
      <c r="B27" s="345">
        <v>290</v>
      </c>
      <c r="C27" s="345">
        <v>244</v>
      </c>
      <c r="D27" s="346">
        <f t="shared" si="0"/>
        <v>84.14</v>
      </c>
      <c r="E27" s="377">
        <v>8</v>
      </c>
    </row>
    <row r="28" spans="1:5" s="363" customFormat="1" ht="12">
      <c r="A28" s="379" t="s">
        <v>562</v>
      </c>
      <c r="B28" s="345">
        <v>1068</v>
      </c>
      <c r="C28" s="345">
        <v>15</v>
      </c>
      <c r="D28" s="346">
        <f t="shared" si="0"/>
        <v>1.4</v>
      </c>
      <c r="E28" s="377">
        <v>-3</v>
      </c>
    </row>
    <row r="29" spans="1:5" s="363" customFormat="1" ht="12">
      <c r="A29" s="379" t="s">
        <v>563</v>
      </c>
      <c r="B29" s="345">
        <v>2206</v>
      </c>
      <c r="C29" s="345">
        <v>1434</v>
      </c>
      <c r="D29" s="346">
        <f t="shared" si="0"/>
        <v>65</v>
      </c>
      <c r="E29" s="377">
        <v>111</v>
      </c>
    </row>
    <row r="30" spans="1:5" s="363" customFormat="1" ht="12.75" customHeight="1">
      <c r="A30" s="378" t="s">
        <v>564</v>
      </c>
      <c r="B30" s="345">
        <v>30744</v>
      </c>
      <c r="C30" s="345">
        <v>27496</v>
      </c>
      <c r="D30" s="346">
        <f t="shared" si="0"/>
        <v>89.44</v>
      </c>
      <c r="E30" s="377">
        <v>2837</v>
      </c>
    </row>
    <row r="31" spans="1:5" s="363" customFormat="1" ht="12">
      <c r="A31" s="380" t="s">
        <v>529</v>
      </c>
      <c r="B31" s="345">
        <v>6692</v>
      </c>
      <c r="C31" s="345">
        <v>5545</v>
      </c>
      <c r="D31" s="346">
        <f t="shared" si="0"/>
        <v>82.86</v>
      </c>
      <c r="E31" s="377">
        <v>756</v>
      </c>
    </row>
    <row r="32" spans="1:5" s="363" customFormat="1" ht="22.5">
      <c r="A32" s="381" t="s">
        <v>565</v>
      </c>
      <c r="B32" s="345">
        <v>5746</v>
      </c>
      <c r="C32" s="345">
        <v>4692</v>
      </c>
      <c r="D32" s="346">
        <f t="shared" si="0"/>
        <v>81.66</v>
      </c>
      <c r="E32" s="377">
        <v>682</v>
      </c>
    </row>
    <row r="33" spans="1:5" s="363" customFormat="1" ht="22.5">
      <c r="A33" s="381" t="s">
        <v>566</v>
      </c>
      <c r="B33" s="345">
        <v>355</v>
      </c>
      <c r="C33" s="345">
        <v>307</v>
      </c>
      <c r="D33" s="346">
        <f t="shared" si="0"/>
        <v>86.48</v>
      </c>
      <c r="E33" s="377">
        <v>35</v>
      </c>
    </row>
    <row r="34" spans="1:5" s="363" customFormat="1" ht="12">
      <c r="A34" s="381" t="s">
        <v>532</v>
      </c>
      <c r="B34" s="345">
        <v>591</v>
      </c>
      <c r="C34" s="345">
        <v>546</v>
      </c>
      <c r="D34" s="346">
        <f t="shared" si="0"/>
        <v>92.39</v>
      </c>
      <c r="E34" s="377">
        <v>39</v>
      </c>
    </row>
    <row r="35" spans="1:5" s="363" customFormat="1" ht="22.5">
      <c r="A35" s="380" t="s">
        <v>567</v>
      </c>
      <c r="B35" s="345">
        <v>24052</v>
      </c>
      <c r="C35" s="345">
        <v>21951</v>
      </c>
      <c r="D35" s="346">
        <f t="shared" si="0"/>
        <v>91.26</v>
      </c>
      <c r="E35" s="377">
        <v>2081</v>
      </c>
    </row>
    <row r="36" spans="1:5" s="363" customFormat="1" ht="12">
      <c r="A36" s="381" t="s">
        <v>568</v>
      </c>
      <c r="B36" s="345">
        <v>24052</v>
      </c>
      <c r="C36" s="345">
        <v>21951</v>
      </c>
      <c r="D36" s="346">
        <f t="shared" si="0"/>
        <v>91.26</v>
      </c>
      <c r="E36" s="377">
        <v>2081</v>
      </c>
    </row>
    <row r="37" spans="1:5" s="326" customFormat="1" ht="12">
      <c r="A37" s="382" t="s">
        <v>569</v>
      </c>
      <c r="B37" s="383">
        <v>0</v>
      </c>
      <c r="C37" s="383">
        <v>0</v>
      </c>
      <c r="D37" s="383">
        <v>0</v>
      </c>
      <c r="E37" s="384">
        <v>0</v>
      </c>
    </row>
    <row r="38" spans="1:8" s="363" customFormat="1" ht="12">
      <c r="A38" s="313" t="s">
        <v>570</v>
      </c>
      <c r="C38" s="363">
        <v>0</v>
      </c>
      <c r="D38" s="363">
        <v>0</v>
      </c>
      <c r="E38" s="309"/>
      <c r="F38" s="309"/>
      <c r="G38" s="309"/>
      <c r="H38" s="309"/>
    </row>
    <row r="39" spans="1:8" s="363" customFormat="1" ht="12">
      <c r="A39" s="385"/>
      <c r="B39" s="386"/>
      <c r="C39" s="387"/>
      <c r="D39" s="387"/>
      <c r="E39" s="309"/>
      <c r="F39" s="309"/>
      <c r="G39" s="309"/>
      <c r="H39" s="309"/>
    </row>
    <row r="40" spans="1:8" s="363" customFormat="1" ht="12">
      <c r="A40" s="385"/>
      <c r="B40" s="386"/>
      <c r="C40" s="387"/>
      <c r="D40" s="387"/>
      <c r="E40" s="309"/>
      <c r="F40" s="309"/>
      <c r="G40" s="309"/>
      <c r="H40" s="309"/>
    </row>
    <row r="41" spans="1:8" s="363" customFormat="1" ht="12">
      <c r="A41" s="361"/>
      <c r="B41" s="388"/>
      <c r="E41" s="309"/>
      <c r="F41" s="309"/>
      <c r="G41" s="309"/>
      <c r="H41" s="309"/>
    </row>
    <row r="42" spans="1:8" s="363" customFormat="1" ht="12">
      <c r="A42" s="361" t="s">
        <v>543</v>
      </c>
      <c r="B42" s="361"/>
      <c r="C42" s="389"/>
      <c r="D42" s="389"/>
      <c r="E42" s="390" t="s">
        <v>502</v>
      </c>
      <c r="F42" s="309"/>
      <c r="G42" s="309"/>
      <c r="H42" s="309"/>
    </row>
    <row r="43" spans="1:8" s="363" customFormat="1" ht="12">
      <c r="A43" s="361"/>
      <c r="B43" s="361"/>
      <c r="C43" s="391"/>
      <c r="D43" s="391"/>
      <c r="E43" s="309"/>
      <c r="F43" s="309"/>
      <c r="G43" s="309"/>
      <c r="H43" s="309"/>
    </row>
    <row r="44" spans="1:8" s="363" customFormat="1" ht="12">
      <c r="A44" s="361"/>
      <c r="B44" s="388"/>
      <c r="E44" s="309"/>
      <c r="F44" s="309"/>
      <c r="G44" s="309"/>
      <c r="H44" s="309"/>
    </row>
    <row r="45" spans="1:8" s="363" customFormat="1" ht="12">
      <c r="A45" s="361"/>
      <c r="B45" s="361"/>
      <c r="C45" s="391"/>
      <c r="D45" s="391"/>
      <c r="E45" s="309"/>
      <c r="F45" s="309"/>
      <c r="G45" s="309"/>
      <c r="H45" s="309"/>
    </row>
    <row r="46" spans="1:8" s="363" customFormat="1" ht="12">
      <c r="A46" s="361"/>
      <c r="B46" s="361"/>
      <c r="C46" s="391"/>
      <c r="E46" s="309"/>
      <c r="F46" s="309"/>
      <c r="G46" s="309"/>
      <c r="H46" s="309"/>
    </row>
    <row r="47" spans="1:4" ht="12">
      <c r="A47" s="361"/>
      <c r="B47" s="337"/>
      <c r="C47" s="366"/>
      <c r="D47" s="391"/>
    </row>
    <row r="65" spans="5:8" ht="11.25">
      <c r="E65" s="309">
        <v>0</v>
      </c>
      <c r="F65" s="309">
        <v>0</v>
      </c>
      <c r="G65" s="309">
        <v>0</v>
      </c>
      <c r="H65" s="309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&amp;L&amp;"Arial,Regular"&amp;8  Valsts kase / Pārskatu departaments
   15.12.99.
</oddFooter>
  </headerFooter>
  <rowBreaks count="1" manualBreakCount="1">
    <brk id="4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23">
      <selection activeCell="E13" sqref="E13"/>
    </sheetView>
  </sheetViews>
  <sheetFormatPr defaultColWidth="9.140625" defaultRowHeight="12.75"/>
  <cols>
    <col min="1" max="1" width="40.57421875" style="337" customWidth="1"/>
    <col min="2" max="5" width="12.28125" style="309" customWidth="1"/>
    <col min="6" max="16384" width="8.00390625" style="309" customWidth="1"/>
  </cols>
  <sheetData>
    <row r="1" spans="1:5" s="313" customFormat="1" ht="12.75">
      <c r="A1" s="331" t="s">
        <v>571</v>
      </c>
      <c r="B1" s="307"/>
      <c r="C1" s="307"/>
      <c r="D1" s="307"/>
      <c r="E1" s="307" t="s">
        <v>572</v>
      </c>
    </row>
    <row r="2" spans="1:6" s="310" customFormat="1" ht="12.75">
      <c r="A2" s="331"/>
      <c r="B2" s="307"/>
      <c r="C2" s="307"/>
      <c r="D2" s="307"/>
      <c r="E2" s="393"/>
      <c r="F2" s="359"/>
    </row>
    <row r="3" spans="1:5" s="313" customFormat="1" ht="11.25">
      <c r="A3" s="339"/>
      <c r="D3" s="340"/>
      <c r="E3" s="340"/>
    </row>
    <row r="4" spans="1:5" s="336" customFormat="1" ht="15.75">
      <c r="A4" s="333" t="s">
        <v>573</v>
      </c>
      <c r="B4" s="335"/>
      <c r="C4" s="335"/>
      <c r="D4" s="335"/>
      <c r="E4" s="335"/>
    </row>
    <row r="5" spans="1:5" s="336" customFormat="1" ht="15.75">
      <c r="A5" s="333" t="s">
        <v>548</v>
      </c>
      <c r="B5" s="335"/>
      <c r="C5" s="335"/>
      <c r="D5" s="335"/>
      <c r="E5" s="335"/>
    </row>
    <row r="6" spans="1:4" ht="15">
      <c r="A6" s="394"/>
      <c r="B6" s="338"/>
      <c r="C6" s="338"/>
      <c r="D6" s="338"/>
    </row>
    <row r="7" spans="1:4" ht="15">
      <c r="A7" s="394"/>
      <c r="B7" s="338"/>
      <c r="C7" s="338"/>
      <c r="D7" s="338"/>
    </row>
    <row r="8" spans="1:5" s="313" customFormat="1" ht="11.25" customHeight="1">
      <c r="A8" s="339"/>
      <c r="C8" s="340" t="s">
        <v>574</v>
      </c>
      <c r="D8" s="340"/>
      <c r="E8" s="340"/>
    </row>
    <row r="9" spans="1:5" s="313" customFormat="1" ht="33.75" customHeight="1">
      <c r="A9" s="371" t="s">
        <v>17</v>
      </c>
      <c r="B9" s="372" t="s">
        <v>458</v>
      </c>
      <c r="C9" s="372" t="s">
        <v>63</v>
      </c>
      <c r="D9" s="372" t="s">
        <v>510</v>
      </c>
      <c r="E9" s="373" t="s">
        <v>387</v>
      </c>
    </row>
    <row r="10" spans="1:5" s="310" customFormat="1" ht="12.75" customHeight="1">
      <c r="A10" s="374" t="s">
        <v>511</v>
      </c>
      <c r="B10" s="343" t="s">
        <v>550</v>
      </c>
      <c r="C10" s="343" t="s">
        <v>551</v>
      </c>
      <c r="D10" s="343" t="s">
        <v>552</v>
      </c>
      <c r="E10" s="375" t="s">
        <v>553</v>
      </c>
    </row>
    <row r="11" spans="1:5" s="310" customFormat="1" ht="12.75" customHeight="1">
      <c r="A11" s="376" t="s">
        <v>229</v>
      </c>
      <c r="B11" s="345">
        <v>394763</v>
      </c>
      <c r="C11" s="345">
        <v>359926</v>
      </c>
      <c r="D11" s="346">
        <v>91.06</v>
      </c>
      <c r="E11" s="377">
        <v>33297</v>
      </c>
    </row>
    <row r="12" spans="1:5" s="310" customFormat="1" ht="12.75">
      <c r="A12" s="376" t="s">
        <v>575</v>
      </c>
      <c r="B12" s="345">
        <f>B13+B32</f>
        <v>389662</v>
      </c>
      <c r="C12" s="345">
        <f>C13+C32</f>
        <v>360894</v>
      </c>
      <c r="D12" s="346">
        <v>92.88</v>
      </c>
      <c r="E12" s="345">
        <f>E13+E32</f>
        <v>33838</v>
      </c>
    </row>
    <row r="13" spans="1:5" s="357" customFormat="1" ht="11.25" customHeight="1">
      <c r="A13" s="378" t="s">
        <v>234</v>
      </c>
      <c r="B13" s="345">
        <v>353043</v>
      </c>
      <c r="C13" s="345">
        <v>306622</v>
      </c>
      <c r="D13" s="346">
        <v>86.85</v>
      </c>
      <c r="E13" s="377">
        <v>29130</v>
      </c>
    </row>
    <row r="14" spans="1:5" s="357" customFormat="1" ht="11.25" customHeight="1">
      <c r="A14" s="395" t="s">
        <v>235</v>
      </c>
      <c r="B14" s="345">
        <v>289409</v>
      </c>
      <c r="C14" s="345">
        <v>251200</v>
      </c>
      <c r="D14" s="346">
        <v>86.8</v>
      </c>
      <c r="E14" s="377">
        <v>23372</v>
      </c>
    </row>
    <row r="15" spans="1:5" s="357" customFormat="1" ht="11.25" customHeight="1" hidden="1">
      <c r="A15" s="381" t="s">
        <v>576</v>
      </c>
      <c r="B15" s="345">
        <v>3166</v>
      </c>
      <c r="C15" s="345">
        <v>2914</v>
      </c>
      <c r="D15" s="346">
        <v>92.04</v>
      </c>
      <c r="E15" s="377">
        <v>-906</v>
      </c>
    </row>
    <row r="16" spans="1:5" ht="12">
      <c r="A16" s="381" t="s">
        <v>577</v>
      </c>
      <c r="B16" s="345">
        <v>139683</v>
      </c>
      <c r="C16" s="345">
        <v>122628</v>
      </c>
      <c r="D16" s="346">
        <v>87.79</v>
      </c>
      <c r="E16" s="377">
        <v>11874</v>
      </c>
    </row>
    <row r="17" spans="1:5" ht="12">
      <c r="A17" s="381" t="s">
        <v>578</v>
      </c>
      <c r="B17" s="345">
        <v>39281</v>
      </c>
      <c r="C17" s="345">
        <v>33771</v>
      </c>
      <c r="D17" s="346">
        <v>85.97</v>
      </c>
      <c r="E17" s="377">
        <v>3084</v>
      </c>
    </row>
    <row r="18" spans="1:5" ht="12" hidden="1">
      <c r="A18" s="381" t="s">
        <v>579</v>
      </c>
      <c r="B18" s="345">
        <v>1275</v>
      </c>
      <c r="C18" s="345">
        <v>1094</v>
      </c>
      <c r="D18" s="346">
        <v>85.8</v>
      </c>
      <c r="E18" s="377">
        <v>118</v>
      </c>
    </row>
    <row r="19" spans="1:5" ht="12" hidden="1">
      <c r="A19" s="381" t="s">
        <v>580</v>
      </c>
      <c r="B19" s="345">
        <v>49202</v>
      </c>
      <c r="C19" s="345">
        <v>41757</v>
      </c>
      <c r="D19" s="346">
        <v>84.87</v>
      </c>
      <c r="E19" s="377">
        <v>3863</v>
      </c>
    </row>
    <row r="20" spans="1:5" ht="12" hidden="1">
      <c r="A20" s="381" t="s">
        <v>581</v>
      </c>
      <c r="B20" s="345">
        <v>54604</v>
      </c>
      <c r="C20" s="345">
        <v>47359</v>
      </c>
      <c r="D20" s="346">
        <v>86.73</v>
      </c>
      <c r="E20" s="377">
        <v>5052</v>
      </c>
    </row>
    <row r="21" spans="1:5" ht="12" hidden="1">
      <c r="A21" s="381" t="s">
        <v>582</v>
      </c>
      <c r="B21" s="345">
        <v>2199</v>
      </c>
      <c r="C21" s="345">
        <v>1677</v>
      </c>
      <c r="D21" s="346">
        <v>76.26</v>
      </c>
      <c r="E21" s="377">
        <v>287</v>
      </c>
    </row>
    <row r="22" spans="1:5" ht="12">
      <c r="A22" s="381" t="s">
        <v>583</v>
      </c>
      <c r="B22" s="345">
        <v>110445</v>
      </c>
      <c r="C22" s="345">
        <f>SUM(C15,C18,C19,C20,C21)</f>
        <v>94801</v>
      </c>
      <c r="D22" s="346">
        <f>C22/B22*100</f>
        <v>85.84</v>
      </c>
      <c r="E22" s="377">
        <v>8414</v>
      </c>
    </row>
    <row r="23" spans="1:5" ht="12">
      <c r="A23" s="396" t="s">
        <v>584</v>
      </c>
      <c r="B23" s="345">
        <f>SUM(B19,B20)</f>
        <v>103806</v>
      </c>
      <c r="C23" s="345">
        <f>SUM(C19,C20)</f>
        <v>89116</v>
      </c>
      <c r="D23" s="346">
        <f>C23/B23*100</f>
        <v>85.85</v>
      </c>
      <c r="E23" s="377">
        <v>8915</v>
      </c>
    </row>
    <row r="24" spans="1:5" ht="12">
      <c r="A24" s="396" t="s">
        <v>585</v>
      </c>
      <c r="B24" s="345">
        <v>6639</v>
      </c>
      <c r="C24" s="345">
        <f>SUM(C15,C18,C21)</f>
        <v>5685</v>
      </c>
      <c r="D24" s="346">
        <f>C24/B24*100</f>
        <v>85.63</v>
      </c>
      <c r="E24" s="377">
        <v>-501</v>
      </c>
    </row>
    <row r="25" spans="1:5" ht="12">
      <c r="A25" s="395" t="s">
        <v>586</v>
      </c>
      <c r="B25" s="345">
        <v>2418</v>
      </c>
      <c r="C25" s="345">
        <v>2016</v>
      </c>
      <c r="D25" s="346">
        <v>83.37</v>
      </c>
      <c r="E25" s="377">
        <v>304</v>
      </c>
    </row>
    <row r="26" spans="1:5" ht="12">
      <c r="A26" s="395" t="s">
        <v>248</v>
      </c>
      <c r="B26" s="345">
        <v>61216</v>
      </c>
      <c r="C26" s="345">
        <v>53406</v>
      </c>
      <c r="D26" s="346">
        <v>87.24</v>
      </c>
      <c r="E26" s="377">
        <v>5454</v>
      </c>
    </row>
    <row r="27" spans="1:5" ht="12">
      <c r="A27" s="381" t="s">
        <v>587</v>
      </c>
      <c r="B27" s="345">
        <v>625</v>
      </c>
      <c r="C27" s="345">
        <v>581</v>
      </c>
      <c r="D27" s="346">
        <v>92.81</v>
      </c>
      <c r="E27" s="377">
        <v>74</v>
      </c>
    </row>
    <row r="28" spans="1:5" ht="12">
      <c r="A28" s="381" t="s">
        <v>588</v>
      </c>
      <c r="B28" s="345">
        <v>4341</v>
      </c>
      <c r="C28" s="345">
        <v>3954</v>
      </c>
      <c r="D28" s="346">
        <v>91.09</v>
      </c>
      <c r="E28" s="377">
        <v>396</v>
      </c>
    </row>
    <row r="29" spans="1:5" ht="12">
      <c r="A29" s="381" t="s">
        <v>589</v>
      </c>
      <c r="B29" s="345">
        <v>24262</v>
      </c>
      <c r="C29" s="345">
        <v>22064</v>
      </c>
      <c r="D29" s="346">
        <v>90.94</v>
      </c>
      <c r="E29" s="377">
        <v>2095</v>
      </c>
    </row>
    <row r="30" spans="1:5" ht="12">
      <c r="A30" s="381" t="s">
        <v>590</v>
      </c>
      <c r="B30" s="345">
        <v>16463</v>
      </c>
      <c r="C30" s="345">
        <v>14177</v>
      </c>
      <c r="D30" s="346">
        <v>86.11</v>
      </c>
      <c r="E30" s="377">
        <v>1536</v>
      </c>
    </row>
    <row r="31" spans="1:5" ht="12">
      <c r="A31" s="381" t="s">
        <v>591</v>
      </c>
      <c r="B31" s="345">
        <v>15525</v>
      </c>
      <c r="C31" s="345">
        <v>12630</v>
      </c>
      <c r="D31" s="346">
        <v>81.35</v>
      </c>
      <c r="E31" s="377">
        <v>1353</v>
      </c>
    </row>
    <row r="32" spans="1:5" s="357" customFormat="1" ht="11.25" customHeight="1">
      <c r="A32" s="397" t="s">
        <v>592</v>
      </c>
      <c r="B32" s="345">
        <v>36619</v>
      </c>
      <c r="C32" s="345">
        <v>54272</v>
      </c>
      <c r="D32" s="346">
        <v>148.21</v>
      </c>
      <c r="E32" s="377">
        <v>4708</v>
      </c>
    </row>
    <row r="33" spans="1:6" s="357" customFormat="1" ht="11.25" customHeight="1">
      <c r="A33" s="381" t="s">
        <v>268</v>
      </c>
      <c r="B33" s="345">
        <v>20976</v>
      </c>
      <c r="C33" s="345">
        <v>18142</v>
      </c>
      <c r="D33" s="346">
        <f>C33/B33*100</f>
        <v>86.49</v>
      </c>
      <c r="E33" s="377">
        <v>2207</v>
      </c>
      <c r="F33" s="398"/>
    </row>
    <row r="34" spans="1:5" ht="12" hidden="1">
      <c r="A34" s="381" t="s">
        <v>268</v>
      </c>
      <c r="B34" s="345">
        <v>20431</v>
      </c>
      <c r="C34" s="345">
        <v>17813</v>
      </c>
      <c r="D34" s="346">
        <v>87.19</v>
      </c>
      <c r="E34" s="377">
        <v>2164</v>
      </c>
    </row>
    <row r="35" spans="1:5" ht="12" hidden="1">
      <c r="A35" s="381" t="s">
        <v>593</v>
      </c>
      <c r="B35" s="345">
        <v>545</v>
      </c>
      <c r="C35" s="345">
        <v>329</v>
      </c>
      <c r="D35" s="346">
        <v>60.37</v>
      </c>
      <c r="E35" s="377">
        <v>43</v>
      </c>
    </row>
    <row r="36" spans="1:5" ht="12">
      <c r="A36" s="381" t="s">
        <v>269</v>
      </c>
      <c r="B36" s="345">
        <v>15643</v>
      </c>
      <c r="C36" s="345">
        <v>36130</v>
      </c>
      <c r="D36" s="346">
        <v>230.97</v>
      </c>
      <c r="E36" s="377">
        <v>2501</v>
      </c>
    </row>
    <row r="37" spans="1:5" s="357" customFormat="1" ht="11.25" customHeight="1">
      <c r="A37" s="378" t="s">
        <v>594</v>
      </c>
      <c r="B37" s="345">
        <v>40</v>
      </c>
      <c r="C37" s="345">
        <v>1054</v>
      </c>
      <c r="D37" s="346">
        <v>2632.5</v>
      </c>
      <c r="E37" s="377">
        <v>243</v>
      </c>
    </row>
    <row r="38" spans="1:5" ht="12.75" customHeight="1">
      <c r="A38" s="381" t="s">
        <v>595</v>
      </c>
      <c r="B38" s="345">
        <v>1002</v>
      </c>
      <c r="C38" s="345">
        <v>1737</v>
      </c>
      <c r="D38" s="346">
        <v>173.35</v>
      </c>
      <c r="E38" s="377">
        <v>314</v>
      </c>
    </row>
    <row r="39" spans="1:5" ht="12.75" customHeight="1">
      <c r="A39" s="382" t="s">
        <v>596</v>
      </c>
      <c r="B39" s="383">
        <v>962</v>
      </c>
      <c r="C39" s="383">
        <v>683</v>
      </c>
      <c r="D39" s="399">
        <v>71</v>
      </c>
      <c r="E39" s="384">
        <v>71</v>
      </c>
    </row>
    <row r="40" spans="1:5" ht="12.75" customHeight="1">
      <c r="A40" s="400" t="s">
        <v>273</v>
      </c>
      <c r="B40" s="383">
        <f>B11-B12-B37</f>
        <v>5061</v>
      </c>
      <c r="C40" s="383">
        <f>C11-C12-C37</f>
        <v>-2022</v>
      </c>
      <c r="D40" s="401">
        <f>C40/B40*100</f>
        <v>-39.95</v>
      </c>
      <c r="E40" s="384">
        <f>E11-E12-E37</f>
        <v>-784</v>
      </c>
    </row>
    <row r="41" spans="1:5" s="363" customFormat="1" ht="12">
      <c r="A41" s="402"/>
      <c r="B41" s="388"/>
      <c r="C41" s="388"/>
      <c r="D41" s="388"/>
      <c r="E41" s="388"/>
    </row>
    <row r="42" spans="1:5" s="363" customFormat="1" ht="12">
      <c r="A42" s="360"/>
      <c r="B42" s="388"/>
      <c r="C42" s="388"/>
      <c r="D42" s="388"/>
      <c r="E42" s="388"/>
    </row>
    <row r="43" spans="1:6" ht="12">
      <c r="A43" s="388"/>
      <c r="B43" s="388"/>
      <c r="C43" s="388"/>
      <c r="D43" s="388"/>
      <c r="E43" s="388"/>
      <c r="F43" s="366"/>
    </row>
    <row r="44" spans="1:5" s="363" customFormat="1" ht="12">
      <c r="A44" s="361" t="s">
        <v>543</v>
      </c>
      <c r="B44" s="361"/>
      <c r="C44" s="362"/>
      <c r="D44" s="362"/>
      <c r="E44" s="390" t="s">
        <v>502</v>
      </c>
    </row>
    <row r="45" s="363" customFormat="1" ht="12"/>
    <row r="46" spans="1:4" s="363" customFormat="1" ht="12">
      <c r="A46" s="388"/>
      <c r="B46" s="391"/>
      <c r="C46" s="391"/>
      <c r="D46" s="391"/>
    </row>
    <row r="47" spans="1:2" s="363" customFormat="1" ht="12">
      <c r="A47" s="388"/>
      <c r="B47" s="391"/>
    </row>
    <row r="48" spans="1:4" ht="12">
      <c r="A48" s="392"/>
      <c r="B48" s="366"/>
      <c r="D48" s="391"/>
    </row>
    <row r="49" spans="4:6" ht="12">
      <c r="D49" s="366"/>
      <c r="E49" s="391"/>
      <c r="F49" s="366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&amp;L&amp;"Arial,Regular"&amp;8           Valsts kase / Pārskatu departaments
           15.12.99.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G36"/>
  <sheetViews>
    <sheetView showZeros="0" workbookViewId="0" topLeftCell="A1">
      <selection activeCell="E13" sqref="E13"/>
    </sheetView>
  </sheetViews>
  <sheetFormatPr defaultColWidth="9.140625" defaultRowHeight="12.75"/>
  <cols>
    <col min="1" max="1" width="42.7109375" style="309" customWidth="1"/>
    <col min="2" max="5" width="12.28125" style="309" customWidth="1"/>
    <col min="6" max="16384" width="8.00390625" style="309" customWidth="1"/>
  </cols>
  <sheetData>
    <row r="1" spans="1:5" s="313" customFormat="1" ht="12.75">
      <c r="A1" s="307" t="s">
        <v>571</v>
      </c>
      <c r="B1" s="307"/>
      <c r="C1" s="307"/>
      <c r="D1" s="307"/>
      <c r="E1" s="307" t="s">
        <v>597</v>
      </c>
    </row>
    <row r="2" spans="1:5" s="313" customFormat="1" ht="12.75">
      <c r="A2" s="307"/>
      <c r="B2" s="307"/>
      <c r="C2" s="307"/>
      <c r="D2" s="307"/>
      <c r="E2" s="307"/>
    </row>
    <row r="4" spans="1:5" s="336" customFormat="1" ht="15.75">
      <c r="A4" s="333" t="s">
        <v>598</v>
      </c>
      <c r="B4" s="335"/>
      <c r="C4" s="335"/>
      <c r="D4" s="335"/>
      <c r="E4" s="335"/>
    </row>
    <row r="5" spans="1:5" ht="15.75">
      <c r="A5" s="333" t="s">
        <v>548</v>
      </c>
      <c r="B5" s="338"/>
      <c r="C5" s="338"/>
      <c r="D5" s="338"/>
      <c r="E5" s="338"/>
    </row>
    <row r="6" spans="1:5" ht="11.25">
      <c r="A6" s="392"/>
      <c r="B6" s="338"/>
      <c r="C6" s="338"/>
      <c r="D6" s="338"/>
      <c r="E6" s="338"/>
    </row>
    <row r="7" spans="1:5" ht="11.25">
      <c r="A7" s="392"/>
      <c r="B7" s="338"/>
      <c r="C7" s="338"/>
      <c r="D7" s="338"/>
      <c r="E7" s="338"/>
    </row>
    <row r="8" spans="4:5" s="313" customFormat="1" ht="11.25">
      <c r="D8" s="340" t="s">
        <v>599</v>
      </c>
      <c r="E8" s="340"/>
    </row>
    <row r="9" spans="1:5" s="310" customFormat="1" ht="30.75" customHeight="1">
      <c r="A9" s="371" t="s">
        <v>17</v>
      </c>
      <c r="B9" s="372" t="s">
        <v>458</v>
      </c>
      <c r="C9" s="372" t="s">
        <v>63</v>
      </c>
      <c r="D9" s="372" t="s">
        <v>510</v>
      </c>
      <c r="E9" s="373" t="s">
        <v>398</v>
      </c>
    </row>
    <row r="10" spans="1:5" s="363" customFormat="1" ht="11.25" customHeight="1">
      <c r="A10" s="403">
        <v>1</v>
      </c>
      <c r="B10" s="404">
        <v>2</v>
      </c>
      <c r="C10" s="404">
        <v>3</v>
      </c>
      <c r="D10" s="405">
        <v>4</v>
      </c>
      <c r="E10" s="406" t="s">
        <v>553</v>
      </c>
    </row>
    <row r="11" spans="1:5" s="363" customFormat="1" ht="12.75">
      <c r="A11" s="407" t="s">
        <v>600</v>
      </c>
      <c r="B11" s="345">
        <v>44822</v>
      </c>
      <c r="C11" s="345">
        <v>40020</v>
      </c>
      <c r="D11" s="318">
        <f aca="true" t="shared" si="0" ref="D11:D24">C11/B11*100</f>
        <v>89.29</v>
      </c>
      <c r="E11" s="377">
        <v>3392</v>
      </c>
    </row>
    <row r="12" spans="1:5" ht="25.5">
      <c r="A12" s="407" t="s">
        <v>601</v>
      </c>
      <c r="B12" s="345">
        <v>38765</v>
      </c>
      <c r="C12" s="345">
        <v>34423</v>
      </c>
      <c r="D12" s="318">
        <f t="shared" si="0"/>
        <v>88.8</v>
      </c>
      <c r="E12" s="377">
        <v>2894</v>
      </c>
    </row>
    <row r="13" spans="1:5" ht="12">
      <c r="A13" s="408" t="s">
        <v>602</v>
      </c>
      <c r="B13" s="345">
        <v>5433</v>
      </c>
      <c r="C13" s="345">
        <v>6407</v>
      </c>
      <c r="D13" s="318">
        <f t="shared" si="0"/>
        <v>117.93</v>
      </c>
      <c r="E13" s="377">
        <v>413</v>
      </c>
    </row>
    <row r="14" spans="1:5" ht="12">
      <c r="A14" s="408" t="s">
        <v>603</v>
      </c>
      <c r="B14" s="345">
        <v>2542</v>
      </c>
      <c r="C14" s="345">
        <v>2215</v>
      </c>
      <c r="D14" s="318">
        <f t="shared" si="0"/>
        <v>87.14</v>
      </c>
      <c r="E14" s="377">
        <v>435</v>
      </c>
    </row>
    <row r="15" spans="1:5" ht="12">
      <c r="A15" s="408" t="s">
        <v>604</v>
      </c>
      <c r="B15" s="345">
        <v>16848</v>
      </c>
      <c r="C15" s="345">
        <v>12078</v>
      </c>
      <c r="D15" s="318">
        <f t="shared" si="0"/>
        <v>71.69</v>
      </c>
      <c r="E15" s="377">
        <v>1325</v>
      </c>
    </row>
    <row r="16" spans="1:5" ht="12">
      <c r="A16" s="408" t="s">
        <v>605</v>
      </c>
      <c r="B16" s="345">
        <v>13942</v>
      </c>
      <c r="C16" s="345">
        <v>13723</v>
      </c>
      <c r="D16" s="318">
        <f t="shared" si="0"/>
        <v>98.43</v>
      </c>
      <c r="E16" s="377">
        <v>721</v>
      </c>
    </row>
    <row r="17" spans="1:5" ht="25.5">
      <c r="A17" s="409" t="s">
        <v>606</v>
      </c>
      <c r="B17" s="345">
        <v>6057</v>
      </c>
      <c r="C17" s="345">
        <v>5597</v>
      </c>
      <c r="D17" s="318">
        <f t="shared" si="0"/>
        <v>92.41</v>
      </c>
      <c r="E17" s="377">
        <v>498</v>
      </c>
    </row>
    <row r="18" spans="1:7" s="363" customFormat="1" ht="12.75">
      <c r="A18" s="407" t="s">
        <v>607</v>
      </c>
      <c r="B18" s="345">
        <v>53207</v>
      </c>
      <c r="C18" s="345">
        <v>44124</v>
      </c>
      <c r="D18" s="318">
        <f t="shared" si="0"/>
        <v>82.93</v>
      </c>
      <c r="E18" s="377">
        <v>4166</v>
      </c>
      <c r="F18" s="309"/>
      <c r="G18" s="309"/>
    </row>
    <row r="19" spans="1:5" ht="25.5">
      <c r="A19" s="409" t="s">
        <v>608</v>
      </c>
      <c r="B19" s="345">
        <v>46537</v>
      </c>
      <c r="C19" s="345">
        <v>38582</v>
      </c>
      <c r="D19" s="318">
        <f t="shared" si="0"/>
        <v>82.91</v>
      </c>
      <c r="E19" s="377">
        <v>3691</v>
      </c>
    </row>
    <row r="20" spans="1:5" ht="12">
      <c r="A20" s="408" t="s">
        <v>602</v>
      </c>
      <c r="B20" s="345">
        <v>7945</v>
      </c>
      <c r="C20" s="345">
        <v>7031</v>
      </c>
      <c r="D20" s="318">
        <f t="shared" si="0"/>
        <v>88.5</v>
      </c>
      <c r="E20" s="377">
        <v>963</v>
      </c>
    </row>
    <row r="21" spans="1:5" ht="12">
      <c r="A21" s="408" t="s">
        <v>603</v>
      </c>
      <c r="B21" s="345">
        <v>3086</v>
      </c>
      <c r="C21" s="345">
        <v>2189</v>
      </c>
      <c r="D21" s="318">
        <f t="shared" si="0"/>
        <v>70.93</v>
      </c>
      <c r="E21" s="377">
        <v>245</v>
      </c>
    </row>
    <row r="22" spans="1:5" ht="12">
      <c r="A22" s="408" t="s">
        <v>604</v>
      </c>
      <c r="B22" s="345">
        <v>20213</v>
      </c>
      <c r="C22" s="345">
        <v>14572</v>
      </c>
      <c r="D22" s="318">
        <f t="shared" si="0"/>
        <v>72.09</v>
      </c>
      <c r="E22" s="377">
        <v>1460</v>
      </c>
    </row>
    <row r="23" spans="1:5" ht="12">
      <c r="A23" s="408" t="s">
        <v>605</v>
      </c>
      <c r="B23" s="345">
        <v>15293</v>
      </c>
      <c r="C23" s="345">
        <v>14790</v>
      </c>
      <c r="D23" s="318">
        <f t="shared" si="0"/>
        <v>96.71</v>
      </c>
      <c r="E23" s="377">
        <v>1023</v>
      </c>
    </row>
    <row r="24" spans="1:5" ht="25.5">
      <c r="A24" s="410" t="s">
        <v>609</v>
      </c>
      <c r="B24" s="383">
        <v>6670</v>
      </c>
      <c r="C24" s="383">
        <v>5542</v>
      </c>
      <c r="D24" s="411">
        <f t="shared" si="0"/>
        <v>83.09</v>
      </c>
      <c r="E24" s="384">
        <v>475</v>
      </c>
    </row>
    <row r="25" ht="11.25">
      <c r="A25" s="313" t="s">
        <v>610</v>
      </c>
    </row>
    <row r="26" spans="1:5" s="315" customFormat="1" ht="11.25">
      <c r="A26" s="392"/>
      <c r="B26" s="309"/>
      <c r="C26" s="309"/>
      <c r="D26" s="309"/>
      <c r="E26" s="309"/>
    </row>
    <row r="27" spans="1:5" s="363" customFormat="1" ht="12">
      <c r="A27" s="392"/>
      <c r="B27" s="309"/>
      <c r="C27" s="309"/>
      <c r="D27" s="309"/>
      <c r="E27" s="309"/>
    </row>
    <row r="28" spans="1:5" s="363" customFormat="1" ht="12">
      <c r="A28" s="392"/>
      <c r="B28" s="315"/>
      <c r="C28" s="391"/>
      <c r="D28" s="315"/>
      <c r="E28" s="315"/>
    </row>
    <row r="29" spans="1:5" ht="12">
      <c r="A29" s="361"/>
      <c r="E29" s="390"/>
    </row>
    <row r="30" spans="1:5" ht="12">
      <c r="A30" s="361" t="s">
        <v>543</v>
      </c>
      <c r="B30" s="361"/>
      <c r="C30" s="362"/>
      <c r="D30" s="362"/>
      <c r="E30" s="390" t="s">
        <v>502</v>
      </c>
    </row>
    <row r="31" spans="1:5" ht="12">
      <c r="A31" s="361"/>
      <c r="B31" s="361"/>
      <c r="E31" s="390"/>
    </row>
    <row r="32" ht="11.25">
      <c r="A32" s="339"/>
    </row>
    <row r="33" ht="11.25">
      <c r="A33" s="339"/>
    </row>
    <row r="34" s="310" customFormat="1" ht="12" customHeight="1">
      <c r="A34" s="359"/>
    </row>
    <row r="35" s="310" customFormat="1" ht="12" customHeight="1">
      <c r="A35" s="359"/>
    </row>
    <row r="36" ht="12.75">
      <c r="A36" s="359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        Valsts kase / Pārskatu departaments
         15.12.99.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22">
      <selection activeCell="E13" sqref="E13"/>
    </sheetView>
  </sheetViews>
  <sheetFormatPr defaultColWidth="9.140625" defaultRowHeight="12.75"/>
  <cols>
    <col min="1" max="1" width="39.7109375" style="309" customWidth="1"/>
    <col min="2" max="5" width="12.7109375" style="309" customWidth="1"/>
    <col min="6" max="16384" width="8.00390625" style="309" customWidth="1"/>
  </cols>
  <sheetData>
    <row r="1" spans="1:5" s="313" customFormat="1" ht="12.75">
      <c r="A1" s="307" t="s">
        <v>611</v>
      </c>
      <c r="B1" s="307"/>
      <c r="C1" s="307"/>
      <c r="D1" s="307"/>
      <c r="E1" s="307" t="s">
        <v>612</v>
      </c>
    </row>
    <row r="2" spans="1:5" s="313" customFormat="1" ht="12.75">
      <c r="A2" s="307"/>
      <c r="B2" s="307"/>
      <c r="C2" s="307"/>
      <c r="D2" s="307"/>
      <c r="E2" s="308"/>
    </row>
    <row r="3" spans="4:5" ht="11.25">
      <c r="D3" s="338"/>
      <c r="E3" s="338"/>
    </row>
    <row r="4" spans="1:5" s="336" customFormat="1" ht="15.75">
      <c r="A4" s="333" t="s">
        <v>613</v>
      </c>
      <c r="B4" s="338"/>
      <c r="C4" s="338"/>
      <c r="D4" s="338"/>
      <c r="E4" s="338"/>
    </row>
    <row r="5" spans="1:5" ht="15.75">
      <c r="A5" s="333" t="s">
        <v>548</v>
      </c>
      <c r="B5" s="338"/>
      <c r="C5" s="338"/>
      <c r="D5" s="338"/>
      <c r="E5" s="338"/>
    </row>
    <row r="6" spans="1:5" ht="11.25">
      <c r="A6" s="392"/>
      <c r="B6" s="338"/>
      <c r="C6" s="338"/>
      <c r="D6" s="338"/>
      <c r="E6" s="338"/>
    </row>
    <row r="7" spans="1:5" ht="11.25">
      <c r="A7" s="392"/>
      <c r="B7" s="338"/>
      <c r="C7" s="338"/>
      <c r="D7" s="338"/>
      <c r="E7" s="338"/>
    </row>
    <row r="8" spans="2:81" s="313" customFormat="1" ht="15">
      <c r="B8" s="340"/>
      <c r="C8" s="340"/>
      <c r="D8" s="412" t="s">
        <v>614</v>
      </c>
      <c r="E8" s="413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</row>
    <row r="9" spans="1:254" s="310" customFormat="1" ht="33.75" customHeight="1">
      <c r="A9" s="371" t="s">
        <v>17</v>
      </c>
      <c r="B9" s="372" t="s">
        <v>458</v>
      </c>
      <c r="C9" s="372" t="s">
        <v>63</v>
      </c>
      <c r="D9" s="372" t="s">
        <v>510</v>
      </c>
      <c r="E9" s="373" t="s">
        <v>398</v>
      </c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72"/>
      <c r="CE9" s="373"/>
      <c r="CF9" s="371"/>
      <c r="CG9" s="372"/>
      <c r="CH9" s="372"/>
      <c r="CI9" s="372"/>
      <c r="CJ9" s="373"/>
      <c r="CK9" s="371"/>
      <c r="CL9" s="372"/>
      <c r="CM9" s="372"/>
      <c r="CN9" s="372"/>
      <c r="CO9" s="373"/>
      <c r="CP9" s="371"/>
      <c r="CQ9" s="372"/>
      <c r="CR9" s="372"/>
      <c r="CS9" s="372"/>
      <c r="CT9" s="373"/>
      <c r="CU9" s="371"/>
      <c r="CV9" s="372"/>
      <c r="CW9" s="372"/>
      <c r="CX9" s="372"/>
      <c r="CY9" s="373"/>
      <c r="CZ9" s="371"/>
      <c r="DA9" s="372"/>
      <c r="DB9" s="372"/>
      <c r="DC9" s="372"/>
      <c r="DD9" s="373"/>
      <c r="DE9" s="371"/>
      <c r="DF9" s="372"/>
      <c r="DG9" s="372"/>
      <c r="DH9" s="372"/>
      <c r="DI9" s="373"/>
      <c r="DJ9" s="371"/>
      <c r="DK9" s="372"/>
      <c r="DL9" s="372"/>
      <c r="DM9" s="372"/>
      <c r="DN9" s="373"/>
      <c r="DO9" s="371"/>
      <c r="DP9" s="372"/>
      <c r="DQ9" s="372"/>
      <c r="DR9" s="372"/>
      <c r="DS9" s="373"/>
      <c r="DT9" s="371"/>
      <c r="DU9" s="372"/>
      <c r="DV9" s="372"/>
      <c r="DW9" s="372"/>
      <c r="DX9" s="373"/>
      <c r="DY9" s="371"/>
      <c r="DZ9" s="372"/>
      <c r="EA9" s="372"/>
      <c r="EB9" s="372"/>
      <c r="EC9" s="373"/>
      <c r="ED9" s="371"/>
      <c r="EE9" s="372"/>
      <c r="EF9" s="372"/>
      <c r="EG9" s="372"/>
      <c r="EH9" s="373"/>
      <c r="EI9" s="371"/>
      <c r="EJ9" s="372"/>
      <c r="EK9" s="372"/>
      <c r="EL9" s="372"/>
      <c r="EM9" s="373"/>
      <c r="EN9" s="371"/>
      <c r="EO9" s="372"/>
      <c r="EP9" s="372"/>
      <c r="EQ9" s="372"/>
      <c r="ER9" s="373"/>
      <c r="ES9" s="371"/>
      <c r="ET9" s="372"/>
      <c r="EU9" s="372"/>
      <c r="EV9" s="372"/>
      <c r="EW9" s="373"/>
      <c r="EX9" s="371"/>
      <c r="EY9" s="372"/>
      <c r="EZ9" s="372"/>
      <c r="FA9" s="372"/>
      <c r="FB9" s="373"/>
      <c r="FC9" s="371"/>
      <c r="FD9" s="372"/>
      <c r="FE9" s="372"/>
      <c r="FF9" s="372"/>
      <c r="FG9" s="373"/>
      <c r="FH9" s="371"/>
      <c r="FI9" s="372"/>
      <c r="FJ9" s="372"/>
      <c r="FK9" s="372"/>
      <c r="FL9" s="373"/>
      <c r="FM9" s="371"/>
      <c r="FN9" s="372"/>
      <c r="FO9" s="372"/>
      <c r="FP9" s="372"/>
      <c r="FQ9" s="373"/>
      <c r="FR9" s="371"/>
      <c r="FS9" s="372"/>
      <c r="FT9" s="372"/>
      <c r="FU9" s="372"/>
      <c r="FV9" s="373"/>
      <c r="FW9" s="371"/>
      <c r="FX9" s="372"/>
      <c r="FY9" s="372"/>
      <c r="FZ9" s="372"/>
      <c r="GA9" s="373"/>
      <c r="GB9" s="371"/>
      <c r="GC9" s="372"/>
      <c r="GD9" s="372"/>
      <c r="GE9" s="372"/>
      <c r="GF9" s="373"/>
      <c r="GG9" s="371"/>
      <c r="GH9" s="372"/>
      <c r="GI9" s="372"/>
      <c r="GJ9" s="372"/>
      <c r="GK9" s="373"/>
      <c r="GL9" s="371"/>
      <c r="GM9" s="372"/>
      <c r="GN9" s="372"/>
      <c r="GO9" s="372"/>
      <c r="GP9" s="373"/>
      <c r="GQ9" s="371"/>
      <c r="GR9" s="372"/>
      <c r="GS9" s="372"/>
      <c r="GT9" s="372"/>
      <c r="GU9" s="373"/>
      <c r="GV9" s="371"/>
      <c r="GW9" s="372"/>
      <c r="GX9" s="372"/>
      <c r="GY9" s="372"/>
      <c r="GZ9" s="373"/>
      <c r="HA9" s="371"/>
      <c r="HB9" s="372"/>
      <c r="HC9" s="372"/>
      <c r="HD9" s="372"/>
      <c r="HE9" s="373"/>
      <c r="HF9" s="371"/>
      <c r="HG9" s="372"/>
      <c r="HH9" s="372"/>
      <c r="HI9" s="372"/>
      <c r="HJ9" s="373"/>
      <c r="HK9" s="371"/>
      <c r="HL9" s="372"/>
      <c r="HM9" s="372"/>
      <c r="HN9" s="372"/>
      <c r="HO9" s="373"/>
      <c r="HP9" s="371"/>
      <c r="HQ9" s="372"/>
      <c r="HR9" s="372"/>
      <c r="HS9" s="372"/>
      <c r="HT9" s="373"/>
      <c r="HU9" s="371"/>
      <c r="HV9" s="372"/>
      <c r="HW9" s="372"/>
      <c r="HX9" s="372"/>
      <c r="HY9" s="373"/>
      <c r="HZ9" s="371"/>
      <c r="IA9" s="372"/>
      <c r="IB9" s="372"/>
      <c r="IC9" s="372"/>
      <c r="ID9" s="373"/>
      <c r="IE9" s="371"/>
      <c r="IF9" s="372"/>
      <c r="IG9" s="372"/>
      <c r="IH9" s="372"/>
      <c r="II9" s="373"/>
      <c r="IJ9" s="371"/>
      <c r="IK9" s="372"/>
      <c r="IL9" s="372"/>
      <c r="IM9" s="372"/>
      <c r="IN9" s="373"/>
      <c r="IO9" s="371"/>
      <c r="IP9" s="372"/>
      <c r="IQ9" s="372"/>
      <c r="IR9" s="372"/>
      <c r="IS9" s="373"/>
      <c r="IT9" s="371"/>
    </row>
    <row r="10" spans="1:5" ht="11.25">
      <c r="A10" s="403">
        <v>1</v>
      </c>
      <c r="B10" s="404">
        <v>2</v>
      </c>
      <c r="C10" s="404">
        <v>3</v>
      </c>
      <c r="D10" s="405">
        <v>4</v>
      </c>
      <c r="E10" s="406">
        <v>5</v>
      </c>
    </row>
    <row r="11" spans="1:5" s="310" customFormat="1" ht="12.75" customHeight="1">
      <c r="A11" s="376" t="s">
        <v>229</v>
      </c>
      <c r="B11" s="345">
        <v>44822</v>
      </c>
      <c r="C11" s="345">
        <v>40020</v>
      </c>
      <c r="D11" s="318">
        <f aca="true" t="shared" si="0" ref="D11:D40">C11/B11*100</f>
        <v>89.29</v>
      </c>
      <c r="E11" s="377">
        <v>3392</v>
      </c>
    </row>
    <row r="12" spans="1:5" s="310" customFormat="1" ht="12.75">
      <c r="A12" s="376" t="s">
        <v>575</v>
      </c>
      <c r="B12" s="345">
        <f>B13+B32</f>
        <v>56849</v>
      </c>
      <c r="C12" s="345">
        <f>C13+C32</f>
        <v>41973</v>
      </c>
      <c r="D12" s="318">
        <f t="shared" si="0"/>
        <v>73.83</v>
      </c>
      <c r="E12" s="377">
        <f>E13+E32</f>
        <v>4276</v>
      </c>
    </row>
    <row r="13" spans="1:5" s="357" customFormat="1" ht="11.25" customHeight="1">
      <c r="A13" s="378" t="s">
        <v>234</v>
      </c>
      <c r="B13" s="345">
        <v>41045</v>
      </c>
      <c r="C13" s="345">
        <v>30702</v>
      </c>
      <c r="D13" s="318">
        <f t="shared" si="0"/>
        <v>74.8</v>
      </c>
      <c r="E13" s="377">
        <v>3341</v>
      </c>
    </row>
    <row r="14" spans="1:5" s="357" customFormat="1" ht="11.25" customHeight="1">
      <c r="A14" s="395" t="s">
        <v>235</v>
      </c>
      <c r="B14" s="345">
        <v>31743</v>
      </c>
      <c r="C14" s="345">
        <v>22287</v>
      </c>
      <c r="D14" s="318">
        <f t="shared" si="0"/>
        <v>70.21</v>
      </c>
      <c r="E14" s="377">
        <v>1763</v>
      </c>
    </row>
    <row r="15" spans="1:5" s="357" customFormat="1" ht="11.25" customHeight="1" hidden="1">
      <c r="A15" s="381" t="s">
        <v>576</v>
      </c>
      <c r="B15" s="345">
        <v>604</v>
      </c>
      <c r="C15" s="345">
        <v>29</v>
      </c>
      <c r="D15" s="318">
        <f t="shared" si="0"/>
        <v>4.8</v>
      </c>
      <c r="E15" s="377">
        <v>13</v>
      </c>
    </row>
    <row r="16" spans="1:5" ht="12">
      <c r="A16" s="381" t="s">
        <v>577</v>
      </c>
      <c r="B16" s="345">
        <v>2921</v>
      </c>
      <c r="C16" s="345">
        <v>2300</v>
      </c>
      <c r="D16" s="318">
        <f t="shared" si="0"/>
        <v>78.74</v>
      </c>
      <c r="E16" s="377">
        <v>198</v>
      </c>
    </row>
    <row r="17" spans="1:5" ht="12">
      <c r="A17" s="381" t="s">
        <v>578</v>
      </c>
      <c r="B17" s="345">
        <v>793</v>
      </c>
      <c r="C17" s="345">
        <v>587</v>
      </c>
      <c r="D17" s="318">
        <f t="shared" si="0"/>
        <v>74.02</v>
      </c>
      <c r="E17" s="377">
        <v>54</v>
      </c>
    </row>
    <row r="18" spans="1:5" ht="12" hidden="1">
      <c r="A18" s="381" t="s">
        <v>579</v>
      </c>
      <c r="B18" s="345">
        <v>261</v>
      </c>
      <c r="C18" s="345">
        <v>185</v>
      </c>
      <c r="D18" s="318">
        <f t="shared" si="0"/>
        <v>70.88</v>
      </c>
      <c r="E18" s="377">
        <v>12</v>
      </c>
    </row>
    <row r="19" spans="1:5" ht="12" hidden="1">
      <c r="A19" s="381" t="s">
        <v>580</v>
      </c>
      <c r="B19" s="345">
        <v>23768</v>
      </c>
      <c r="C19" s="345">
        <v>17030</v>
      </c>
      <c r="D19" s="318">
        <f t="shared" si="0"/>
        <v>71.65</v>
      </c>
      <c r="E19" s="377">
        <v>1605</v>
      </c>
    </row>
    <row r="20" spans="1:5" ht="12" hidden="1">
      <c r="A20" s="381" t="s">
        <v>581</v>
      </c>
      <c r="B20" s="345">
        <v>3341</v>
      </c>
      <c r="C20" s="345">
        <v>2095</v>
      </c>
      <c r="D20" s="318">
        <f t="shared" si="0"/>
        <v>62.71</v>
      </c>
      <c r="E20" s="377">
        <v>-125</v>
      </c>
    </row>
    <row r="21" spans="1:5" ht="12" hidden="1">
      <c r="A21" s="381" t="s">
        <v>582</v>
      </c>
      <c r="B21" s="345">
        <v>55</v>
      </c>
      <c r="C21" s="345">
        <v>62</v>
      </c>
      <c r="D21" s="318">
        <f t="shared" si="0"/>
        <v>112.73</v>
      </c>
      <c r="E21" s="377">
        <v>6</v>
      </c>
    </row>
    <row r="22" spans="1:5" ht="12">
      <c r="A22" s="381" t="s">
        <v>583</v>
      </c>
      <c r="B22" s="345">
        <f>SUM(B15,B18,B19,B20,B21)</f>
        <v>28029</v>
      </c>
      <c r="C22" s="345">
        <v>19400</v>
      </c>
      <c r="D22" s="318">
        <f t="shared" si="0"/>
        <v>69.21</v>
      </c>
      <c r="E22" s="377">
        <v>1511</v>
      </c>
    </row>
    <row r="23" spans="1:5" ht="12">
      <c r="A23" s="396" t="s">
        <v>584</v>
      </c>
      <c r="B23" s="345">
        <f>SUM(B19,B20)</f>
        <v>27109</v>
      </c>
      <c r="C23" s="345">
        <v>19125</v>
      </c>
      <c r="D23" s="318">
        <f t="shared" si="0"/>
        <v>70.55</v>
      </c>
      <c r="E23" s="377">
        <v>1480</v>
      </c>
    </row>
    <row r="24" spans="1:5" ht="12">
      <c r="A24" s="396" t="s">
        <v>615</v>
      </c>
      <c r="B24" s="345">
        <f>SUM(B15,B18,B21)</f>
        <v>920</v>
      </c>
      <c r="C24" s="345">
        <v>275</v>
      </c>
      <c r="D24" s="318">
        <f t="shared" si="0"/>
        <v>29.89</v>
      </c>
      <c r="E24" s="377">
        <v>31</v>
      </c>
    </row>
    <row r="25" spans="1:5" ht="12">
      <c r="A25" s="395" t="s">
        <v>586</v>
      </c>
      <c r="B25" s="345">
        <v>39</v>
      </c>
      <c r="C25" s="345">
        <v>31</v>
      </c>
      <c r="D25" s="318">
        <f t="shared" si="0"/>
        <v>79.49</v>
      </c>
      <c r="E25" s="377">
        <v>1</v>
      </c>
    </row>
    <row r="26" spans="1:5" ht="12">
      <c r="A26" s="395" t="s">
        <v>248</v>
      </c>
      <c r="B26" s="345">
        <v>9263</v>
      </c>
      <c r="C26" s="345">
        <v>8384</v>
      </c>
      <c r="D26" s="318">
        <f t="shared" si="0"/>
        <v>90.51</v>
      </c>
      <c r="E26" s="377">
        <v>1577</v>
      </c>
    </row>
    <row r="27" spans="1:5" ht="12">
      <c r="A27" s="381" t="s">
        <v>587</v>
      </c>
      <c r="B27" s="345">
        <v>179</v>
      </c>
      <c r="C27" s="345">
        <v>130</v>
      </c>
      <c r="D27" s="318">
        <f t="shared" si="0"/>
        <v>72.63</v>
      </c>
      <c r="E27" s="377">
        <v>0</v>
      </c>
    </row>
    <row r="28" spans="1:5" ht="12">
      <c r="A28" s="381" t="s">
        <v>588</v>
      </c>
      <c r="B28" s="345">
        <v>116</v>
      </c>
      <c r="C28" s="345">
        <v>76</v>
      </c>
      <c r="D28" s="318">
        <f t="shared" si="0"/>
        <v>65.52</v>
      </c>
      <c r="E28" s="377">
        <v>15</v>
      </c>
    </row>
    <row r="29" spans="1:5" ht="12">
      <c r="A29" s="381" t="s">
        <v>589</v>
      </c>
      <c r="B29" s="345">
        <v>353</v>
      </c>
      <c r="C29" s="345">
        <v>821</v>
      </c>
      <c r="D29" s="318">
        <f t="shared" si="0"/>
        <v>232.58</v>
      </c>
      <c r="E29" s="377">
        <v>410</v>
      </c>
    </row>
    <row r="30" spans="1:5" ht="12">
      <c r="A30" s="381" t="s">
        <v>590</v>
      </c>
      <c r="B30" s="345">
        <v>6397</v>
      </c>
      <c r="C30" s="345">
        <v>5184</v>
      </c>
      <c r="D30" s="318">
        <f t="shared" si="0"/>
        <v>81.04</v>
      </c>
      <c r="E30" s="377">
        <v>976</v>
      </c>
    </row>
    <row r="31" spans="1:5" ht="12">
      <c r="A31" s="381" t="s">
        <v>591</v>
      </c>
      <c r="B31" s="345">
        <v>2218</v>
      </c>
      <c r="C31" s="345">
        <v>2173</v>
      </c>
      <c r="D31" s="318">
        <f t="shared" si="0"/>
        <v>97.97</v>
      </c>
      <c r="E31" s="377">
        <v>176</v>
      </c>
    </row>
    <row r="32" spans="1:7" s="357" customFormat="1" ht="11.25" customHeight="1">
      <c r="A32" s="378" t="s">
        <v>592</v>
      </c>
      <c r="B32" s="345">
        <v>15804</v>
      </c>
      <c r="C32" s="345">
        <v>11271</v>
      </c>
      <c r="D32" s="318">
        <f t="shared" si="0"/>
        <v>71.32</v>
      </c>
      <c r="E32" s="377">
        <v>935</v>
      </c>
      <c r="G32" s="309"/>
    </row>
    <row r="33" spans="1:7" s="357" customFormat="1" ht="11.25" customHeight="1">
      <c r="A33" s="381" t="s">
        <v>268</v>
      </c>
      <c r="B33" s="345">
        <v>12882</v>
      </c>
      <c r="C33" s="345">
        <v>9569</v>
      </c>
      <c r="D33" s="318">
        <f t="shared" si="0"/>
        <v>74.28</v>
      </c>
      <c r="E33" s="377">
        <v>867</v>
      </c>
      <c r="F33" s="309"/>
      <c r="G33" s="309"/>
    </row>
    <row r="34" spans="1:5" ht="12" hidden="1">
      <c r="A34" s="381" t="s">
        <v>268</v>
      </c>
      <c r="B34" s="345">
        <v>389702</v>
      </c>
      <c r="C34" s="345">
        <v>361948</v>
      </c>
      <c r="D34" s="318">
        <f t="shared" si="0"/>
        <v>92.88</v>
      </c>
      <c r="E34" s="377">
        <v>34081</v>
      </c>
    </row>
    <row r="35" spans="1:5" ht="12" hidden="1">
      <c r="A35" s="381" t="s">
        <v>593</v>
      </c>
      <c r="B35" s="345">
        <v>358959</v>
      </c>
      <c r="C35" s="345">
        <v>334452</v>
      </c>
      <c r="D35" s="318">
        <f t="shared" si="0"/>
        <v>93.17</v>
      </c>
      <c r="E35" s="377">
        <v>31244</v>
      </c>
    </row>
    <row r="36" spans="1:5" ht="12">
      <c r="A36" s="381" t="s">
        <v>269</v>
      </c>
      <c r="B36" s="345">
        <v>2922</v>
      </c>
      <c r="C36" s="345">
        <v>1702</v>
      </c>
      <c r="D36" s="318">
        <f t="shared" si="0"/>
        <v>58.25</v>
      </c>
      <c r="E36" s="377">
        <v>68</v>
      </c>
    </row>
    <row r="37" spans="1:7" s="357" customFormat="1" ht="11.25" customHeight="1">
      <c r="A37" s="378" t="s">
        <v>594</v>
      </c>
      <c r="B37" s="345">
        <f>B38-B39</f>
        <v>-3642</v>
      </c>
      <c r="C37" s="345">
        <f>C38-C39</f>
        <v>2151</v>
      </c>
      <c r="D37" s="318">
        <f t="shared" si="0"/>
        <v>-59.06</v>
      </c>
      <c r="E37" s="377">
        <f>E38-E39</f>
        <v>-110</v>
      </c>
      <c r="G37" s="309"/>
    </row>
    <row r="38" spans="1:5" ht="12.75" customHeight="1">
      <c r="A38" s="381" t="s">
        <v>595</v>
      </c>
      <c r="B38" s="345">
        <v>3466</v>
      </c>
      <c r="C38" s="345">
        <v>5492</v>
      </c>
      <c r="D38" s="318">
        <f t="shared" si="0"/>
        <v>158.45</v>
      </c>
      <c r="E38" s="377">
        <v>122</v>
      </c>
    </row>
    <row r="39" spans="1:5" ht="12.75" customHeight="1">
      <c r="A39" s="382" t="s">
        <v>596</v>
      </c>
      <c r="B39" s="383">
        <v>7108</v>
      </c>
      <c r="C39" s="383">
        <v>3341</v>
      </c>
      <c r="D39" s="411">
        <f t="shared" si="0"/>
        <v>47</v>
      </c>
      <c r="E39" s="384">
        <v>232</v>
      </c>
    </row>
    <row r="40" spans="1:5" ht="12.75" customHeight="1">
      <c r="A40" s="400" t="s">
        <v>273</v>
      </c>
      <c r="B40" s="383">
        <f>B11-B12-B37</f>
        <v>-8385</v>
      </c>
      <c r="C40" s="383">
        <f>C11-C12-C37</f>
        <v>-4104</v>
      </c>
      <c r="D40" s="414">
        <f t="shared" si="0"/>
        <v>48.94</v>
      </c>
      <c r="E40" s="384">
        <f>E11-E12-E37</f>
        <v>-774</v>
      </c>
    </row>
    <row r="41" spans="1:4" ht="12">
      <c r="A41" s="364"/>
      <c r="B41" s="387"/>
      <c r="C41" s="387"/>
      <c r="D41" s="415"/>
    </row>
    <row r="42" ht="11.25">
      <c r="A42" s="392"/>
    </row>
    <row r="43" spans="1:7" s="363" customFormat="1" ht="12">
      <c r="A43" s="392"/>
      <c r="B43" s="309"/>
      <c r="C43" s="309"/>
      <c r="D43" s="309"/>
      <c r="E43" s="309"/>
      <c r="F43" s="309"/>
      <c r="G43" s="309"/>
    </row>
    <row r="44" spans="1:7" s="363" customFormat="1" ht="12">
      <c r="A44" s="364"/>
      <c r="B44" s="309"/>
      <c r="C44" s="309"/>
      <c r="D44" s="309"/>
      <c r="E44" s="309"/>
      <c r="F44" s="309"/>
      <c r="G44" s="309"/>
    </row>
    <row r="45" spans="1:254" s="310" customFormat="1" ht="12.75">
      <c r="A45" s="361" t="s">
        <v>543</v>
      </c>
      <c r="B45" s="361"/>
      <c r="C45" s="362"/>
      <c r="D45" s="416"/>
      <c r="E45" s="390" t="s">
        <v>502</v>
      </c>
      <c r="F45" s="309"/>
      <c r="G45" s="309"/>
      <c r="H45" s="391"/>
      <c r="I45" s="417"/>
      <c r="J45" s="417"/>
      <c r="K45" s="418"/>
      <c r="L45" s="309"/>
      <c r="M45" s="361"/>
      <c r="N45" s="361"/>
      <c r="O45" s="363"/>
      <c r="P45" s="363"/>
      <c r="Q45" s="363"/>
      <c r="R45" s="363"/>
      <c r="S45" s="309"/>
      <c r="T45" s="361"/>
      <c r="U45" s="361"/>
      <c r="V45" s="391"/>
      <c r="W45" s="389"/>
      <c r="X45" s="389"/>
      <c r="Y45" s="418"/>
      <c r="Z45" s="309"/>
      <c r="AA45" s="361"/>
      <c r="AB45" s="361"/>
      <c r="AC45" s="391"/>
      <c r="AD45" s="389"/>
      <c r="AE45" s="389"/>
      <c r="AF45" s="418"/>
      <c r="AG45" s="309"/>
      <c r="AH45" s="361"/>
      <c r="AI45" s="361"/>
      <c r="AJ45" s="391"/>
      <c r="AK45" s="389"/>
      <c r="AL45" s="389"/>
      <c r="AM45" s="418"/>
      <c r="AN45" s="309"/>
      <c r="AO45" s="361"/>
      <c r="AP45" s="361"/>
      <c r="AQ45" s="391"/>
      <c r="AR45" s="389"/>
      <c r="AS45" s="389"/>
      <c r="AT45" s="418"/>
      <c r="AU45" s="309"/>
      <c r="AV45" s="361"/>
      <c r="AW45" s="361"/>
      <c r="AX45" s="391"/>
      <c r="AY45" s="389"/>
      <c r="AZ45" s="389"/>
      <c r="BA45" s="418"/>
      <c r="BB45" s="309"/>
      <c r="BC45" s="361"/>
      <c r="BD45" s="361"/>
      <c r="BE45" s="391"/>
      <c r="BF45" s="389"/>
      <c r="BG45" s="389"/>
      <c r="BH45" s="418"/>
      <c r="BI45" s="309"/>
      <c r="BJ45" s="361"/>
      <c r="BK45" s="361"/>
      <c r="BL45" s="391"/>
      <c r="BM45" s="389"/>
      <c r="BN45" s="389"/>
      <c r="BO45" s="418"/>
      <c r="BP45" s="309"/>
      <c r="BQ45" s="361"/>
      <c r="BR45" s="361"/>
      <c r="BS45" s="391"/>
      <c r="BT45" s="389"/>
      <c r="BU45" s="389"/>
      <c r="BV45" s="418"/>
      <c r="BW45" s="309"/>
      <c r="BX45" s="361"/>
      <c r="BY45" s="361"/>
      <c r="BZ45" s="391"/>
      <c r="CA45" s="389"/>
      <c r="CB45" s="389"/>
      <c r="CC45" s="418"/>
      <c r="CD45" s="309"/>
      <c r="CE45" s="361"/>
      <c r="CF45" s="361"/>
      <c r="CG45" s="391"/>
      <c r="CH45" s="389"/>
      <c r="CI45" s="389"/>
      <c r="CJ45" s="418"/>
      <c r="CK45" s="309"/>
      <c r="CL45" s="361"/>
      <c r="CM45" s="361"/>
      <c r="CN45" s="391"/>
      <c r="CO45" s="389"/>
      <c r="CP45" s="389"/>
      <c r="CQ45" s="418"/>
      <c r="CR45" s="309"/>
      <c r="CS45" s="361"/>
      <c r="CT45" s="361"/>
      <c r="CU45" s="391"/>
      <c r="CV45" s="389"/>
      <c r="CW45" s="389"/>
      <c r="CX45" s="418"/>
      <c r="CY45" s="309"/>
      <c r="CZ45" s="361"/>
      <c r="DA45" s="361"/>
      <c r="DB45" s="391"/>
      <c r="DC45" s="389"/>
      <c r="DD45" s="389"/>
      <c r="DE45" s="418"/>
      <c r="DF45" s="309"/>
      <c r="DG45" s="361"/>
      <c r="DH45" s="361"/>
      <c r="DI45" s="391"/>
      <c r="DJ45" s="389"/>
      <c r="DK45" s="389"/>
      <c r="DL45" s="418"/>
      <c r="DM45" s="309"/>
      <c r="DN45" s="361"/>
      <c r="DO45" s="361"/>
      <c r="DP45" s="391"/>
      <c r="DQ45" s="389"/>
      <c r="DR45" s="389"/>
      <c r="DS45" s="418"/>
      <c r="DT45" s="309"/>
      <c r="DU45" s="361"/>
      <c r="DV45" s="361"/>
      <c r="DW45" s="391"/>
      <c r="DX45" s="389"/>
      <c r="DY45" s="389"/>
      <c r="DZ45" s="418"/>
      <c r="EA45" s="309"/>
      <c r="EB45" s="361"/>
      <c r="EC45" s="361"/>
      <c r="ED45" s="391"/>
      <c r="EE45" s="389"/>
      <c r="EF45" s="389"/>
      <c r="EG45" s="418"/>
      <c r="EH45" s="309"/>
      <c r="EI45" s="361"/>
      <c r="EJ45" s="361"/>
      <c r="EK45" s="391"/>
      <c r="EL45" s="389"/>
      <c r="EM45" s="389"/>
      <c r="EN45" s="418"/>
      <c r="EO45" s="309"/>
      <c r="EP45" s="361"/>
      <c r="EQ45" s="361"/>
      <c r="ER45" s="391"/>
      <c r="ES45" s="389"/>
      <c r="ET45" s="389"/>
      <c r="EU45" s="418"/>
      <c r="EV45" s="309"/>
      <c r="EW45" s="361"/>
      <c r="EX45" s="361"/>
      <c r="EY45" s="391"/>
      <c r="EZ45" s="389"/>
      <c r="FA45" s="389"/>
      <c r="FB45" s="418"/>
      <c r="FC45" s="309"/>
      <c r="FD45" s="361"/>
      <c r="FE45" s="361"/>
      <c r="FF45" s="391"/>
      <c r="FG45" s="389"/>
      <c r="FH45" s="389"/>
      <c r="FI45" s="418"/>
      <c r="FJ45" s="309"/>
      <c r="FK45" s="361"/>
      <c r="FL45" s="361"/>
      <c r="FM45" s="391"/>
      <c r="FN45" s="389"/>
      <c r="FO45" s="389"/>
      <c r="FP45" s="418"/>
      <c r="FQ45" s="309"/>
      <c r="FR45" s="361"/>
      <c r="FS45" s="361"/>
      <c r="FT45" s="391"/>
      <c r="FU45" s="389"/>
      <c r="FV45" s="389"/>
      <c r="FW45" s="418"/>
      <c r="FX45" s="309"/>
      <c r="FY45" s="361"/>
      <c r="FZ45" s="361"/>
      <c r="GA45" s="391"/>
      <c r="GB45" s="389"/>
      <c r="GC45" s="389"/>
      <c r="GD45" s="418"/>
      <c r="GE45" s="309"/>
      <c r="GF45" s="361"/>
      <c r="GG45" s="361"/>
      <c r="GH45" s="391"/>
      <c r="GI45" s="389"/>
      <c r="GJ45" s="389"/>
      <c r="GK45" s="418"/>
      <c r="GL45" s="309"/>
      <c r="GM45" s="361"/>
      <c r="GN45" s="361"/>
      <c r="GO45" s="391"/>
      <c r="GP45" s="389"/>
      <c r="GQ45" s="389"/>
      <c r="GR45" s="418"/>
      <c r="GS45" s="309"/>
      <c r="GT45" s="361"/>
      <c r="GU45" s="361"/>
      <c r="GV45" s="391"/>
      <c r="GW45" s="389"/>
      <c r="GX45" s="389"/>
      <c r="GY45" s="418"/>
      <c r="GZ45" s="309"/>
      <c r="HA45" s="361"/>
      <c r="HB45" s="361"/>
      <c r="HC45" s="391"/>
      <c r="HD45" s="389"/>
      <c r="HE45" s="389"/>
      <c r="HF45" s="418"/>
      <c r="HG45" s="309"/>
      <c r="HH45" s="361"/>
      <c r="HI45" s="361"/>
      <c r="HJ45" s="391"/>
      <c r="HK45" s="389"/>
      <c r="HL45" s="389"/>
      <c r="HM45" s="418"/>
      <c r="HN45" s="309"/>
      <c r="HO45" s="361"/>
      <c r="HP45" s="361"/>
      <c r="HQ45" s="391"/>
      <c r="HR45" s="389"/>
      <c r="HS45" s="389"/>
      <c r="HT45" s="418"/>
      <c r="HU45" s="309"/>
      <c r="HV45" s="361"/>
      <c r="HW45" s="361"/>
      <c r="HX45" s="391"/>
      <c r="HY45" s="389"/>
      <c r="HZ45" s="389"/>
      <c r="IA45" s="418"/>
      <c r="IB45" s="309"/>
      <c r="IC45" s="361"/>
      <c r="ID45" s="361"/>
      <c r="IE45" s="391"/>
      <c r="IF45" s="389"/>
      <c r="IG45" s="389"/>
      <c r="IH45" s="418"/>
      <c r="II45" s="309"/>
      <c r="IJ45" s="361"/>
      <c r="IK45" s="361"/>
      <c r="IL45" s="391"/>
      <c r="IM45" s="389"/>
      <c r="IN45" s="389"/>
      <c r="IO45" s="418"/>
      <c r="IP45" s="309"/>
      <c r="IQ45" s="361"/>
      <c r="IR45" s="361"/>
      <c r="IS45" s="391"/>
      <c r="IT45" s="389"/>
    </row>
    <row r="46" spans="2:253" s="361" customFormat="1" ht="16.5" customHeight="1">
      <c r="B46" s="356"/>
      <c r="C46" s="356"/>
      <c r="D46" s="309"/>
      <c r="E46" s="309"/>
      <c r="F46" s="309"/>
      <c r="G46" s="309"/>
      <c r="H46" s="391"/>
      <c r="I46" s="363"/>
      <c r="J46" s="391"/>
      <c r="K46" s="391"/>
      <c r="M46" s="363"/>
      <c r="O46" s="391"/>
      <c r="P46" s="363"/>
      <c r="Q46" s="391"/>
      <c r="R46" s="391"/>
      <c r="T46" s="363"/>
      <c r="V46" s="391"/>
      <c r="W46" s="363"/>
      <c r="X46" s="391"/>
      <c r="Y46" s="391"/>
      <c r="AA46" s="363"/>
      <c r="AC46" s="391"/>
      <c r="AD46" s="363"/>
      <c r="AE46" s="391"/>
      <c r="AF46" s="391"/>
      <c r="AH46" s="363"/>
      <c r="AJ46" s="391"/>
      <c r="AK46" s="363"/>
      <c r="AL46" s="391"/>
      <c r="AM46" s="391"/>
      <c r="AO46" s="363"/>
      <c r="AQ46" s="391"/>
      <c r="AR46" s="363"/>
      <c r="AS46" s="391"/>
      <c r="AT46" s="391"/>
      <c r="AV46" s="363"/>
      <c r="AX46" s="391"/>
      <c r="AY46" s="363"/>
      <c r="AZ46" s="391"/>
      <c r="BA46" s="391"/>
      <c r="BC46" s="363"/>
      <c r="BE46" s="391"/>
      <c r="BF46" s="363"/>
      <c r="BG46" s="391"/>
      <c r="BH46" s="391"/>
      <c r="BJ46" s="363"/>
      <c r="BL46" s="391"/>
      <c r="BM46" s="363"/>
      <c r="BN46" s="391"/>
      <c r="BO46" s="391"/>
      <c r="BQ46" s="363"/>
      <c r="BS46" s="391"/>
      <c r="BT46" s="363"/>
      <c r="BU46" s="391"/>
      <c r="BV46" s="391"/>
      <c r="BX46" s="363"/>
      <c r="BZ46" s="391"/>
      <c r="CA46" s="363"/>
      <c r="CB46" s="391"/>
      <c r="CC46" s="391"/>
      <c r="CE46" s="363"/>
      <c r="CG46" s="391"/>
      <c r="CH46" s="363"/>
      <c r="CI46" s="391"/>
      <c r="CJ46" s="391"/>
      <c r="CL46" s="363"/>
      <c r="CN46" s="391"/>
      <c r="CO46" s="363"/>
      <c r="CP46" s="391"/>
      <c r="CQ46" s="391"/>
      <c r="CS46" s="363"/>
      <c r="CU46" s="391"/>
      <c r="CV46" s="363"/>
      <c r="CW46" s="391"/>
      <c r="CX46" s="391"/>
      <c r="CZ46" s="363"/>
      <c r="DB46" s="391"/>
      <c r="DC46" s="363"/>
      <c r="DD46" s="391"/>
      <c r="DE46" s="391"/>
      <c r="DG46" s="363"/>
      <c r="DI46" s="391"/>
      <c r="DJ46" s="363"/>
      <c r="DK46" s="391"/>
      <c r="DL46" s="391"/>
      <c r="DN46" s="363"/>
      <c r="DP46" s="391"/>
      <c r="DQ46" s="363"/>
      <c r="DR46" s="391"/>
      <c r="DS46" s="391"/>
      <c r="DU46" s="363"/>
      <c r="DW46" s="391"/>
      <c r="DX46" s="363"/>
      <c r="DY46" s="391"/>
      <c r="DZ46" s="391"/>
      <c r="EB46" s="363"/>
      <c r="ED46" s="391"/>
      <c r="EE46" s="363"/>
      <c r="EF46" s="391"/>
      <c r="EG46" s="391"/>
      <c r="EI46" s="363"/>
      <c r="EK46" s="391"/>
      <c r="EL46" s="363"/>
      <c r="EM46" s="391"/>
      <c r="EN46" s="391"/>
      <c r="EP46" s="363"/>
      <c r="ER46" s="391"/>
      <c r="ES46" s="363"/>
      <c r="ET46" s="391"/>
      <c r="EU46" s="391"/>
      <c r="EW46" s="363"/>
      <c r="EY46" s="391"/>
      <c r="EZ46" s="363"/>
      <c r="FA46" s="391"/>
      <c r="FB46" s="391"/>
      <c r="FD46" s="363"/>
      <c r="FF46" s="391"/>
      <c r="FG46" s="363"/>
      <c r="FH46" s="391"/>
      <c r="FI46" s="391"/>
      <c r="FK46" s="363"/>
      <c r="FM46" s="391"/>
      <c r="FN46" s="363"/>
      <c r="FO46" s="391"/>
      <c r="FP46" s="391"/>
      <c r="FR46" s="363"/>
      <c r="FT46" s="391"/>
      <c r="FU46" s="363"/>
      <c r="FV46" s="391"/>
      <c r="FW46" s="391"/>
      <c r="FY46" s="363"/>
      <c r="GA46" s="391"/>
      <c r="GB46" s="363"/>
      <c r="GC46" s="391"/>
      <c r="GD46" s="391"/>
      <c r="GF46" s="363"/>
      <c r="GH46" s="391"/>
      <c r="GI46" s="363"/>
      <c r="GJ46" s="391"/>
      <c r="GK46" s="391"/>
      <c r="GM46" s="363"/>
      <c r="GO46" s="391"/>
      <c r="GP46" s="363"/>
      <c r="GQ46" s="391"/>
      <c r="GR46" s="391"/>
      <c r="GT46" s="363"/>
      <c r="GV46" s="391"/>
      <c r="GW46" s="363"/>
      <c r="GX46" s="391"/>
      <c r="GY46" s="391"/>
      <c r="HA46" s="363"/>
      <c r="HC46" s="391"/>
      <c r="HD46" s="363"/>
      <c r="HE46" s="391"/>
      <c r="HF46" s="391"/>
      <c r="HH46" s="363"/>
      <c r="HJ46" s="391"/>
      <c r="HK46" s="363"/>
      <c r="HL46" s="391"/>
      <c r="HM46" s="391"/>
      <c r="HO46" s="363"/>
      <c r="HQ46" s="391"/>
      <c r="HR46" s="363"/>
      <c r="HS46" s="391"/>
      <c r="HT46" s="391"/>
      <c r="HV46" s="363"/>
      <c r="HX46" s="391"/>
      <c r="HY46" s="363"/>
      <c r="HZ46" s="391"/>
      <c r="IA46" s="391"/>
      <c r="IC46" s="363"/>
      <c r="IE46" s="391"/>
      <c r="IF46" s="363"/>
      <c r="IG46" s="391"/>
      <c r="IH46" s="391"/>
      <c r="IJ46" s="363"/>
      <c r="IL46" s="391"/>
      <c r="IM46" s="363"/>
      <c r="IN46" s="391"/>
      <c r="IO46" s="391"/>
      <c r="IQ46" s="363"/>
      <c r="IS46" s="391"/>
    </row>
    <row r="47" spans="1:7" s="363" customFormat="1" ht="12.75">
      <c r="A47" s="392"/>
      <c r="B47" s="419"/>
      <c r="C47" s="419"/>
      <c r="D47" s="309"/>
      <c r="E47" s="309"/>
      <c r="F47" s="309"/>
      <c r="G47" s="309"/>
    </row>
    <row r="48" spans="1:7" s="310" customFormat="1" ht="12.75">
      <c r="A48" s="420"/>
      <c r="D48" s="309"/>
      <c r="E48" s="309"/>
      <c r="F48" s="309"/>
      <c r="G48" s="309"/>
    </row>
    <row r="49" spans="1:7" s="310" customFormat="1" ht="12.75">
      <c r="A49" s="359"/>
      <c r="B49" s="359"/>
      <c r="C49" s="359"/>
      <c r="D49" s="309"/>
      <c r="E49" s="309"/>
      <c r="F49" s="309"/>
      <c r="G49" s="309"/>
    </row>
    <row r="57" spans="4:7" ht="11.25">
      <c r="D57" s="309">
        <v>0</v>
      </c>
      <c r="E57" s="309">
        <v>0</v>
      </c>
      <c r="F57" s="309">
        <v>0</v>
      </c>
      <c r="G57" s="309">
        <v>0</v>
      </c>
    </row>
    <row r="58" spans="4:7" ht="11.25">
      <c r="D58" s="309">
        <v>0</v>
      </c>
      <c r="E58" s="309">
        <v>0</v>
      </c>
      <c r="F58" s="309">
        <v>0</v>
      </c>
      <c r="G58" s="309">
        <v>0</v>
      </c>
    </row>
    <row r="59" spans="4:7" ht="11.25">
      <c r="D59" s="309">
        <v>0</v>
      </c>
      <c r="E59" s="309">
        <v>0</v>
      </c>
      <c r="F59" s="309">
        <v>0</v>
      </c>
      <c r="G59" s="309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Valsts kase / Pārskatu departaments
 15.12.99.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A1">
      <selection activeCell="E13" sqref="E13"/>
    </sheetView>
  </sheetViews>
  <sheetFormatPr defaultColWidth="9.140625" defaultRowHeight="12.75"/>
  <cols>
    <col min="1" max="1" width="17.7109375" style="330" customWidth="1"/>
    <col min="2" max="2" width="8.8515625" style="309" customWidth="1"/>
    <col min="3" max="3" width="8.421875" style="309" customWidth="1"/>
    <col min="4" max="4" width="8.8515625" style="309" customWidth="1"/>
    <col min="5" max="5" width="8.57421875" style="309" customWidth="1"/>
    <col min="6" max="6" width="6.8515625" style="309" customWidth="1"/>
    <col min="7" max="7" width="8.421875" style="309" customWidth="1"/>
    <col min="8" max="8" width="11.28125" style="309" customWidth="1"/>
    <col min="9" max="9" width="10.140625" style="309" customWidth="1"/>
    <col min="10" max="10" width="8.57421875" style="309" customWidth="1"/>
    <col min="11" max="11" width="8.00390625" style="309" customWidth="1"/>
    <col min="12" max="13" width="7.57421875" style="309" customWidth="1"/>
    <col min="14" max="14" width="7.140625" style="309" customWidth="1"/>
    <col min="15" max="16" width="9.28125" style="309" customWidth="1"/>
    <col min="17" max="16384" width="8.00390625" style="309" customWidth="1"/>
  </cols>
  <sheetData>
    <row r="1" spans="1:16" ht="12.75">
      <c r="A1" s="325"/>
      <c r="B1" s="310"/>
      <c r="C1" s="310"/>
      <c r="D1" s="310"/>
      <c r="E1" s="310"/>
      <c r="F1" s="310" t="s">
        <v>616</v>
      </c>
      <c r="G1" s="310"/>
      <c r="H1" s="310"/>
      <c r="I1" s="310"/>
      <c r="J1" s="310"/>
      <c r="K1" s="310"/>
      <c r="L1" s="310"/>
      <c r="M1" s="310"/>
      <c r="N1" s="307"/>
      <c r="O1" s="307"/>
      <c r="P1" s="307" t="s">
        <v>617</v>
      </c>
    </row>
    <row r="2" spans="14:15" ht="12">
      <c r="N2" s="421"/>
      <c r="O2" s="338"/>
    </row>
    <row r="3" spans="1:16" s="310" customFormat="1" ht="12.75">
      <c r="A3" s="325"/>
      <c r="N3" s="307"/>
      <c r="O3" s="307"/>
      <c r="P3" s="307"/>
    </row>
    <row r="4" spans="1:16" s="336" customFormat="1" ht="15.75">
      <c r="A4" s="422" t="s">
        <v>618</v>
      </c>
      <c r="B4" s="422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s="424" customFormat="1" ht="15.75">
      <c r="A5" s="311" t="s">
        <v>548</v>
      </c>
      <c r="B5" s="311"/>
      <c r="C5" s="311"/>
      <c r="D5" s="311"/>
      <c r="E5" s="423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s="424" customFormat="1" ht="15.75">
      <c r="A6" s="311"/>
      <c r="B6" s="311"/>
      <c r="C6" s="311"/>
      <c r="D6" s="311"/>
      <c r="E6" s="423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s="313" customFormat="1" ht="11.25">
      <c r="A7" s="425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 t="s">
        <v>619</v>
      </c>
      <c r="N7" s="340"/>
      <c r="O7" s="413"/>
      <c r="P7" s="340"/>
    </row>
    <row r="8" spans="1:16" s="310" customFormat="1" ht="12.75">
      <c r="A8" s="426"/>
      <c r="B8" s="427" t="s">
        <v>289</v>
      </c>
      <c r="C8" s="427"/>
      <c r="D8" s="427"/>
      <c r="E8" s="428" t="s">
        <v>407</v>
      </c>
      <c r="F8" s="427"/>
      <c r="G8" s="427"/>
      <c r="H8" s="429"/>
      <c r="I8" s="429"/>
      <c r="J8" s="430" t="s">
        <v>620</v>
      </c>
      <c r="K8" s="427"/>
      <c r="L8" s="427"/>
      <c r="M8" s="431"/>
      <c r="N8" s="427"/>
      <c r="O8" s="432"/>
      <c r="P8" s="433"/>
    </row>
    <row r="9" spans="1:16" ht="11.25">
      <c r="A9" s="434"/>
      <c r="B9" s="370"/>
      <c r="C9" s="435"/>
      <c r="D9" s="435"/>
      <c r="E9" s="435"/>
      <c r="F9" s="435"/>
      <c r="G9" s="435"/>
      <c r="H9" s="435"/>
      <c r="I9" s="435"/>
      <c r="J9" s="435"/>
      <c r="K9" s="435"/>
      <c r="L9" s="436" t="s">
        <v>621</v>
      </c>
      <c r="M9" s="436"/>
      <c r="N9" s="370"/>
      <c r="O9" s="435"/>
      <c r="P9" s="437"/>
    </row>
    <row r="10" spans="1:16" s="444" customFormat="1" ht="45">
      <c r="A10" s="438" t="s">
        <v>622</v>
      </c>
      <c r="B10" s="439" t="s">
        <v>623</v>
      </c>
      <c r="C10" s="440" t="s">
        <v>624</v>
      </c>
      <c r="D10" s="441" t="s">
        <v>625</v>
      </c>
      <c r="E10" s="441" t="s">
        <v>626</v>
      </c>
      <c r="F10" s="441" t="s">
        <v>627</v>
      </c>
      <c r="G10" s="441" t="s">
        <v>628</v>
      </c>
      <c r="H10" s="441" t="s">
        <v>629</v>
      </c>
      <c r="I10" s="441" t="s">
        <v>630</v>
      </c>
      <c r="J10" s="441" t="s">
        <v>41</v>
      </c>
      <c r="K10" s="441" t="s">
        <v>631</v>
      </c>
      <c r="L10" s="441" t="s">
        <v>632</v>
      </c>
      <c r="M10" s="441" t="s">
        <v>633</v>
      </c>
      <c r="N10" s="441" t="s">
        <v>634</v>
      </c>
      <c r="O10" s="442" t="s">
        <v>53</v>
      </c>
      <c r="P10" s="443" t="s">
        <v>635</v>
      </c>
    </row>
    <row r="11" spans="1:16" s="313" customFormat="1" ht="11.25">
      <c r="A11" s="445">
        <v>1</v>
      </c>
      <c r="B11" s="446">
        <v>2</v>
      </c>
      <c r="C11" s="446">
        <v>3</v>
      </c>
      <c r="D11" s="446">
        <v>4</v>
      </c>
      <c r="E11" s="446">
        <v>5</v>
      </c>
      <c r="F11" s="446">
        <v>6</v>
      </c>
      <c r="G11" s="446">
        <v>7</v>
      </c>
      <c r="H11" s="446">
        <v>8</v>
      </c>
      <c r="I11" s="446">
        <v>9</v>
      </c>
      <c r="J11" s="446">
        <v>10</v>
      </c>
      <c r="K11" s="446">
        <v>11</v>
      </c>
      <c r="L11" s="446">
        <v>12</v>
      </c>
      <c r="M11" s="446">
        <v>13</v>
      </c>
      <c r="N11" s="446">
        <v>14</v>
      </c>
      <c r="O11" s="446">
        <v>15</v>
      </c>
      <c r="P11" s="447">
        <v>16</v>
      </c>
    </row>
    <row r="12" spans="1:16" ht="12.75">
      <c r="A12" s="448" t="s">
        <v>636</v>
      </c>
      <c r="B12" s="449"/>
      <c r="C12" s="449"/>
      <c r="D12" s="449"/>
      <c r="E12" s="449"/>
      <c r="F12" s="449"/>
      <c r="G12" s="449"/>
      <c r="H12" s="449"/>
      <c r="I12" s="449"/>
      <c r="J12" s="449">
        <v>0</v>
      </c>
      <c r="K12" s="449"/>
      <c r="L12" s="449"/>
      <c r="M12" s="449"/>
      <c r="N12" s="449"/>
      <c r="O12" s="449"/>
      <c r="P12" s="450">
        <v>0</v>
      </c>
    </row>
    <row r="13" spans="1:16" ht="12">
      <c r="A13" s="451" t="s">
        <v>637</v>
      </c>
      <c r="B13" s="452">
        <v>104085414</v>
      </c>
      <c r="C13" s="452">
        <v>19710340</v>
      </c>
      <c r="D13" s="452">
        <v>123795754</v>
      </c>
      <c r="E13" s="452">
        <v>113492460</v>
      </c>
      <c r="F13" s="452">
        <v>15813324</v>
      </c>
      <c r="G13" s="452">
        <v>129305784</v>
      </c>
      <c r="H13" s="452">
        <v>-5510030</v>
      </c>
      <c r="I13" s="452">
        <v>5510030</v>
      </c>
      <c r="J13" s="452">
        <v>-2000000</v>
      </c>
      <c r="K13" s="452">
        <v>6214381</v>
      </c>
      <c r="L13" s="452">
        <v>6214381</v>
      </c>
      <c r="M13" s="452">
        <v>0</v>
      </c>
      <c r="N13" s="452">
        <v>0</v>
      </c>
      <c r="O13" s="452">
        <v>286181</v>
      </c>
      <c r="P13" s="453">
        <v>1009468</v>
      </c>
    </row>
    <row r="14" spans="1:16" ht="12">
      <c r="A14" s="454" t="s">
        <v>638</v>
      </c>
      <c r="B14" s="452">
        <v>9089718</v>
      </c>
      <c r="C14" s="452">
        <v>3502055</v>
      </c>
      <c r="D14" s="452">
        <v>12591773</v>
      </c>
      <c r="E14" s="452">
        <v>13048242</v>
      </c>
      <c r="F14" s="452">
        <v>15553</v>
      </c>
      <c r="G14" s="452">
        <v>13063795</v>
      </c>
      <c r="H14" s="452">
        <v>-472022</v>
      </c>
      <c r="I14" s="452">
        <v>472022</v>
      </c>
      <c r="J14" s="452">
        <v>350000</v>
      </c>
      <c r="K14" s="452">
        <v>122022</v>
      </c>
      <c r="L14" s="452">
        <v>461910</v>
      </c>
      <c r="M14" s="452">
        <v>339888</v>
      </c>
      <c r="N14" s="452">
        <v>0</v>
      </c>
      <c r="O14" s="452">
        <v>0</v>
      </c>
      <c r="P14" s="453">
        <v>0</v>
      </c>
    </row>
    <row r="15" spans="1:16" ht="12">
      <c r="A15" s="454" t="s">
        <v>639</v>
      </c>
      <c r="B15" s="452">
        <v>5617988</v>
      </c>
      <c r="C15" s="452">
        <v>2760192</v>
      </c>
      <c r="D15" s="452">
        <v>8378180</v>
      </c>
      <c r="E15" s="452">
        <v>7749243</v>
      </c>
      <c r="F15" s="452">
        <v>180861</v>
      </c>
      <c r="G15" s="452">
        <v>7930104</v>
      </c>
      <c r="H15" s="452">
        <v>448076</v>
      </c>
      <c r="I15" s="452">
        <v>-448076</v>
      </c>
      <c r="J15" s="452">
        <v>-959600</v>
      </c>
      <c r="K15" s="452">
        <v>-255794</v>
      </c>
      <c r="L15" s="452">
        <v>64369</v>
      </c>
      <c r="M15" s="452">
        <v>320163</v>
      </c>
      <c r="N15" s="452">
        <v>0</v>
      </c>
      <c r="O15" s="452">
        <v>288128</v>
      </c>
      <c r="P15" s="453">
        <v>479190</v>
      </c>
    </row>
    <row r="16" spans="1:16" ht="12">
      <c r="A16" s="454" t="s">
        <v>640</v>
      </c>
      <c r="B16" s="452">
        <v>5602411</v>
      </c>
      <c r="C16" s="452">
        <v>1407773</v>
      </c>
      <c r="D16" s="452">
        <v>7010184</v>
      </c>
      <c r="E16" s="452">
        <v>7393450</v>
      </c>
      <c r="F16" s="452">
        <v>117209</v>
      </c>
      <c r="G16" s="452">
        <v>7510659</v>
      </c>
      <c r="H16" s="452">
        <v>-500475</v>
      </c>
      <c r="I16" s="452">
        <v>500475</v>
      </c>
      <c r="J16" s="452">
        <v>577000</v>
      </c>
      <c r="K16" s="452">
        <v>-76525</v>
      </c>
      <c r="L16" s="452">
        <v>205452</v>
      </c>
      <c r="M16" s="452">
        <v>281977</v>
      </c>
      <c r="N16" s="452">
        <v>0</v>
      </c>
      <c r="O16" s="452">
        <v>0</v>
      </c>
      <c r="P16" s="453">
        <v>0</v>
      </c>
    </row>
    <row r="17" spans="1:16" ht="12">
      <c r="A17" s="454" t="s">
        <v>641</v>
      </c>
      <c r="B17" s="452">
        <v>8479292</v>
      </c>
      <c r="C17" s="452">
        <v>3095934</v>
      </c>
      <c r="D17" s="452">
        <v>11575226</v>
      </c>
      <c r="E17" s="452">
        <v>11042801</v>
      </c>
      <c r="F17" s="452">
        <v>265313</v>
      </c>
      <c r="G17" s="452">
        <v>11308114</v>
      </c>
      <c r="H17" s="452">
        <v>267112</v>
      </c>
      <c r="I17" s="452">
        <v>-267112</v>
      </c>
      <c r="J17" s="452">
        <v>-26891</v>
      </c>
      <c r="K17" s="452">
        <v>-240221</v>
      </c>
      <c r="L17" s="452">
        <v>408121</v>
      </c>
      <c r="M17" s="452">
        <v>648342</v>
      </c>
      <c r="N17" s="452">
        <v>0</v>
      </c>
      <c r="O17" s="452">
        <v>0</v>
      </c>
      <c r="P17" s="453">
        <v>0</v>
      </c>
    </row>
    <row r="18" spans="1:16" ht="12">
      <c r="A18" s="454" t="s">
        <v>642</v>
      </c>
      <c r="B18" s="452">
        <v>3327228</v>
      </c>
      <c r="C18" s="452">
        <v>1415252</v>
      </c>
      <c r="D18" s="452">
        <v>4742480</v>
      </c>
      <c r="E18" s="452">
        <v>4519925</v>
      </c>
      <c r="F18" s="452">
        <v>7065</v>
      </c>
      <c r="G18" s="452">
        <v>4526990</v>
      </c>
      <c r="H18" s="452">
        <v>215490</v>
      </c>
      <c r="I18" s="452">
        <v>-215490</v>
      </c>
      <c r="J18" s="452">
        <v>-24000</v>
      </c>
      <c r="K18" s="452">
        <v>-191490</v>
      </c>
      <c r="L18" s="452">
        <v>78705</v>
      </c>
      <c r="M18" s="452">
        <v>270195</v>
      </c>
      <c r="N18" s="452">
        <v>0</v>
      </c>
      <c r="O18" s="452">
        <v>0</v>
      </c>
      <c r="P18" s="453">
        <v>0</v>
      </c>
    </row>
    <row r="19" spans="1:16" ht="12">
      <c r="A19" s="454" t="s">
        <v>643</v>
      </c>
      <c r="B19" s="452">
        <v>10703627</v>
      </c>
      <c r="C19" s="452">
        <v>1437464</v>
      </c>
      <c r="D19" s="452">
        <v>12141091</v>
      </c>
      <c r="E19" s="452">
        <v>8648668</v>
      </c>
      <c r="F19" s="452">
        <v>2442989</v>
      </c>
      <c r="G19" s="452">
        <v>11091657</v>
      </c>
      <c r="H19" s="452">
        <v>1049434</v>
      </c>
      <c r="I19" s="452">
        <v>-1049434</v>
      </c>
      <c r="J19" s="452">
        <v>0</v>
      </c>
      <c r="K19" s="452">
        <v>-1049434</v>
      </c>
      <c r="L19" s="452">
        <v>630911</v>
      </c>
      <c r="M19" s="452">
        <v>1680345</v>
      </c>
      <c r="N19" s="452">
        <v>0</v>
      </c>
      <c r="O19" s="452">
        <v>0</v>
      </c>
      <c r="P19" s="453">
        <v>0</v>
      </c>
    </row>
    <row r="20" spans="1:16" ht="12.75">
      <c r="A20" s="448" t="s">
        <v>644</v>
      </c>
      <c r="B20" s="452">
        <f aca="true" t="shared" si="0" ref="B20:P20">SUM(B13:B19)</f>
        <v>146906000</v>
      </c>
      <c r="C20" s="452">
        <f t="shared" si="0"/>
        <v>33329000</v>
      </c>
      <c r="D20" s="452">
        <f t="shared" si="0"/>
        <v>180235000</v>
      </c>
      <c r="E20" s="452">
        <f t="shared" si="0"/>
        <v>165895000</v>
      </c>
      <c r="F20" s="452">
        <f t="shared" si="0"/>
        <v>18842000</v>
      </c>
      <c r="G20" s="452">
        <f t="shared" si="0"/>
        <v>184737000</v>
      </c>
      <c r="H20" s="452">
        <f t="shared" si="0"/>
        <v>-4502000</v>
      </c>
      <c r="I20" s="452">
        <f t="shared" si="0"/>
        <v>4502000</v>
      </c>
      <c r="J20" s="452">
        <f t="shared" si="0"/>
        <v>-2083000</v>
      </c>
      <c r="K20" s="452">
        <f t="shared" si="0"/>
        <v>4523000</v>
      </c>
      <c r="L20" s="452">
        <f t="shared" si="0"/>
        <v>8064000</v>
      </c>
      <c r="M20" s="452">
        <f t="shared" si="0"/>
        <v>3541000</v>
      </c>
      <c r="N20" s="452">
        <f t="shared" si="0"/>
        <v>0</v>
      </c>
      <c r="O20" s="452">
        <f t="shared" si="0"/>
        <v>574000</v>
      </c>
      <c r="P20" s="453">
        <f t="shared" si="0"/>
        <v>1489000</v>
      </c>
    </row>
    <row r="21" spans="1:16" s="455" customFormat="1" ht="12.75">
      <c r="A21" s="448" t="s">
        <v>645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3"/>
    </row>
    <row r="22" spans="1:16" ht="12">
      <c r="A22" s="454" t="s">
        <v>646</v>
      </c>
      <c r="B22" s="452">
        <v>3323582</v>
      </c>
      <c r="C22" s="452">
        <v>3216346</v>
      </c>
      <c r="D22" s="452">
        <v>6539928</v>
      </c>
      <c r="E22" s="452">
        <v>5838175</v>
      </c>
      <c r="F22" s="452">
        <v>363433</v>
      </c>
      <c r="G22" s="452">
        <v>6201608</v>
      </c>
      <c r="H22" s="452">
        <v>338320</v>
      </c>
      <c r="I22" s="452">
        <v>-338320</v>
      </c>
      <c r="J22" s="452">
        <v>-54065</v>
      </c>
      <c r="K22" s="452">
        <v>-416416</v>
      </c>
      <c r="L22" s="452">
        <v>255676</v>
      </c>
      <c r="M22" s="452">
        <v>672092</v>
      </c>
      <c r="N22" s="452">
        <v>3734</v>
      </c>
      <c r="O22" s="452">
        <v>139000</v>
      </c>
      <c r="P22" s="453">
        <v>-10573</v>
      </c>
    </row>
    <row r="23" spans="1:16" ht="12">
      <c r="A23" s="454" t="s">
        <v>647</v>
      </c>
      <c r="B23" s="452">
        <v>1650834</v>
      </c>
      <c r="C23" s="452">
        <v>2220450</v>
      </c>
      <c r="D23" s="452">
        <v>3871284</v>
      </c>
      <c r="E23" s="452">
        <v>3832111</v>
      </c>
      <c r="F23" s="452">
        <v>67513</v>
      </c>
      <c r="G23" s="452">
        <v>3899624</v>
      </c>
      <c r="H23" s="452">
        <v>-28340</v>
      </c>
      <c r="I23" s="452">
        <v>28340</v>
      </c>
      <c r="J23" s="452">
        <v>141672</v>
      </c>
      <c r="K23" s="452">
        <v>-108558</v>
      </c>
      <c r="L23" s="452">
        <v>80897</v>
      </c>
      <c r="M23" s="452">
        <v>189455</v>
      </c>
      <c r="N23" s="452">
        <v>0</v>
      </c>
      <c r="O23" s="452">
        <v>-2910</v>
      </c>
      <c r="P23" s="453">
        <v>-1864</v>
      </c>
    </row>
    <row r="24" spans="1:16" ht="12">
      <c r="A24" s="454" t="s">
        <v>648</v>
      </c>
      <c r="B24" s="452">
        <v>1650475</v>
      </c>
      <c r="C24" s="452">
        <v>2720046</v>
      </c>
      <c r="D24" s="452">
        <v>4370521</v>
      </c>
      <c r="E24" s="452">
        <v>4162122</v>
      </c>
      <c r="F24" s="452">
        <v>124408</v>
      </c>
      <c r="G24" s="452">
        <v>4286530</v>
      </c>
      <c r="H24" s="452">
        <v>83991</v>
      </c>
      <c r="I24" s="452">
        <v>-83991</v>
      </c>
      <c r="J24" s="452">
        <v>15000</v>
      </c>
      <c r="K24" s="452">
        <v>-97475</v>
      </c>
      <c r="L24" s="452">
        <v>116960</v>
      </c>
      <c r="M24" s="452">
        <v>214435</v>
      </c>
      <c r="N24" s="452">
        <v>0</v>
      </c>
      <c r="O24" s="452">
        <v>-1516</v>
      </c>
      <c r="P24" s="453">
        <v>0</v>
      </c>
    </row>
    <row r="25" spans="1:16" ht="12">
      <c r="A25" s="454" t="s">
        <v>649</v>
      </c>
      <c r="B25" s="452">
        <v>3523667</v>
      </c>
      <c r="C25" s="452">
        <v>3629260</v>
      </c>
      <c r="D25" s="452">
        <v>7152927</v>
      </c>
      <c r="E25" s="452">
        <v>6529143</v>
      </c>
      <c r="F25" s="452">
        <v>396884</v>
      </c>
      <c r="G25" s="452">
        <v>6926027</v>
      </c>
      <c r="H25" s="452">
        <v>226900</v>
      </c>
      <c r="I25" s="452">
        <v>-226900</v>
      </c>
      <c r="J25" s="452">
        <v>-14169</v>
      </c>
      <c r="K25" s="452">
        <v>-230089</v>
      </c>
      <c r="L25" s="452">
        <v>168381</v>
      </c>
      <c r="M25" s="452">
        <v>398470</v>
      </c>
      <c r="N25" s="452">
        <v>5500</v>
      </c>
      <c r="O25" s="452">
        <v>23030</v>
      </c>
      <c r="P25" s="453">
        <v>-11172</v>
      </c>
    </row>
    <row r="26" spans="1:16" ht="12">
      <c r="A26" s="454" t="s">
        <v>650</v>
      </c>
      <c r="B26" s="452">
        <v>5065694</v>
      </c>
      <c r="C26" s="452">
        <v>4682280</v>
      </c>
      <c r="D26" s="452">
        <v>9747974</v>
      </c>
      <c r="E26" s="452">
        <v>9281000</v>
      </c>
      <c r="F26" s="452">
        <v>278949</v>
      </c>
      <c r="G26" s="452">
        <v>9560486</v>
      </c>
      <c r="H26" s="452">
        <v>187488</v>
      </c>
      <c r="I26" s="452">
        <v>-187488</v>
      </c>
      <c r="J26" s="452">
        <v>9334</v>
      </c>
      <c r="K26" s="452">
        <v>-171867</v>
      </c>
      <c r="L26" s="452">
        <v>278037</v>
      </c>
      <c r="M26" s="452">
        <v>449904</v>
      </c>
      <c r="N26" s="452">
        <v>-6923</v>
      </c>
      <c r="O26" s="452">
        <v>0</v>
      </c>
      <c r="P26" s="453">
        <v>-18032</v>
      </c>
    </row>
    <row r="27" spans="1:16" ht="12">
      <c r="A27" s="454" t="s">
        <v>651</v>
      </c>
      <c r="B27" s="452">
        <v>2851516</v>
      </c>
      <c r="C27" s="452">
        <v>3191204</v>
      </c>
      <c r="D27" s="452">
        <v>6042720</v>
      </c>
      <c r="E27" s="452">
        <v>5680936</v>
      </c>
      <c r="F27" s="452">
        <v>334798</v>
      </c>
      <c r="G27" s="452">
        <v>6015734</v>
      </c>
      <c r="H27" s="452">
        <v>26986</v>
      </c>
      <c r="I27" s="452">
        <v>-26986</v>
      </c>
      <c r="J27" s="452">
        <v>235285</v>
      </c>
      <c r="K27" s="452">
        <v>-252970</v>
      </c>
      <c r="L27" s="452">
        <v>182974</v>
      </c>
      <c r="M27" s="452">
        <v>435944</v>
      </c>
      <c r="N27" s="452">
        <v>4000</v>
      </c>
      <c r="O27" s="452">
        <v>0</v>
      </c>
      <c r="P27" s="453">
        <v>-12743</v>
      </c>
    </row>
    <row r="28" spans="1:16" ht="12">
      <c r="A28" s="454" t="s">
        <v>652</v>
      </c>
      <c r="B28" s="452">
        <v>2891592</v>
      </c>
      <c r="C28" s="452">
        <v>2555956</v>
      </c>
      <c r="D28" s="452">
        <v>5447548</v>
      </c>
      <c r="E28" s="452">
        <v>5055350</v>
      </c>
      <c r="F28" s="452">
        <v>267289</v>
      </c>
      <c r="G28" s="452">
        <v>5322639</v>
      </c>
      <c r="H28" s="452">
        <v>124909</v>
      </c>
      <c r="I28" s="452">
        <v>-124909</v>
      </c>
      <c r="J28" s="452">
        <v>599</v>
      </c>
      <c r="K28" s="452">
        <v>-119789</v>
      </c>
      <c r="L28" s="452">
        <v>190834</v>
      </c>
      <c r="M28" s="452">
        <v>310623</v>
      </c>
      <c r="N28" s="452">
        <v>0</v>
      </c>
      <c r="O28" s="452">
        <v>0</v>
      </c>
      <c r="P28" s="453">
        <v>-5719</v>
      </c>
    </row>
    <row r="29" spans="1:16" ht="12">
      <c r="A29" s="454" t="s">
        <v>653</v>
      </c>
      <c r="B29" s="452">
        <v>1977140</v>
      </c>
      <c r="C29" s="452">
        <v>2004209</v>
      </c>
      <c r="D29" s="452">
        <v>3981349</v>
      </c>
      <c r="E29" s="452">
        <v>3494949</v>
      </c>
      <c r="F29" s="452">
        <v>114069</v>
      </c>
      <c r="G29" s="452">
        <v>3609018</v>
      </c>
      <c r="H29" s="452">
        <v>372331</v>
      </c>
      <c r="I29" s="452">
        <v>-372331</v>
      </c>
      <c r="J29" s="452">
        <v>-8740</v>
      </c>
      <c r="K29" s="452">
        <v>-336216</v>
      </c>
      <c r="L29" s="452">
        <v>46901</v>
      </c>
      <c r="M29" s="452">
        <v>383117</v>
      </c>
      <c r="N29" s="452">
        <v>0</v>
      </c>
      <c r="O29" s="452">
        <v>0</v>
      </c>
      <c r="P29" s="453">
        <v>-27375</v>
      </c>
    </row>
    <row r="30" spans="1:16" ht="12">
      <c r="A30" s="454" t="s">
        <v>654</v>
      </c>
      <c r="B30" s="452">
        <v>2467893</v>
      </c>
      <c r="C30" s="452">
        <v>2505587</v>
      </c>
      <c r="D30" s="452">
        <v>4973480</v>
      </c>
      <c r="E30" s="452">
        <v>4663355</v>
      </c>
      <c r="F30" s="452">
        <v>279596</v>
      </c>
      <c r="G30" s="452">
        <v>4942951</v>
      </c>
      <c r="H30" s="452">
        <v>30529</v>
      </c>
      <c r="I30" s="452">
        <v>-30529</v>
      </c>
      <c r="J30" s="452">
        <v>-51192</v>
      </c>
      <c r="K30" s="452">
        <v>-97337</v>
      </c>
      <c r="L30" s="452">
        <v>83636</v>
      </c>
      <c r="M30" s="452">
        <v>180973</v>
      </c>
      <c r="N30" s="452">
        <v>115000</v>
      </c>
      <c r="O30" s="452">
        <v>3000</v>
      </c>
      <c r="P30" s="453">
        <v>0</v>
      </c>
    </row>
    <row r="31" spans="1:16" ht="12">
      <c r="A31" s="454" t="s">
        <v>655</v>
      </c>
      <c r="B31" s="452">
        <v>3219281</v>
      </c>
      <c r="C31" s="452">
        <v>4103921</v>
      </c>
      <c r="D31" s="452">
        <v>7323202</v>
      </c>
      <c r="E31" s="452">
        <v>7563965</v>
      </c>
      <c r="F31" s="452">
        <v>148305</v>
      </c>
      <c r="G31" s="452">
        <v>7712270</v>
      </c>
      <c r="H31" s="452">
        <v>-389068</v>
      </c>
      <c r="I31" s="452">
        <v>389068</v>
      </c>
      <c r="J31" s="452">
        <v>554591</v>
      </c>
      <c r="K31" s="452">
        <v>-197680</v>
      </c>
      <c r="L31" s="452">
        <v>207287</v>
      </c>
      <c r="M31" s="452">
        <v>404967</v>
      </c>
      <c r="N31" s="452">
        <v>0</v>
      </c>
      <c r="O31" s="452">
        <v>9878</v>
      </c>
      <c r="P31" s="453">
        <v>22279</v>
      </c>
    </row>
    <row r="32" spans="1:16" ht="12">
      <c r="A32" s="454" t="s">
        <v>656</v>
      </c>
      <c r="B32" s="452">
        <v>1853532</v>
      </c>
      <c r="C32" s="452">
        <v>2730170</v>
      </c>
      <c r="D32" s="452">
        <v>4583702</v>
      </c>
      <c r="E32" s="452">
        <v>4606655</v>
      </c>
      <c r="F32" s="452">
        <v>138457</v>
      </c>
      <c r="G32" s="452">
        <v>4745112</v>
      </c>
      <c r="H32" s="452">
        <v>-161410</v>
      </c>
      <c r="I32" s="452">
        <v>161410</v>
      </c>
      <c r="J32" s="452">
        <v>262514</v>
      </c>
      <c r="K32" s="452">
        <v>-102204</v>
      </c>
      <c r="L32" s="452">
        <v>134900</v>
      </c>
      <c r="M32" s="452">
        <v>237104</v>
      </c>
      <c r="N32" s="452">
        <v>0</v>
      </c>
      <c r="O32" s="452">
        <v>1100</v>
      </c>
      <c r="P32" s="453">
        <v>0</v>
      </c>
    </row>
    <row r="33" spans="1:16" ht="12">
      <c r="A33" s="454" t="s">
        <v>657</v>
      </c>
      <c r="B33" s="452">
        <v>3205015</v>
      </c>
      <c r="C33" s="452">
        <v>4140793</v>
      </c>
      <c r="D33" s="452">
        <v>7345808</v>
      </c>
      <c r="E33" s="452">
        <v>6724314</v>
      </c>
      <c r="F33" s="452">
        <v>162379</v>
      </c>
      <c r="G33" s="452">
        <v>6886693</v>
      </c>
      <c r="H33" s="452">
        <v>459115</v>
      </c>
      <c r="I33" s="452">
        <v>-459115</v>
      </c>
      <c r="J33" s="452">
        <v>26477</v>
      </c>
      <c r="K33" s="452">
        <v>-439937</v>
      </c>
      <c r="L33" s="452">
        <v>126121</v>
      </c>
      <c r="M33" s="452">
        <v>566058</v>
      </c>
      <c r="N33" s="452">
        <v>0</v>
      </c>
      <c r="O33" s="452">
        <v>0</v>
      </c>
      <c r="P33" s="453">
        <v>-45655</v>
      </c>
    </row>
    <row r="34" spans="1:16" ht="12">
      <c r="A34" s="454" t="s">
        <v>658</v>
      </c>
      <c r="B34" s="452">
        <v>3068413</v>
      </c>
      <c r="C34" s="452">
        <v>3494213</v>
      </c>
      <c r="D34" s="452">
        <v>6562626</v>
      </c>
      <c r="E34" s="452">
        <v>6362192</v>
      </c>
      <c r="F34" s="452">
        <v>145682</v>
      </c>
      <c r="G34" s="452">
        <v>6507874</v>
      </c>
      <c r="H34" s="452">
        <v>54752</v>
      </c>
      <c r="I34" s="452">
        <v>-54752</v>
      </c>
      <c r="J34" s="452">
        <v>86414</v>
      </c>
      <c r="K34" s="452">
        <v>-200428</v>
      </c>
      <c r="L34" s="452">
        <v>86262</v>
      </c>
      <c r="M34" s="452">
        <v>286690</v>
      </c>
      <c r="N34" s="452">
        <v>0</v>
      </c>
      <c r="O34" s="452">
        <v>30210</v>
      </c>
      <c r="P34" s="453">
        <v>29052</v>
      </c>
    </row>
    <row r="35" spans="1:16" ht="12">
      <c r="A35" s="454" t="s">
        <v>659</v>
      </c>
      <c r="B35" s="452">
        <v>3238005</v>
      </c>
      <c r="C35" s="452">
        <v>3341697</v>
      </c>
      <c r="D35" s="452">
        <v>6579702</v>
      </c>
      <c r="E35" s="452">
        <v>6362547</v>
      </c>
      <c r="F35" s="452">
        <v>466734</v>
      </c>
      <c r="G35" s="452">
        <v>6829281</v>
      </c>
      <c r="H35" s="452">
        <v>-249579</v>
      </c>
      <c r="I35" s="452">
        <v>249579</v>
      </c>
      <c r="J35" s="452">
        <v>451945</v>
      </c>
      <c r="K35" s="452">
        <v>-201569</v>
      </c>
      <c r="L35" s="452">
        <v>266029</v>
      </c>
      <c r="M35" s="452">
        <v>467598</v>
      </c>
      <c r="N35" s="452">
        <v>0</v>
      </c>
      <c r="O35" s="452">
        <v>0</v>
      </c>
      <c r="P35" s="453">
        <v>-797</v>
      </c>
    </row>
    <row r="36" spans="1:16" ht="12">
      <c r="A36" s="454" t="s">
        <v>660</v>
      </c>
      <c r="B36" s="452">
        <v>1794029</v>
      </c>
      <c r="C36" s="452">
        <v>2800674</v>
      </c>
      <c r="D36" s="452">
        <v>4594703</v>
      </c>
      <c r="E36" s="452">
        <v>4487558</v>
      </c>
      <c r="F36" s="452">
        <v>191068</v>
      </c>
      <c r="G36" s="452">
        <v>4678626</v>
      </c>
      <c r="H36" s="452">
        <v>-83923</v>
      </c>
      <c r="I36" s="452">
        <v>83923</v>
      </c>
      <c r="J36" s="452">
        <v>335732</v>
      </c>
      <c r="K36" s="452">
        <v>-270918</v>
      </c>
      <c r="L36" s="452">
        <v>233433</v>
      </c>
      <c r="M36" s="452">
        <v>504351</v>
      </c>
      <c r="N36" s="452">
        <v>0</v>
      </c>
      <c r="O36" s="452">
        <v>19109</v>
      </c>
      <c r="P36" s="453">
        <v>0</v>
      </c>
    </row>
    <row r="37" spans="1:16" ht="12">
      <c r="A37" s="454" t="s">
        <v>661</v>
      </c>
      <c r="B37" s="452">
        <v>3164686</v>
      </c>
      <c r="C37" s="452">
        <v>3487113</v>
      </c>
      <c r="D37" s="452">
        <v>6651799</v>
      </c>
      <c r="E37" s="452">
        <v>6250372</v>
      </c>
      <c r="F37" s="452">
        <v>288013</v>
      </c>
      <c r="G37" s="452">
        <v>6538385</v>
      </c>
      <c r="H37" s="452">
        <v>113414</v>
      </c>
      <c r="I37" s="452">
        <v>-113414</v>
      </c>
      <c r="J37" s="452">
        <v>35415</v>
      </c>
      <c r="K37" s="452">
        <v>-165736</v>
      </c>
      <c r="L37" s="452">
        <v>213643</v>
      </c>
      <c r="M37" s="452">
        <v>379379</v>
      </c>
      <c r="N37" s="452">
        <v>-2069</v>
      </c>
      <c r="O37" s="452">
        <v>18976</v>
      </c>
      <c r="P37" s="453">
        <v>0</v>
      </c>
    </row>
    <row r="38" spans="1:16" ht="12">
      <c r="A38" s="454" t="s">
        <v>662</v>
      </c>
      <c r="B38" s="452">
        <v>4865531</v>
      </c>
      <c r="C38" s="452">
        <v>3352861</v>
      </c>
      <c r="D38" s="452">
        <v>8218392</v>
      </c>
      <c r="E38" s="452">
        <v>7446917</v>
      </c>
      <c r="F38" s="452">
        <v>328564</v>
      </c>
      <c r="G38" s="452">
        <v>7775481</v>
      </c>
      <c r="H38" s="452">
        <v>442911</v>
      </c>
      <c r="I38" s="452">
        <v>-442911</v>
      </c>
      <c r="J38" s="452">
        <v>-228875</v>
      </c>
      <c r="K38" s="452">
        <v>-200313</v>
      </c>
      <c r="L38" s="452">
        <v>373291</v>
      </c>
      <c r="M38" s="452">
        <v>573604</v>
      </c>
      <c r="N38" s="452">
        <v>-7364</v>
      </c>
      <c r="O38" s="452">
        <v>850</v>
      </c>
      <c r="P38" s="453">
        <v>-7209</v>
      </c>
    </row>
    <row r="39" spans="1:16" ht="12">
      <c r="A39" s="454" t="s">
        <v>663</v>
      </c>
      <c r="B39" s="452">
        <v>1549119</v>
      </c>
      <c r="C39" s="452">
        <v>3740242</v>
      </c>
      <c r="D39" s="452">
        <v>5289361</v>
      </c>
      <c r="E39" s="452">
        <v>5184071</v>
      </c>
      <c r="F39" s="452">
        <v>114772</v>
      </c>
      <c r="G39" s="452">
        <v>5298843</v>
      </c>
      <c r="H39" s="452">
        <v>-10000</v>
      </c>
      <c r="I39" s="452">
        <v>10000</v>
      </c>
      <c r="J39" s="452">
        <v>66511</v>
      </c>
      <c r="K39" s="452">
        <v>-225488</v>
      </c>
      <c r="L39" s="452">
        <v>170581</v>
      </c>
      <c r="M39" s="452">
        <v>396069</v>
      </c>
      <c r="N39" s="452">
        <v>-2099</v>
      </c>
      <c r="O39" s="452">
        <v>102571</v>
      </c>
      <c r="P39" s="453">
        <v>67000</v>
      </c>
    </row>
    <row r="40" spans="1:16" ht="12">
      <c r="A40" s="454" t="s">
        <v>664</v>
      </c>
      <c r="B40" s="452">
        <v>1715729</v>
      </c>
      <c r="C40" s="452">
        <v>3637554</v>
      </c>
      <c r="D40" s="452">
        <v>5353283</v>
      </c>
      <c r="E40" s="452">
        <v>5056434</v>
      </c>
      <c r="F40" s="452">
        <v>223000</v>
      </c>
      <c r="G40" s="452">
        <v>5278807</v>
      </c>
      <c r="H40" s="452">
        <v>74476</v>
      </c>
      <c r="I40" s="452">
        <v>-74476</v>
      </c>
      <c r="J40" s="452">
        <v>58934</v>
      </c>
      <c r="K40" s="452">
        <v>-131009</v>
      </c>
      <c r="L40" s="452">
        <v>130735</v>
      </c>
      <c r="M40" s="452">
        <v>261744</v>
      </c>
      <c r="N40" s="452">
        <v>-2401</v>
      </c>
      <c r="O40" s="452">
        <v>0</v>
      </c>
      <c r="P40" s="453">
        <v>0</v>
      </c>
    </row>
    <row r="41" spans="1:16" ht="12">
      <c r="A41" s="454" t="s">
        <v>665</v>
      </c>
      <c r="B41" s="452">
        <v>16606770</v>
      </c>
      <c r="C41" s="452">
        <v>6548671</v>
      </c>
      <c r="D41" s="452">
        <v>23155441</v>
      </c>
      <c r="E41" s="452">
        <v>20142997</v>
      </c>
      <c r="F41" s="452">
        <v>2743101</v>
      </c>
      <c r="G41" s="452">
        <v>22886098</v>
      </c>
      <c r="H41" s="452">
        <v>269343</v>
      </c>
      <c r="I41" s="452">
        <v>-269343</v>
      </c>
      <c r="J41" s="452">
        <v>103961</v>
      </c>
      <c r="K41" s="452">
        <v>-491349</v>
      </c>
      <c r="L41" s="452">
        <v>1178478</v>
      </c>
      <c r="M41" s="452">
        <v>1669827</v>
      </c>
      <c r="N41" s="452">
        <v>-31369</v>
      </c>
      <c r="O41" s="452">
        <v>-25540</v>
      </c>
      <c r="P41" s="453">
        <v>174954</v>
      </c>
    </row>
    <row r="42" spans="1:16" ht="12">
      <c r="A42" s="454" t="s">
        <v>666</v>
      </c>
      <c r="B42" s="452">
        <v>3079203</v>
      </c>
      <c r="C42" s="452">
        <v>3165877</v>
      </c>
      <c r="D42" s="452">
        <v>6245080</v>
      </c>
      <c r="E42" s="452">
        <v>5919961</v>
      </c>
      <c r="F42" s="452">
        <v>143470</v>
      </c>
      <c r="G42" s="452">
        <v>6063431</v>
      </c>
      <c r="H42" s="452">
        <v>181649</v>
      </c>
      <c r="I42" s="452">
        <v>-181649</v>
      </c>
      <c r="J42" s="452">
        <v>54634</v>
      </c>
      <c r="K42" s="452">
        <v>-132511</v>
      </c>
      <c r="L42" s="452">
        <v>184591</v>
      </c>
      <c r="M42" s="452">
        <v>317102</v>
      </c>
      <c r="N42" s="452">
        <v>0</v>
      </c>
      <c r="O42" s="452">
        <v>0</v>
      </c>
      <c r="P42" s="453">
        <v>-103772</v>
      </c>
    </row>
    <row r="43" spans="1:16" ht="12">
      <c r="A43" s="454" t="s">
        <v>667</v>
      </c>
      <c r="B43" s="452">
        <v>3862486</v>
      </c>
      <c r="C43" s="452">
        <v>3613607</v>
      </c>
      <c r="D43" s="452">
        <v>7476093</v>
      </c>
      <c r="E43" s="452">
        <v>7253356</v>
      </c>
      <c r="F43" s="452">
        <v>255214</v>
      </c>
      <c r="G43" s="452">
        <v>7508570</v>
      </c>
      <c r="H43" s="452">
        <v>-32477</v>
      </c>
      <c r="I43" s="452">
        <v>32477</v>
      </c>
      <c r="J43" s="452">
        <v>-58265</v>
      </c>
      <c r="K43" s="452">
        <v>-24431</v>
      </c>
      <c r="L43" s="452">
        <v>373141</v>
      </c>
      <c r="M43" s="452">
        <v>397572</v>
      </c>
      <c r="N43" s="452">
        <v>1832</v>
      </c>
      <c r="O43" s="452">
        <v>144335</v>
      </c>
      <c r="P43" s="453">
        <v>-30994</v>
      </c>
    </row>
    <row r="44" spans="1:16" ht="12">
      <c r="A44" s="454" t="s">
        <v>668</v>
      </c>
      <c r="B44" s="452">
        <v>4453118</v>
      </c>
      <c r="C44" s="452">
        <v>4180552</v>
      </c>
      <c r="D44" s="452">
        <v>8633670</v>
      </c>
      <c r="E44" s="452">
        <v>9221050</v>
      </c>
      <c r="F44" s="452">
        <v>199020</v>
      </c>
      <c r="G44" s="452">
        <v>9420070</v>
      </c>
      <c r="H44" s="452">
        <v>-786400</v>
      </c>
      <c r="I44" s="452">
        <v>786400</v>
      </c>
      <c r="J44" s="452">
        <v>768056</v>
      </c>
      <c r="K44" s="452">
        <v>-138708</v>
      </c>
      <c r="L44" s="452">
        <v>444384</v>
      </c>
      <c r="M44" s="452">
        <v>583092</v>
      </c>
      <c r="N44" s="452">
        <v>-5000</v>
      </c>
      <c r="O44" s="452">
        <v>-2500</v>
      </c>
      <c r="P44" s="453">
        <v>164895</v>
      </c>
    </row>
    <row r="45" spans="1:16" ht="12">
      <c r="A45" s="454" t="s">
        <v>669</v>
      </c>
      <c r="B45" s="452">
        <v>2691919</v>
      </c>
      <c r="C45" s="452">
        <v>2471410</v>
      </c>
      <c r="D45" s="452">
        <v>5163329</v>
      </c>
      <c r="E45" s="452">
        <v>4730862</v>
      </c>
      <c r="F45" s="452">
        <v>215456</v>
      </c>
      <c r="G45" s="452">
        <v>4946318</v>
      </c>
      <c r="H45" s="452">
        <v>217011</v>
      </c>
      <c r="I45" s="452">
        <v>-217011</v>
      </c>
      <c r="J45" s="452">
        <v>104490</v>
      </c>
      <c r="K45" s="452">
        <v>-257637</v>
      </c>
      <c r="L45" s="452">
        <v>139839</v>
      </c>
      <c r="M45" s="452">
        <v>397476</v>
      </c>
      <c r="N45" s="452">
        <v>0</v>
      </c>
      <c r="O45" s="452">
        <v>7035</v>
      </c>
      <c r="P45" s="453">
        <v>-70899</v>
      </c>
    </row>
    <row r="46" spans="1:16" ht="12">
      <c r="A46" s="454" t="s">
        <v>670</v>
      </c>
      <c r="B46" s="452">
        <v>7531487</v>
      </c>
      <c r="C46" s="452">
        <v>4229439</v>
      </c>
      <c r="D46" s="452">
        <v>11760926</v>
      </c>
      <c r="E46" s="452">
        <v>10656829</v>
      </c>
      <c r="F46" s="452">
        <v>551828</v>
      </c>
      <c r="G46" s="452">
        <v>11208657</v>
      </c>
      <c r="H46" s="452">
        <v>552269</v>
      </c>
      <c r="I46" s="452">
        <v>-552269</v>
      </c>
      <c r="J46" s="452">
        <v>-681092</v>
      </c>
      <c r="K46" s="452">
        <v>-94126</v>
      </c>
      <c r="L46" s="452">
        <v>275398</v>
      </c>
      <c r="M46" s="452">
        <v>369524</v>
      </c>
      <c r="N46" s="452">
        <v>293539</v>
      </c>
      <c r="O46" s="452">
        <v>46000</v>
      </c>
      <c r="P46" s="453">
        <v>-116590</v>
      </c>
    </row>
    <row r="47" spans="1:16" ht="12">
      <c r="A47" s="454" t="s">
        <v>671</v>
      </c>
      <c r="B47" s="452">
        <v>1337579</v>
      </c>
      <c r="C47" s="452">
        <v>847686</v>
      </c>
      <c r="D47" s="452">
        <v>2185265</v>
      </c>
      <c r="E47" s="452">
        <v>2049812</v>
      </c>
      <c r="F47" s="452">
        <v>111650</v>
      </c>
      <c r="G47" s="452">
        <v>2161462</v>
      </c>
      <c r="H47" s="452">
        <v>23803</v>
      </c>
      <c r="I47" s="452">
        <v>-23803</v>
      </c>
      <c r="J47" s="452">
        <v>-7000</v>
      </c>
      <c r="K47" s="452">
        <v>-16803</v>
      </c>
      <c r="L47" s="452">
        <v>84789</v>
      </c>
      <c r="M47" s="452">
        <v>101592</v>
      </c>
      <c r="N47" s="452">
        <v>0</v>
      </c>
      <c r="O47" s="452">
        <v>0</v>
      </c>
      <c r="P47" s="453">
        <v>0</v>
      </c>
    </row>
    <row r="48" spans="1:16" ht="12.75">
      <c r="A48" s="448" t="s">
        <v>672</v>
      </c>
      <c r="B48" s="452">
        <f aca="true" t="shared" si="1" ref="B48:P48">SUM(B22:B47)</f>
        <v>92638000</v>
      </c>
      <c r="C48" s="452">
        <f t="shared" si="1"/>
        <v>86612000</v>
      </c>
      <c r="D48" s="452">
        <f t="shared" si="1"/>
        <v>179250000</v>
      </c>
      <c r="E48" s="452">
        <f t="shared" si="1"/>
        <v>168557000</v>
      </c>
      <c r="F48" s="452">
        <f t="shared" si="1"/>
        <v>8654000</v>
      </c>
      <c r="G48" s="452">
        <f t="shared" si="1"/>
        <v>177211000</v>
      </c>
      <c r="H48" s="452">
        <f t="shared" si="1"/>
        <v>2039000</v>
      </c>
      <c r="I48" s="452">
        <f t="shared" si="1"/>
        <v>-2039000</v>
      </c>
      <c r="J48" s="452">
        <f t="shared" si="1"/>
        <v>2208000</v>
      </c>
      <c r="K48" s="452">
        <f t="shared" si="1"/>
        <v>-5122000</v>
      </c>
      <c r="L48" s="452">
        <f t="shared" si="1"/>
        <v>6027000</v>
      </c>
      <c r="M48" s="452">
        <f t="shared" si="1"/>
        <v>11149000</v>
      </c>
      <c r="N48" s="452">
        <f t="shared" si="1"/>
        <v>366000</v>
      </c>
      <c r="O48" s="452">
        <f t="shared" si="1"/>
        <v>513000</v>
      </c>
      <c r="P48" s="453">
        <f t="shared" si="1"/>
        <v>-5000</v>
      </c>
    </row>
    <row r="49" spans="1:16" ht="12.75">
      <c r="A49" s="456" t="s">
        <v>673</v>
      </c>
      <c r="B49" s="457">
        <f aca="true" t="shared" si="2" ref="B49:P49">B48+B20</f>
        <v>239544000</v>
      </c>
      <c r="C49" s="457">
        <f t="shared" si="2"/>
        <v>119941000</v>
      </c>
      <c r="D49" s="457">
        <f t="shared" si="2"/>
        <v>359485000</v>
      </c>
      <c r="E49" s="457">
        <f t="shared" si="2"/>
        <v>334452000</v>
      </c>
      <c r="F49" s="457">
        <f t="shared" si="2"/>
        <v>27496000</v>
      </c>
      <c r="G49" s="457">
        <f t="shared" si="2"/>
        <v>361948000</v>
      </c>
      <c r="H49" s="457">
        <f t="shared" si="2"/>
        <v>-2463000</v>
      </c>
      <c r="I49" s="457">
        <f t="shared" si="2"/>
        <v>2463000</v>
      </c>
      <c r="J49" s="457">
        <f t="shared" si="2"/>
        <v>125000</v>
      </c>
      <c r="K49" s="457">
        <f t="shared" si="2"/>
        <v>-599000</v>
      </c>
      <c r="L49" s="457">
        <f t="shared" si="2"/>
        <v>14091000</v>
      </c>
      <c r="M49" s="457">
        <f t="shared" si="2"/>
        <v>14690000</v>
      </c>
      <c r="N49" s="457">
        <f t="shared" si="2"/>
        <v>366000</v>
      </c>
      <c r="O49" s="457">
        <f t="shared" si="2"/>
        <v>1087000</v>
      </c>
      <c r="P49" s="458">
        <f t="shared" si="2"/>
        <v>1484000</v>
      </c>
    </row>
    <row r="50" spans="1:7" s="460" customFormat="1" ht="12">
      <c r="A50" s="459" t="s">
        <v>674</v>
      </c>
      <c r="G50" s="460" t="s">
        <v>546</v>
      </c>
    </row>
    <row r="51" s="460" customFormat="1" ht="12">
      <c r="A51" s="459" t="s">
        <v>675</v>
      </c>
    </row>
    <row r="52" spans="1:11" s="460" customFormat="1" ht="12">
      <c r="A52" s="461"/>
      <c r="B52" s="390"/>
      <c r="C52" s="390"/>
      <c r="D52" s="390"/>
      <c r="E52" s="390"/>
      <c r="F52" s="390"/>
      <c r="G52" s="390"/>
      <c r="H52" s="390"/>
      <c r="I52" s="390"/>
      <c r="J52" s="390"/>
      <c r="K52" s="390"/>
    </row>
    <row r="53" s="460" customFormat="1" ht="12">
      <c r="A53" s="417"/>
    </row>
    <row r="54" spans="1:12" s="460" customFormat="1" ht="12">
      <c r="A54" s="462"/>
      <c r="B54" s="462"/>
      <c r="C54" s="363"/>
      <c r="D54" s="363"/>
      <c r="E54" s="363"/>
      <c r="F54" s="363"/>
      <c r="H54" s="463"/>
      <c r="I54" s="463"/>
      <c r="J54" s="463"/>
      <c r="K54" s="463"/>
      <c r="L54" s="463"/>
    </row>
    <row r="55" s="465" customFormat="1" ht="11.25">
      <c r="A55" s="464"/>
    </row>
    <row r="58" spans="1:11" s="363" customFormat="1" ht="11.25" customHeight="1">
      <c r="A58" s="466" t="s">
        <v>676</v>
      </c>
      <c r="H58" s="363" t="s">
        <v>677</v>
      </c>
      <c r="K58" s="363" t="s">
        <v>502</v>
      </c>
    </row>
    <row r="59" ht="11.25">
      <c r="A59" s="366"/>
    </row>
    <row r="67" s="313" customFormat="1" ht="11.25">
      <c r="A67" s="370" t="s">
        <v>503</v>
      </c>
    </row>
    <row r="68" ht="11.25">
      <c r="A68" s="329" t="s">
        <v>678</v>
      </c>
    </row>
  </sheetData>
  <printOptions/>
  <pageMargins left="0.25" right="0.25" top="0.6" bottom="0.86" header="0.22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P68"/>
  <sheetViews>
    <sheetView showGridLines="0" showZeros="0" workbookViewId="0" topLeftCell="A48">
      <selection activeCell="E13" sqref="E13"/>
    </sheetView>
  </sheetViews>
  <sheetFormatPr defaultColWidth="9.140625" defaultRowHeight="12.75"/>
  <cols>
    <col min="1" max="1" width="20.421875" style="330" customWidth="1"/>
    <col min="2" max="2" width="9.7109375" style="309" customWidth="1"/>
    <col min="3" max="3" width="9.57421875" style="309" customWidth="1"/>
    <col min="4" max="4" width="14.8515625" style="309" customWidth="1"/>
    <col min="5" max="9" width="10.57421875" style="309" customWidth="1"/>
    <col min="10" max="10" width="11.8515625" style="309" customWidth="1"/>
    <col min="11" max="12" width="11.00390625" style="309" customWidth="1"/>
    <col min="13" max="16" width="7.140625" style="309" customWidth="1"/>
    <col min="17" max="16384" width="8.00390625" style="309" customWidth="1"/>
  </cols>
  <sheetData>
    <row r="1" spans="1:12" s="313" customFormat="1" ht="12.75">
      <c r="A1" s="307" t="s">
        <v>679</v>
      </c>
      <c r="B1" s="307"/>
      <c r="C1" s="307"/>
      <c r="D1" s="307"/>
      <c r="E1" s="307"/>
      <c r="F1" s="307"/>
      <c r="G1" s="307"/>
      <c r="H1" s="307"/>
      <c r="I1" s="307"/>
      <c r="J1" s="307"/>
      <c r="K1" s="340"/>
      <c r="L1" s="419" t="s">
        <v>680</v>
      </c>
    </row>
    <row r="2" spans="1:12" s="313" customFormat="1" ht="12.7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40"/>
      <c r="L2" s="419"/>
    </row>
    <row r="3" spans="1:12" s="310" customFormat="1" ht="12.7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419"/>
    </row>
    <row r="4" spans="1:16" s="424" customFormat="1" ht="15.75">
      <c r="A4" s="311" t="s">
        <v>681</v>
      </c>
      <c r="B4" s="311"/>
      <c r="C4" s="311"/>
      <c r="D4" s="335"/>
      <c r="E4" s="311"/>
      <c r="F4" s="311"/>
      <c r="G4" s="311"/>
      <c r="H4" s="311"/>
      <c r="I4" s="311"/>
      <c r="J4" s="311"/>
      <c r="K4" s="311"/>
      <c r="L4" s="311"/>
      <c r="M4" s="467"/>
      <c r="N4" s="467"/>
      <c r="O4" s="467"/>
      <c r="P4" s="467"/>
    </row>
    <row r="5" spans="1:16" s="424" customFormat="1" ht="15.75">
      <c r="A5" s="311" t="s">
        <v>548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467"/>
      <c r="N5" s="467"/>
      <c r="O5" s="467"/>
      <c r="P5" s="467"/>
    </row>
    <row r="6" spans="1:16" ht="12.75">
      <c r="A6" s="46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s="313" customFormat="1" ht="11.25">
      <c r="A7" s="425"/>
      <c r="B7" s="340"/>
      <c r="C7" s="340"/>
      <c r="D7" s="340"/>
      <c r="E7" s="340"/>
      <c r="F7" s="340"/>
      <c r="G7" s="340"/>
      <c r="H7" s="340"/>
      <c r="I7" s="340"/>
      <c r="J7" s="340"/>
      <c r="K7" s="340" t="s">
        <v>682</v>
      </c>
      <c r="L7" s="340"/>
      <c r="N7" s="340"/>
      <c r="O7" s="340"/>
      <c r="P7" s="340"/>
    </row>
    <row r="8" spans="1:16" s="310" customFormat="1" ht="12.75">
      <c r="A8" s="469"/>
      <c r="B8" s="470"/>
      <c r="C8" s="470"/>
      <c r="D8" s="471"/>
      <c r="E8" s="471"/>
      <c r="F8" s="472" t="s">
        <v>683</v>
      </c>
      <c r="G8" s="432"/>
      <c r="H8" s="432"/>
      <c r="I8" s="473"/>
      <c r="J8" s="432"/>
      <c r="K8" s="432"/>
      <c r="L8" s="474"/>
      <c r="N8" s="307"/>
      <c r="O8" s="307"/>
      <c r="P8" s="307"/>
    </row>
    <row r="9" spans="1:12" s="366" customFormat="1" ht="11.25">
      <c r="A9" s="475"/>
      <c r="B9" s="476"/>
      <c r="C9" s="476"/>
      <c r="D9" s="435"/>
      <c r="E9" s="435"/>
      <c r="F9" s="435"/>
      <c r="G9" s="435"/>
      <c r="H9" s="477" t="s">
        <v>621</v>
      </c>
      <c r="I9" s="478"/>
      <c r="J9" s="435"/>
      <c r="K9" s="435"/>
      <c r="L9" s="479"/>
    </row>
    <row r="10" spans="1:16" ht="45">
      <c r="A10" s="475" t="s">
        <v>684</v>
      </c>
      <c r="B10" s="480" t="s">
        <v>685</v>
      </c>
      <c r="C10" s="480" t="s">
        <v>686</v>
      </c>
      <c r="D10" s="480" t="s">
        <v>687</v>
      </c>
      <c r="E10" s="480" t="s">
        <v>688</v>
      </c>
      <c r="F10" s="480" t="s">
        <v>41</v>
      </c>
      <c r="G10" s="480" t="s">
        <v>689</v>
      </c>
      <c r="H10" s="480" t="s">
        <v>632</v>
      </c>
      <c r="I10" s="480" t="s">
        <v>633</v>
      </c>
      <c r="J10" s="480" t="s">
        <v>51</v>
      </c>
      <c r="K10" s="480" t="s">
        <v>53</v>
      </c>
      <c r="L10" s="481" t="s">
        <v>690</v>
      </c>
      <c r="M10" s="391"/>
      <c r="N10" s="338"/>
      <c r="O10" s="338"/>
      <c r="P10" s="338"/>
    </row>
    <row r="11" spans="1:16" s="313" customFormat="1" ht="11.25">
      <c r="A11" s="482">
        <v>1</v>
      </c>
      <c r="B11" s="483">
        <v>2</v>
      </c>
      <c r="C11" s="483">
        <v>3</v>
      </c>
      <c r="D11" s="483">
        <v>4</v>
      </c>
      <c r="E11" s="483">
        <v>5</v>
      </c>
      <c r="F11" s="483">
        <v>6</v>
      </c>
      <c r="G11" s="483">
        <v>7</v>
      </c>
      <c r="H11" s="483">
        <v>8</v>
      </c>
      <c r="I11" s="483">
        <v>9</v>
      </c>
      <c r="J11" s="483">
        <v>10</v>
      </c>
      <c r="K11" s="483">
        <v>11</v>
      </c>
      <c r="L11" s="484">
        <v>12</v>
      </c>
      <c r="M11" s="370"/>
      <c r="N11" s="340"/>
      <c r="O11" s="340"/>
      <c r="P11" s="340"/>
    </row>
    <row r="12" spans="1:13" ht="12">
      <c r="A12" s="485" t="s">
        <v>637</v>
      </c>
      <c r="B12" s="452">
        <v>8428340</v>
      </c>
      <c r="C12" s="452">
        <v>8481228</v>
      </c>
      <c r="D12" s="452">
        <v>-52888</v>
      </c>
      <c r="E12" s="452">
        <v>52888</v>
      </c>
      <c r="F12" s="452">
        <v>0</v>
      </c>
      <c r="G12" s="452">
        <v>52888</v>
      </c>
      <c r="H12" s="452">
        <v>3600041</v>
      </c>
      <c r="I12" s="452">
        <v>3547153</v>
      </c>
      <c r="J12" s="452">
        <v>0</v>
      </c>
      <c r="K12" s="452">
        <v>0</v>
      </c>
      <c r="L12" s="453">
        <v>0</v>
      </c>
      <c r="M12" s="486"/>
    </row>
    <row r="13" spans="1:13" ht="12">
      <c r="A13" s="485" t="s">
        <v>638</v>
      </c>
      <c r="B13" s="452">
        <v>1305153</v>
      </c>
      <c r="C13" s="452">
        <v>1296470</v>
      </c>
      <c r="D13" s="452">
        <v>8683</v>
      </c>
      <c r="E13" s="452">
        <v>-8683</v>
      </c>
      <c r="F13" s="452">
        <v>0</v>
      </c>
      <c r="G13" s="452">
        <v>-8683</v>
      </c>
      <c r="H13" s="452">
        <v>36619</v>
      </c>
      <c r="I13" s="452">
        <v>45302</v>
      </c>
      <c r="J13" s="452">
        <v>0</v>
      </c>
      <c r="K13" s="452">
        <v>0</v>
      </c>
      <c r="L13" s="453">
        <v>0</v>
      </c>
      <c r="M13" s="486"/>
    </row>
    <row r="14" spans="1:13" ht="12">
      <c r="A14" s="485" t="s">
        <v>639</v>
      </c>
      <c r="B14" s="452">
        <v>943986</v>
      </c>
      <c r="C14" s="452">
        <v>1127628</v>
      </c>
      <c r="D14" s="452">
        <v>-183642</v>
      </c>
      <c r="E14" s="452">
        <v>183642</v>
      </c>
      <c r="F14" s="452">
        <v>0</v>
      </c>
      <c r="G14" s="452">
        <v>183642</v>
      </c>
      <c r="H14" s="452">
        <v>263775</v>
      </c>
      <c r="I14" s="452">
        <v>80133</v>
      </c>
      <c r="J14" s="452">
        <v>0</v>
      </c>
      <c r="K14" s="452">
        <v>0</v>
      </c>
      <c r="L14" s="453">
        <v>0</v>
      </c>
      <c r="M14" s="486">
        <v>0</v>
      </c>
    </row>
    <row r="15" spans="1:13" ht="12">
      <c r="A15" s="485" t="s">
        <v>640</v>
      </c>
      <c r="B15" s="452">
        <v>2018785</v>
      </c>
      <c r="C15" s="452">
        <v>2235542</v>
      </c>
      <c r="D15" s="452">
        <v>-216757</v>
      </c>
      <c r="E15" s="452">
        <v>216757</v>
      </c>
      <c r="F15" s="452">
        <v>0</v>
      </c>
      <c r="G15" s="452">
        <v>216757</v>
      </c>
      <c r="H15" s="452">
        <v>344938</v>
      </c>
      <c r="I15" s="452">
        <v>128181</v>
      </c>
      <c r="J15" s="452">
        <v>0</v>
      </c>
      <c r="K15" s="452">
        <v>0</v>
      </c>
      <c r="L15" s="453">
        <v>0</v>
      </c>
      <c r="M15" s="486">
        <v>0</v>
      </c>
    </row>
    <row r="16" spans="1:13" ht="12">
      <c r="A16" s="485" t="s">
        <v>641</v>
      </c>
      <c r="B16" s="452">
        <v>1156631</v>
      </c>
      <c r="C16" s="452">
        <v>1057554</v>
      </c>
      <c r="D16" s="452">
        <v>99077</v>
      </c>
      <c r="E16" s="452">
        <v>-99077</v>
      </c>
      <c r="F16" s="452">
        <v>0</v>
      </c>
      <c r="G16" s="452">
        <v>-99077</v>
      </c>
      <c r="H16" s="452">
        <v>150617</v>
      </c>
      <c r="I16" s="452">
        <v>249694</v>
      </c>
      <c r="J16" s="452">
        <v>0</v>
      </c>
      <c r="K16" s="452">
        <v>0</v>
      </c>
      <c r="L16" s="453">
        <v>0</v>
      </c>
      <c r="M16" s="486">
        <v>0</v>
      </c>
    </row>
    <row r="17" spans="1:13" ht="12">
      <c r="A17" s="485" t="s">
        <v>642</v>
      </c>
      <c r="B17" s="452">
        <v>329121</v>
      </c>
      <c r="C17" s="452">
        <v>333088</v>
      </c>
      <c r="D17" s="452">
        <v>-3967</v>
      </c>
      <c r="E17" s="452">
        <v>3967</v>
      </c>
      <c r="F17" s="452">
        <v>0</v>
      </c>
      <c r="G17" s="452">
        <v>3967</v>
      </c>
      <c r="H17" s="452">
        <v>38765</v>
      </c>
      <c r="I17" s="452">
        <v>34798</v>
      </c>
      <c r="J17" s="452">
        <v>0</v>
      </c>
      <c r="K17" s="452">
        <v>0</v>
      </c>
      <c r="L17" s="453">
        <v>0</v>
      </c>
      <c r="M17" s="486">
        <v>0</v>
      </c>
    </row>
    <row r="18" spans="1:13" ht="12">
      <c r="A18" s="485" t="s">
        <v>643</v>
      </c>
      <c r="B18" s="452">
        <v>6164940</v>
      </c>
      <c r="C18" s="452">
        <v>7629120</v>
      </c>
      <c r="D18" s="452">
        <v>-1464180</v>
      </c>
      <c r="E18" s="452">
        <v>1464180</v>
      </c>
      <c r="F18" s="452">
        <v>752000</v>
      </c>
      <c r="G18" s="452">
        <v>712180</v>
      </c>
      <c r="H18" s="452">
        <v>2268757</v>
      </c>
      <c r="I18" s="452">
        <v>1556577</v>
      </c>
      <c r="J18" s="452">
        <v>0</v>
      </c>
      <c r="K18" s="452">
        <v>0</v>
      </c>
      <c r="L18" s="453">
        <v>0</v>
      </c>
      <c r="M18" s="465">
        <v>0</v>
      </c>
    </row>
    <row r="19" spans="1:16" s="489" customFormat="1" ht="12.75">
      <c r="A19" s="487" t="s">
        <v>644</v>
      </c>
      <c r="B19" s="452">
        <f aca="true" t="shared" si="0" ref="B19:L19">SUM(B12:B18)</f>
        <v>20347000</v>
      </c>
      <c r="C19" s="452">
        <f t="shared" si="0"/>
        <v>22161000</v>
      </c>
      <c r="D19" s="452">
        <f t="shared" si="0"/>
        <v>-1814000</v>
      </c>
      <c r="E19" s="452">
        <f t="shared" si="0"/>
        <v>1814000</v>
      </c>
      <c r="F19" s="452">
        <f t="shared" si="0"/>
        <v>752000</v>
      </c>
      <c r="G19" s="452">
        <f t="shared" si="0"/>
        <v>1062000</v>
      </c>
      <c r="H19" s="452">
        <f t="shared" si="0"/>
        <v>6704000</v>
      </c>
      <c r="I19" s="452">
        <f t="shared" si="0"/>
        <v>5642000</v>
      </c>
      <c r="J19" s="452">
        <f t="shared" si="0"/>
        <v>0</v>
      </c>
      <c r="K19" s="452">
        <f t="shared" si="0"/>
        <v>0</v>
      </c>
      <c r="L19" s="453">
        <f t="shared" si="0"/>
        <v>0</v>
      </c>
      <c r="M19" s="488">
        <v>0</v>
      </c>
      <c r="N19" s="488"/>
      <c r="O19" s="488"/>
      <c r="P19" s="488"/>
    </row>
    <row r="20" spans="1:13" ht="12">
      <c r="A20" s="485" t="s">
        <v>646</v>
      </c>
      <c r="B20" s="452">
        <v>428727</v>
      </c>
      <c r="C20" s="452">
        <v>497346</v>
      </c>
      <c r="D20" s="452">
        <v>-68619</v>
      </c>
      <c r="E20" s="452">
        <v>68619</v>
      </c>
      <c r="F20" s="452">
        <v>0</v>
      </c>
      <c r="G20" s="452">
        <v>68619</v>
      </c>
      <c r="H20" s="452">
        <v>177557</v>
      </c>
      <c r="I20" s="452">
        <v>108938</v>
      </c>
      <c r="J20" s="452">
        <v>0</v>
      </c>
      <c r="K20" s="452">
        <v>0</v>
      </c>
      <c r="L20" s="453">
        <v>0</v>
      </c>
      <c r="M20" s="486">
        <v>0</v>
      </c>
    </row>
    <row r="21" spans="1:13" ht="12">
      <c r="A21" s="485" t="s">
        <v>647</v>
      </c>
      <c r="B21" s="452">
        <v>460058</v>
      </c>
      <c r="C21" s="452">
        <v>526759</v>
      </c>
      <c r="D21" s="452">
        <v>-66701</v>
      </c>
      <c r="E21" s="452">
        <v>66701</v>
      </c>
      <c r="F21" s="452">
        <v>16000</v>
      </c>
      <c r="G21" s="452">
        <v>32701</v>
      </c>
      <c r="H21" s="452">
        <v>207851</v>
      </c>
      <c r="I21" s="452">
        <v>175150</v>
      </c>
      <c r="J21" s="452">
        <v>0</v>
      </c>
      <c r="K21" s="452">
        <v>18000</v>
      </c>
      <c r="L21" s="453">
        <v>0</v>
      </c>
      <c r="M21" s="486"/>
    </row>
    <row r="22" spans="1:13" ht="12">
      <c r="A22" s="485" t="s">
        <v>648</v>
      </c>
      <c r="B22" s="452">
        <v>515695</v>
      </c>
      <c r="C22" s="452">
        <v>645414</v>
      </c>
      <c r="D22" s="452">
        <v>-129719</v>
      </c>
      <c r="E22" s="452">
        <v>129719</v>
      </c>
      <c r="F22" s="452">
        <v>0</v>
      </c>
      <c r="G22" s="452">
        <v>129719</v>
      </c>
      <c r="H22" s="452">
        <v>207209</v>
      </c>
      <c r="I22" s="452">
        <v>77490</v>
      </c>
      <c r="J22" s="452">
        <v>0</v>
      </c>
      <c r="K22" s="452">
        <v>0</v>
      </c>
      <c r="L22" s="453">
        <v>0</v>
      </c>
      <c r="M22" s="486"/>
    </row>
    <row r="23" spans="1:13" ht="12">
      <c r="A23" s="485" t="s">
        <v>649</v>
      </c>
      <c r="B23" s="452">
        <v>491767</v>
      </c>
      <c r="C23" s="452">
        <v>593723</v>
      </c>
      <c r="D23" s="452">
        <v>-101956</v>
      </c>
      <c r="E23" s="452">
        <v>101956</v>
      </c>
      <c r="F23" s="452">
        <v>0</v>
      </c>
      <c r="G23" s="452">
        <v>101956</v>
      </c>
      <c r="H23" s="452">
        <v>214081</v>
      </c>
      <c r="I23" s="452">
        <v>112125</v>
      </c>
      <c r="J23" s="452">
        <v>0</v>
      </c>
      <c r="K23" s="452">
        <v>0</v>
      </c>
      <c r="L23" s="453">
        <v>0</v>
      </c>
      <c r="M23" s="486"/>
    </row>
    <row r="24" spans="1:13" ht="12">
      <c r="A24" s="485" t="s">
        <v>650</v>
      </c>
      <c r="B24" s="452">
        <v>835891</v>
      </c>
      <c r="C24" s="452">
        <v>990477</v>
      </c>
      <c r="D24" s="452">
        <v>-154586</v>
      </c>
      <c r="E24" s="452">
        <v>154586</v>
      </c>
      <c r="F24" s="452">
        <v>-550</v>
      </c>
      <c r="G24" s="452">
        <v>155136</v>
      </c>
      <c r="H24" s="452">
        <v>300636</v>
      </c>
      <c r="I24" s="452">
        <v>145500</v>
      </c>
      <c r="J24" s="452">
        <v>0</v>
      </c>
      <c r="K24" s="452">
        <v>0</v>
      </c>
      <c r="L24" s="453">
        <v>0</v>
      </c>
      <c r="M24" s="486"/>
    </row>
    <row r="25" spans="1:13" ht="12">
      <c r="A25" s="485" t="s">
        <v>651</v>
      </c>
      <c r="B25" s="452">
        <v>737742</v>
      </c>
      <c r="C25" s="452">
        <v>817124</v>
      </c>
      <c r="D25" s="452">
        <v>-79382</v>
      </c>
      <c r="E25" s="452">
        <v>79382</v>
      </c>
      <c r="F25" s="452">
        <v>0</v>
      </c>
      <c r="G25" s="452">
        <v>79382</v>
      </c>
      <c r="H25" s="452">
        <v>173160</v>
      </c>
      <c r="I25" s="452">
        <v>93778</v>
      </c>
      <c r="J25" s="452">
        <v>0</v>
      </c>
      <c r="K25" s="452">
        <v>0</v>
      </c>
      <c r="L25" s="453">
        <v>0</v>
      </c>
      <c r="M25" s="486"/>
    </row>
    <row r="26" spans="1:13" ht="12">
      <c r="A26" s="485" t="s">
        <v>652</v>
      </c>
      <c r="B26" s="452">
        <v>489727</v>
      </c>
      <c r="C26" s="452">
        <v>664472</v>
      </c>
      <c r="D26" s="452">
        <v>-174745</v>
      </c>
      <c r="E26" s="452">
        <v>174745</v>
      </c>
      <c r="F26" s="452">
        <v>0</v>
      </c>
      <c r="G26" s="452">
        <v>174745</v>
      </c>
      <c r="H26" s="452">
        <v>250003</v>
      </c>
      <c r="I26" s="452">
        <v>75258</v>
      </c>
      <c r="J26" s="452">
        <v>0</v>
      </c>
      <c r="K26" s="452">
        <v>0</v>
      </c>
      <c r="L26" s="453">
        <v>0</v>
      </c>
      <c r="M26" s="486"/>
    </row>
    <row r="27" spans="1:13" ht="12">
      <c r="A27" s="485" t="s">
        <v>653</v>
      </c>
      <c r="B27" s="452">
        <v>409718</v>
      </c>
      <c r="C27" s="452">
        <v>444089</v>
      </c>
      <c r="D27" s="452">
        <v>-34371</v>
      </c>
      <c r="E27" s="452">
        <v>34371</v>
      </c>
      <c r="F27" s="452">
        <v>1693</v>
      </c>
      <c r="G27" s="452">
        <v>32678</v>
      </c>
      <c r="H27" s="452">
        <v>115567</v>
      </c>
      <c r="I27" s="452">
        <v>82889</v>
      </c>
      <c r="J27" s="452">
        <v>0</v>
      </c>
      <c r="K27" s="452">
        <v>0</v>
      </c>
      <c r="L27" s="453">
        <v>0</v>
      </c>
      <c r="M27" s="486"/>
    </row>
    <row r="28" spans="1:13" ht="12">
      <c r="A28" s="485" t="s">
        <v>654</v>
      </c>
      <c r="B28" s="452">
        <v>828452</v>
      </c>
      <c r="C28" s="452">
        <v>844030</v>
      </c>
      <c r="D28" s="452">
        <v>-15578</v>
      </c>
      <c r="E28" s="452">
        <v>15578</v>
      </c>
      <c r="F28" s="452">
        <v>0</v>
      </c>
      <c r="G28" s="452">
        <v>53357</v>
      </c>
      <c r="H28" s="452">
        <v>199657</v>
      </c>
      <c r="I28" s="452">
        <v>146300</v>
      </c>
      <c r="J28" s="452">
        <v>-37779</v>
      </c>
      <c r="K28" s="452">
        <v>0</v>
      </c>
      <c r="L28" s="453">
        <v>0</v>
      </c>
      <c r="M28" s="486"/>
    </row>
    <row r="29" spans="1:13" ht="12">
      <c r="A29" s="485" t="s">
        <v>655</v>
      </c>
      <c r="B29" s="452">
        <v>753622</v>
      </c>
      <c r="C29" s="452">
        <v>801688</v>
      </c>
      <c r="D29" s="452">
        <v>-48066</v>
      </c>
      <c r="E29" s="452">
        <v>48066</v>
      </c>
      <c r="F29" s="452">
        <v>0</v>
      </c>
      <c r="G29" s="452">
        <v>48066</v>
      </c>
      <c r="H29" s="452">
        <v>170686</v>
      </c>
      <c r="I29" s="452">
        <v>122620</v>
      </c>
      <c r="J29" s="452">
        <v>0</v>
      </c>
      <c r="K29" s="452">
        <v>0</v>
      </c>
      <c r="L29" s="453">
        <v>0</v>
      </c>
      <c r="M29" s="486"/>
    </row>
    <row r="30" spans="1:13" ht="12">
      <c r="A30" s="485" t="s">
        <v>656</v>
      </c>
      <c r="B30" s="452">
        <v>709552</v>
      </c>
      <c r="C30" s="452">
        <v>825717</v>
      </c>
      <c r="D30" s="452">
        <v>-116165</v>
      </c>
      <c r="E30" s="452">
        <v>116165</v>
      </c>
      <c r="F30" s="452">
        <v>0</v>
      </c>
      <c r="G30" s="452">
        <v>116165</v>
      </c>
      <c r="H30" s="452">
        <v>256279</v>
      </c>
      <c r="I30" s="452">
        <v>140114</v>
      </c>
      <c r="J30" s="452">
        <v>0</v>
      </c>
      <c r="K30" s="452">
        <v>0</v>
      </c>
      <c r="L30" s="453">
        <v>0</v>
      </c>
      <c r="M30" s="486"/>
    </row>
    <row r="31" spans="1:13" ht="12">
      <c r="A31" s="485" t="s">
        <v>657</v>
      </c>
      <c r="B31" s="452">
        <v>1215593</v>
      </c>
      <c r="C31" s="452">
        <v>1278199</v>
      </c>
      <c r="D31" s="452">
        <v>-62606</v>
      </c>
      <c r="E31" s="452">
        <v>62606</v>
      </c>
      <c r="F31" s="452">
        <v>-25802</v>
      </c>
      <c r="G31" s="452">
        <v>88408</v>
      </c>
      <c r="H31" s="452">
        <v>272963</v>
      </c>
      <c r="I31" s="452">
        <v>184555</v>
      </c>
      <c r="J31" s="452">
        <v>0</v>
      </c>
      <c r="K31" s="452">
        <v>0</v>
      </c>
      <c r="L31" s="453">
        <v>0</v>
      </c>
      <c r="M31" s="486"/>
    </row>
    <row r="32" spans="1:13" ht="12">
      <c r="A32" s="485" t="s">
        <v>658</v>
      </c>
      <c r="B32" s="452">
        <v>956689</v>
      </c>
      <c r="C32" s="452">
        <v>1028641</v>
      </c>
      <c r="D32" s="452">
        <v>-71952</v>
      </c>
      <c r="E32" s="452">
        <v>71952</v>
      </c>
      <c r="F32" s="452">
        <v>0</v>
      </c>
      <c r="G32" s="452">
        <v>71092</v>
      </c>
      <c r="H32" s="452">
        <v>229569</v>
      </c>
      <c r="I32" s="452">
        <v>158477</v>
      </c>
      <c r="J32" s="452">
        <v>0</v>
      </c>
      <c r="K32" s="452">
        <v>860</v>
      </c>
      <c r="L32" s="453">
        <v>0</v>
      </c>
      <c r="M32" s="486"/>
    </row>
    <row r="33" spans="1:13" ht="12">
      <c r="A33" s="485" t="s">
        <v>659</v>
      </c>
      <c r="B33" s="452">
        <v>752718</v>
      </c>
      <c r="C33" s="452">
        <v>886854</v>
      </c>
      <c r="D33" s="452">
        <v>-134136</v>
      </c>
      <c r="E33" s="452">
        <v>134136</v>
      </c>
      <c r="F33" s="452">
        <v>0</v>
      </c>
      <c r="G33" s="452">
        <v>134136</v>
      </c>
      <c r="H33" s="452">
        <v>310507</v>
      </c>
      <c r="I33" s="452">
        <v>176371</v>
      </c>
      <c r="J33" s="452">
        <v>0</v>
      </c>
      <c r="K33" s="452">
        <v>0</v>
      </c>
      <c r="L33" s="453">
        <v>0</v>
      </c>
      <c r="M33" s="486"/>
    </row>
    <row r="34" spans="1:13" ht="12">
      <c r="A34" s="485" t="s">
        <v>660</v>
      </c>
      <c r="B34" s="452">
        <v>510416</v>
      </c>
      <c r="C34" s="452">
        <v>687183</v>
      </c>
      <c r="D34" s="452">
        <v>-176767</v>
      </c>
      <c r="E34" s="452">
        <v>176767</v>
      </c>
      <c r="F34" s="452">
        <v>21015</v>
      </c>
      <c r="G34" s="452">
        <v>155752</v>
      </c>
      <c r="H34" s="452">
        <v>308338</v>
      </c>
      <c r="I34" s="452">
        <v>152586</v>
      </c>
      <c r="J34" s="452">
        <v>0</v>
      </c>
      <c r="K34" s="452">
        <v>0</v>
      </c>
      <c r="L34" s="453">
        <v>0</v>
      </c>
      <c r="M34" s="486"/>
    </row>
    <row r="35" spans="1:13" ht="12">
      <c r="A35" s="485" t="s">
        <v>661</v>
      </c>
      <c r="B35" s="452">
        <v>634047</v>
      </c>
      <c r="C35" s="452">
        <v>728236</v>
      </c>
      <c r="D35" s="452">
        <v>-94189</v>
      </c>
      <c r="E35" s="452">
        <v>94189</v>
      </c>
      <c r="F35" s="452">
        <v>-7750</v>
      </c>
      <c r="G35" s="452">
        <v>101939</v>
      </c>
      <c r="H35" s="452">
        <v>251097</v>
      </c>
      <c r="I35" s="452">
        <v>149158</v>
      </c>
      <c r="J35" s="452">
        <v>0</v>
      </c>
      <c r="K35" s="452">
        <v>0</v>
      </c>
      <c r="L35" s="453">
        <v>0</v>
      </c>
      <c r="M35" s="486"/>
    </row>
    <row r="36" spans="1:13" ht="12">
      <c r="A36" s="485" t="s">
        <v>662</v>
      </c>
      <c r="B36" s="452">
        <v>1187169</v>
      </c>
      <c r="C36" s="452">
        <v>1284836</v>
      </c>
      <c r="D36" s="452">
        <v>-97667</v>
      </c>
      <c r="E36" s="452">
        <v>97667</v>
      </c>
      <c r="F36" s="452">
        <v>0</v>
      </c>
      <c r="G36" s="452">
        <v>98867</v>
      </c>
      <c r="H36" s="452">
        <v>325801</v>
      </c>
      <c r="I36" s="452">
        <v>226934</v>
      </c>
      <c r="J36" s="452">
        <v>0</v>
      </c>
      <c r="K36" s="452">
        <v>-1200</v>
      </c>
      <c r="L36" s="453">
        <v>0</v>
      </c>
      <c r="M36" s="486"/>
    </row>
    <row r="37" spans="1:13" ht="12">
      <c r="A37" s="485" t="s">
        <v>663</v>
      </c>
      <c r="B37" s="452">
        <v>948442</v>
      </c>
      <c r="C37" s="452">
        <v>1023314</v>
      </c>
      <c r="D37" s="452">
        <v>-74872</v>
      </c>
      <c r="E37" s="452">
        <v>74872</v>
      </c>
      <c r="F37" s="452">
        <v>0</v>
      </c>
      <c r="G37" s="452">
        <v>74872</v>
      </c>
      <c r="H37" s="452">
        <v>167543</v>
      </c>
      <c r="I37" s="452">
        <v>92671</v>
      </c>
      <c r="J37" s="452">
        <v>0</v>
      </c>
      <c r="K37" s="452">
        <v>0</v>
      </c>
      <c r="L37" s="453">
        <v>0</v>
      </c>
      <c r="M37" s="486"/>
    </row>
    <row r="38" spans="1:13" ht="12">
      <c r="A38" s="485" t="s">
        <v>664</v>
      </c>
      <c r="B38" s="452">
        <v>395505</v>
      </c>
      <c r="C38" s="452">
        <v>451743</v>
      </c>
      <c r="D38" s="452">
        <v>-56238</v>
      </c>
      <c r="E38" s="452">
        <v>56238</v>
      </c>
      <c r="F38" s="452">
        <v>0</v>
      </c>
      <c r="G38" s="452">
        <v>56238</v>
      </c>
      <c r="H38" s="452">
        <v>194456</v>
      </c>
      <c r="I38" s="452">
        <v>138218</v>
      </c>
      <c r="J38" s="452">
        <v>0</v>
      </c>
      <c r="K38" s="452">
        <v>0</v>
      </c>
      <c r="L38" s="453">
        <v>0</v>
      </c>
      <c r="M38" s="486"/>
    </row>
    <row r="39" spans="1:13" ht="12">
      <c r="A39" s="485" t="s">
        <v>665</v>
      </c>
      <c r="B39" s="452">
        <v>2418126</v>
      </c>
      <c r="C39" s="452">
        <v>2524057</v>
      </c>
      <c r="D39" s="452">
        <v>-105931</v>
      </c>
      <c r="E39" s="452">
        <v>105931</v>
      </c>
      <c r="F39" s="452">
        <v>0</v>
      </c>
      <c r="G39" s="452">
        <v>105931</v>
      </c>
      <c r="H39" s="452">
        <v>588844</v>
      </c>
      <c r="I39" s="452">
        <v>482913</v>
      </c>
      <c r="J39" s="452">
        <v>0</v>
      </c>
      <c r="K39" s="452">
        <v>0</v>
      </c>
      <c r="L39" s="453">
        <v>0</v>
      </c>
      <c r="M39" s="486"/>
    </row>
    <row r="40" spans="1:13" ht="12">
      <c r="A40" s="485" t="s">
        <v>666</v>
      </c>
      <c r="B40" s="452">
        <v>467834</v>
      </c>
      <c r="C40" s="452">
        <v>572054</v>
      </c>
      <c r="D40" s="452">
        <v>-104220</v>
      </c>
      <c r="E40" s="452">
        <v>104220</v>
      </c>
      <c r="F40" s="452">
        <v>-1000</v>
      </c>
      <c r="G40" s="452">
        <v>105220</v>
      </c>
      <c r="H40" s="452">
        <v>293897</v>
      </c>
      <c r="I40" s="452">
        <v>188677</v>
      </c>
      <c r="J40" s="452">
        <v>0</v>
      </c>
      <c r="K40" s="452">
        <v>0</v>
      </c>
      <c r="L40" s="453">
        <v>0</v>
      </c>
      <c r="M40" s="486"/>
    </row>
    <row r="41" spans="1:13" ht="12">
      <c r="A41" s="485" t="s">
        <v>667</v>
      </c>
      <c r="B41" s="452">
        <v>1059120</v>
      </c>
      <c r="C41" s="452">
        <v>1129488</v>
      </c>
      <c r="D41" s="452">
        <v>-70368</v>
      </c>
      <c r="E41" s="452">
        <v>70368</v>
      </c>
      <c r="F41" s="452">
        <v>0</v>
      </c>
      <c r="G41" s="452">
        <v>70368</v>
      </c>
      <c r="H41" s="452">
        <v>267925</v>
      </c>
      <c r="I41" s="452">
        <v>197557</v>
      </c>
      <c r="J41" s="452">
        <v>0</v>
      </c>
      <c r="K41" s="452">
        <v>0</v>
      </c>
      <c r="L41" s="453">
        <v>0</v>
      </c>
      <c r="M41" s="486"/>
    </row>
    <row r="42" spans="1:13" ht="12">
      <c r="A42" s="485" t="s">
        <v>668</v>
      </c>
      <c r="B42" s="452">
        <v>935233</v>
      </c>
      <c r="C42" s="452">
        <v>903503</v>
      </c>
      <c r="D42" s="452">
        <v>31730</v>
      </c>
      <c r="E42" s="452">
        <v>-31730</v>
      </c>
      <c r="F42" s="452">
        <v>24250</v>
      </c>
      <c r="G42" s="452">
        <v>-69980</v>
      </c>
      <c r="H42" s="452">
        <v>205056</v>
      </c>
      <c r="I42" s="452">
        <v>275036</v>
      </c>
      <c r="J42" s="452">
        <v>0</v>
      </c>
      <c r="K42" s="452">
        <v>14000</v>
      </c>
      <c r="L42" s="453">
        <v>0</v>
      </c>
      <c r="M42" s="486"/>
    </row>
    <row r="43" spans="1:13" ht="12">
      <c r="A43" s="485" t="s">
        <v>669</v>
      </c>
      <c r="B43" s="452">
        <v>436857</v>
      </c>
      <c r="C43" s="452">
        <v>471554</v>
      </c>
      <c r="D43" s="452">
        <v>-34697</v>
      </c>
      <c r="E43" s="452">
        <v>34697</v>
      </c>
      <c r="F43" s="452">
        <v>0</v>
      </c>
      <c r="G43" s="452">
        <v>34697</v>
      </c>
      <c r="H43" s="452">
        <v>143314</v>
      </c>
      <c r="I43" s="452">
        <v>108617</v>
      </c>
      <c r="J43" s="452">
        <v>0</v>
      </c>
      <c r="K43" s="452">
        <v>0</v>
      </c>
      <c r="L43" s="453">
        <v>0</v>
      </c>
      <c r="M43" s="486"/>
    </row>
    <row r="44" spans="1:13" ht="12">
      <c r="A44" s="485" t="s">
        <v>670</v>
      </c>
      <c r="B44" s="452">
        <v>598475</v>
      </c>
      <c r="C44" s="452">
        <v>725327</v>
      </c>
      <c r="D44" s="452">
        <v>-126852</v>
      </c>
      <c r="E44" s="452">
        <v>126852</v>
      </c>
      <c r="F44" s="452">
        <v>0</v>
      </c>
      <c r="G44" s="452">
        <v>126852</v>
      </c>
      <c r="H44" s="452">
        <v>288716</v>
      </c>
      <c r="I44" s="452">
        <v>161864</v>
      </c>
      <c r="J44" s="452">
        <v>0</v>
      </c>
      <c r="K44" s="452">
        <v>0</v>
      </c>
      <c r="L44" s="453">
        <v>0</v>
      </c>
      <c r="M44" s="486"/>
    </row>
    <row r="45" spans="1:13" ht="12">
      <c r="A45" s="485" t="s">
        <v>671</v>
      </c>
      <c r="B45" s="452">
        <v>495569</v>
      </c>
      <c r="C45" s="452">
        <v>617135</v>
      </c>
      <c r="D45" s="452">
        <v>-121566</v>
      </c>
      <c r="E45" s="452">
        <v>121566</v>
      </c>
      <c r="F45" s="452">
        <v>0</v>
      </c>
      <c r="G45" s="452">
        <v>121566</v>
      </c>
      <c r="H45" s="452">
        <v>320307</v>
      </c>
      <c r="I45" s="452">
        <v>198741</v>
      </c>
      <c r="J45" s="452">
        <v>0</v>
      </c>
      <c r="K45" s="452">
        <v>0</v>
      </c>
      <c r="L45" s="453">
        <v>0</v>
      </c>
      <c r="M45" s="486"/>
    </row>
    <row r="46" spans="1:12" ht="12.75">
      <c r="A46" s="487" t="s">
        <v>672</v>
      </c>
      <c r="B46" s="452">
        <f aca="true" t="shared" si="1" ref="B46:L46">SUM(B20:B45)</f>
        <v>19673000</v>
      </c>
      <c r="C46" s="452">
        <f t="shared" si="1"/>
        <v>21963000</v>
      </c>
      <c r="D46" s="452">
        <f t="shared" si="1"/>
        <v>-2290000</v>
      </c>
      <c r="E46" s="452">
        <f t="shared" si="1"/>
        <v>2290000</v>
      </c>
      <c r="F46" s="452">
        <f t="shared" si="1"/>
        <v>28000</v>
      </c>
      <c r="G46" s="452">
        <f t="shared" si="1"/>
        <v>2268000</v>
      </c>
      <c r="H46" s="452">
        <f t="shared" si="1"/>
        <v>6441000</v>
      </c>
      <c r="I46" s="452">
        <f t="shared" si="1"/>
        <v>4173000</v>
      </c>
      <c r="J46" s="452">
        <f t="shared" si="1"/>
        <v>-38000</v>
      </c>
      <c r="K46" s="452">
        <f t="shared" si="1"/>
        <v>32000</v>
      </c>
      <c r="L46" s="453">
        <f t="shared" si="1"/>
        <v>0</v>
      </c>
    </row>
    <row r="47" spans="1:12" ht="12.75">
      <c r="A47" s="490" t="s">
        <v>673</v>
      </c>
      <c r="B47" s="457">
        <f aca="true" t="shared" si="2" ref="B47:L47">SUM(B46,B19)</f>
        <v>40020000</v>
      </c>
      <c r="C47" s="457">
        <f t="shared" si="2"/>
        <v>44124000</v>
      </c>
      <c r="D47" s="457">
        <f t="shared" si="2"/>
        <v>-4104000</v>
      </c>
      <c r="E47" s="457">
        <f t="shared" si="2"/>
        <v>4104000</v>
      </c>
      <c r="F47" s="457">
        <f t="shared" si="2"/>
        <v>780000</v>
      </c>
      <c r="G47" s="457">
        <f t="shared" si="2"/>
        <v>3330000</v>
      </c>
      <c r="H47" s="457">
        <f t="shared" si="2"/>
        <v>13145000</v>
      </c>
      <c r="I47" s="457">
        <f t="shared" si="2"/>
        <v>9815000</v>
      </c>
      <c r="J47" s="457">
        <f t="shared" si="2"/>
        <v>-38000</v>
      </c>
      <c r="K47" s="457">
        <f t="shared" si="2"/>
        <v>32000</v>
      </c>
      <c r="L47" s="458">
        <f t="shared" si="2"/>
        <v>0</v>
      </c>
    </row>
    <row r="48" s="460" customFormat="1" ht="12">
      <c r="A48" s="459" t="s">
        <v>691</v>
      </c>
    </row>
    <row r="53" spans="1:11" s="363" customFormat="1" ht="11.25" customHeight="1">
      <c r="A53" s="466" t="s">
        <v>543</v>
      </c>
      <c r="H53" s="363" t="s">
        <v>677</v>
      </c>
      <c r="K53" s="363" t="s">
        <v>502</v>
      </c>
    </row>
    <row r="54" spans="1:16" s="460" customFormat="1" ht="12">
      <c r="A54" s="491"/>
      <c r="B54" s="387"/>
      <c r="C54" s="363"/>
      <c r="D54" s="387"/>
      <c r="E54" s="387"/>
      <c r="F54" s="387"/>
      <c r="G54" s="363"/>
      <c r="H54" s="463"/>
      <c r="I54" s="387"/>
      <c r="J54" s="387"/>
      <c r="K54" s="387"/>
      <c r="L54" s="387"/>
      <c r="M54" s="387"/>
      <c r="N54" s="387"/>
      <c r="O54" s="387"/>
      <c r="P54" s="387"/>
    </row>
    <row r="55" spans="1:8" s="495" customFormat="1" ht="11.25">
      <c r="A55" s="492"/>
      <c r="B55" s="493"/>
      <c r="C55" s="309"/>
      <c r="D55" s="494"/>
      <c r="E55" s="309"/>
      <c r="F55" s="494"/>
      <c r="G55" s="494"/>
      <c r="H55" s="309"/>
    </row>
    <row r="56" spans="1:9" s="465" customFormat="1" ht="12.75">
      <c r="A56" s="417"/>
      <c r="B56" s="496"/>
      <c r="C56" s="309"/>
      <c r="D56" s="497"/>
      <c r="E56" s="497"/>
      <c r="G56" s="498"/>
      <c r="I56" s="460"/>
    </row>
    <row r="57" spans="1:16" s="460" customFormat="1" ht="12">
      <c r="A57" s="491"/>
      <c r="B57" s="387"/>
      <c r="C57" s="363"/>
      <c r="D57" s="387"/>
      <c r="E57" s="387"/>
      <c r="F57" s="387"/>
      <c r="G57" s="363"/>
      <c r="H57" s="463"/>
      <c r="I57" s="387"/>
      <c r="J57" s="387"/>
      <c r="K57" s="387"/>
      <c r="L57" s="387"/>
      <c r="M57" s="387"/>
      <c r="N57" s="387"/>
      <c r="O57" s="387"/>
      <c r="P57" s="387"/>
    </row>
    <row r="58" s="465" customFormat="1" ht="11.25">
      <c r="A58" s="464"/>
    </row>
    <row r="59" spans="1:6" s="465" customFormat="1" ht="11.25">
      <c r="A59" s="464"/>
      <c r="B59" s="309"/>
      <c r="C59" s="309"/>
      <c r="D59" s="309"/>
      <c r="E59" s="309"/>
      <c r="F59" s="309"/>
    </row>
    <row r="67" s="370" customFormat="1" ht="11.25">
      <c r="A67" s="370" t="s">
        <v>144</v>
      </c>
    </row>
    <row r="68" ht="11.25">
      <c r="A68" s="329" t="s">
        <v>678</v>
      </c>
    </row>
  </sheetData>
  <printOptions/>
  <pageMargins left="0.7" right="0.2362204724409449" top="0.78" bottom="0.75" header="0.18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4">
      <selection activeCell="E13" sqref="E13"/>
    </sheetView>
  </sheetViews>
  <sheetFormatPr defaultColWidth="9.140625" defaultRowHeight="12.75"/>
  <cols>
    <col min="1" max="1" width="64.8515625" style="309" customWidth="1"/>
    <col min="2" max="2" width="19.140625" style="309" customWidth="1"/>
    <col min="3" max="16384" width="8.00390625" style="309" customWidth="1"/>
  </cols>
  <sheetData>
    <row r="1" spans="1:4" s="313" customFormat="1" ht="12.75">
      <c r="A1" s="310" t="s">
        <v>692</v>
      </c>
      <c r="B1" s="310" t="s">
        <v>693</v>
      </c>
      <c r="D1" s="495"/>
    </row>
    <row r="2" spans="1:2" s="313" customFormat="1" ht="12.75">
      <c r="A2" s="310"/>
      <c r="B2" s="310"/>
    </row>
    <row r="3" s="363" customFormat="1" ht="12"/>
    <row r="4" s="363" customFormat="1" ht="15.75">
      <c r="A4" s="424" t="s">
        <v>694</v>
      </c>
    </row>
    <row r="5" s="363" customFormat="1" ht="15.75">
      <c r="A5" s="499" t="s">
        <v>695</v>
      </c>
    </row>
    <row r="6" spans="1:2" s="363" customFormat="1" ht="12">
      <c r="A6" s="495"/>
      <c r="B6" s="495"/>
    </row>
    <row r="7" spans="1:2" s="363" customFormat="1" ht="12">
      <c r="A7" s="500"/>
      <c r="B7" s="501" t="s">
        <v>696</v>
      </c>
    </row>
    <row r="8" spans="1:2" s="363" customFormat="1" ht="12.75">
      <c r="A8" s="502" t="s">
        <v>17</v>
      </c>
      <c r="B8" s="503" t="s">
        <v>697</v>
      </c>
    </row>
    <row r="9" spans="1:127" s="506" customFormat="1" ht="12.75">
      <c r="A9" s="504">
        <v>1</v>
      </c>
      <c r="B9" s="505">
        <v>2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</row>
    <row r="10" spans="1:127" s="506" customFormat="1" ht="23.25" customHeight="1">
      <c r="A10" s="507" t="s">
        <v>698</v>
      </c>
      <c r="B10" s="508">
        <f>SUM(B11:B16)</f>
        <v>27645522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</row>
    <row r="11" spans="1:127" s="506" customFormat="1" ht="23.25" customHeight="1">
      <c r="A11" s="509" t="s">
        <v>699</v>
      </c>
      <c r="B11" s="510">
        <v>9182</v>
      </c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</row>
    <row r="12" spans="1:127" s="506" customFormat="1" ht="19.5" customHeight="1">
      <c r="A12" s="511" t="s">
        <v>700</v>
      </c>
      <c r="B12" s="51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</row>
    <row r="13" spans="1:127" s="506" customFormat="1" ht="17.25" customHeight="1">
      <c r="A13" s="513" t="s">
        <v>701</v>
      </c>
      <c r="B13" s="514">
        <v>120000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  <c r="CZ13" s="363"/>
      <c r="DA13" s="363"/>
      <c r="DB13" s="363"/>
      <c r="DC13" s="363"/>
      <c r="DD13" s="363"/>
      <c r="DE13" s="363"/>
      <c r="DF13" s="363"/>
      <c r="DG13" s="363"/>
      <c r="DH13" s="363"/>
      <c r="DI13" s="363"/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</row>
    <row r="14" spans="1:127" s="506" customFormat="1" ht="23.25" customHeight="1">
      <c r="A14" s="509" t="s">
        <v>702</v>
      </c>
      <c r="B14" s="510">
        <v>5594426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</row>
    <row r="15" spans="1:127" s="506" customFormat="1" ht="23.25" customHeight="1">
      <c r="A15" s="509" t="s">
        <v>703</v>
      </c>
      <c r="B15" s="510">
        <v>21921914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</row>
    <row r="16" spans="1:127" s="506" customFormat="1" ht="23.25" customHeight="1">
      <c r="A16" s="509" t="s">
        <v>704</v>
      </c>
      <c r="B16" s="510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</row>
    <row r="17" spans="1:127" s="506" customFormat="1" ht="23.25" customHeight="1">
      <c r="A17" s="515" t="s">
        <v>705</v>
      </c>
      <c r="B17" s="508">
        <f>SUM(B18:B19)</f>
        <v>27643279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</row>
    <row r="18" spans="1:127" s="506" customFormat="1" ht="23.25" customHeight="1">
      <c r="A18" s="509" t="s">
        <v>706</v>
      </c>
      <c r="B18" s="510">
        <v>27643279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</row>
    <row r="19" spans="1:127" s="506" customFormat="1" ht="23.25" customHeight="1">
      <c r="A19" s="509" t="s">
        <v>707</v>
      </c>
      <c r="B19" s="510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</row>
    <row r="20" spans="1:97" s="506" customFormat="1" ht="23.25" customHeight="1">
      <c r="A20" s="516" t="s">
        <v>708</v>
      </c>
      <c r="B20" s="517">
        <f>SUM(B10-B17)</f>
        <v>2243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</row>
    <row r="21" spans="1:97" s="460" customFormat="1" ht="12.75">
      <c r="A21" s="497"/>
      <c r="B21" s="497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</row>
    <row r="22" spans="1:97" s="460" customFormat="1" ht="12.75">
      <c r="A22" s="497"/>
      <c r="B22" s="497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</row>
    <row r="23" spans="1:82" s="460" customFormat="1" ht="12.75">
      <c r="A23" s="497"/>
      <c r="B23" s="497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</row>
    <row r="24" spans="1:82" s="460" customFormat="1" ht="12.75">
      <c r="A24" s="497"/>
      <c r="B24" s="497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</row>
    <row r="25" spans="1:82" s="497" customFormat="1" ht="12.75">
      <c r="A25" s="460" t="s">
        <v>709</v>
      </c>
      <c r="B25" s="328" t="s">
        <v>502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</row>
    <row r="26" spans="1:82" s="497" customFormat="1" ht="12.75">
      <c r="A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</row>
    <row r="27" s="363" customFormat="1" ht="12"/>
    <row r="28" spans="1:2" s="363" customFormat="1" ht="14.25">
      <c r="A28" s="518"/>
      <c r="B28" s="519"/>
    </row>
    <row r="29" spans="1:2" s="363" customFormat="1" ht="14.25">
      <c r="A29" s="518"/>
      <c r="B29" s="519"/>
    </row>
    <row r="30" spans="1:2" s="363" customFormat="1" ht="14.25">
      <c r="A30" s="518"/>
      <c r="B30" s="520"/>
    </row>
    <row r="31" s="363" customFormat="1" ht="14.25">
      <c r="A31" s="518"/>
    </row>
    <row r="32" s="363" customFormat="1" ht="14.25">
      <c r="A32" s="518"/>
    </row>
    <row r="33" s="363" customFormat="1" ht="14.25">
      <c r="A33" s="518"/>
    </row>
    <row r="34" s="363" customFormat="1" ht="14.25">
      <c r="A34" s="518"/>
    </row>
    <row r="35" s="363" customFormat="1" ht="14.25">
      <c r="A35" s="518"/>
    </row>
    <row r="36" s="363" customFormat="1" ht="14.25">
      <c r="A36" s="518"/>
    </row>
    <row r="37" s="363" customFormat="1" ht="14.25">
      <c r="A37" s="518"/>
    </row>
    <row r="38" s="363" customFormat="1" ht="14.25">
      <c r="A38" s="518"/>
    </row>
    <row r="39" s="363" customFormat="1" ht="14.25">
      <c r="A39" s="518"/>
    </row>
    <row r="40" spans="1:82" ht="14.25">
      <c r="A40" s="518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</row>
    <row r="41" spans="1:82" ht="14.25">
      <c r="A41" s="518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</row>
    <row r="42" spans="1:82" ht="14.25">
      <c r="A42" s="518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</row>
    <row r="43" spans="1:82" ht="14.25">
      <c r="A43" s="518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</row>
    <row r="44" spans="1:82" ht="14.25">
      <c r="A44" s="518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</row>
    <row r="45" spans="1:82" ht="14.25">
      <c r="A45" s="518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</row>
    <row r="46" spans="1:82" ht="14.25">
      <c r="A46" s="518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</row>
    <row r="47" spans="1:82" ht="14.25">
      <c r="A47" s="518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</row>
    <row r="48" spans="1:82" ht="14.25">
      <c r="A48" s="518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</row>
    <row r="49" spans="1:82" ht="14.25">
      <c r="A49" s="518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</row>
    <row r="50" spans="1:82" ht="14.25">
      <c r="A50" s="518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</row>
    <row r="51" spans="1:82" ht="14.25">
      <c r="A51" s="518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</row>
    <row r="52" spans="1:82" ht="14.25">
      <c r="A52" s="518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</row>
    <row r="53" spans="1:82" ht="14.25">
      <c r="A53" s="518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</row>
    <row r="54" spans="1:82" ht="14.25">
      <c r="A54" s="518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</row>
    <row r="55" spans="1:82" ht="14.25">
      <c r="A55" s="518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</row>
    <row r="56" spans="1:82" ht="14.25">
      <c r="A56" s="518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  <c r="BC56" s="363"/>
      <c r="BD56" s="363"/>
      <c r="BE56" s="363"/>
      <c r="BF56" s="363"/>
      <c r="BG56" s="363"/>
      <c r="BH56" s="363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</row>
    <row r="57" spans="12:82" ht="12"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</row>
    <row r="58" spans="12:82" ht="12"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</row>
    <row r="59" spans="12:82" ht="12"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</row>
    <row r="60" spans="12:82" ht="12"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</row>
    <row r="61" spans="12:82" ht="12"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</row>
    <row r="62" spans="12:82" ht="12"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&amp;L&amp;"Arial,Regular"&amp;8Valsts kase / Pārskatu departaments
15.12.99.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113"/>
  <sheetViews>
    <sheetView workbookViewId="0" topLeftCell="F67">
      <selection activeCell="F74" sqref="F74"/>
    </sheetView>
  </sheetViews>
  <sheetFormatPr defaultColWidth="9.140625" defaultRowHeight="12.75"/>
  <cols>
    <col min="1" max="1" width="47.28125" style="48" hidden="1" customWidth="1"/>
    <col min="2" max="2" width="12.7109375" style="49" hidden="1" customWidth="1"/>
    <col min="3" max="3" width="12.7109375" style="48" hidden="1" customWidth="1"/>
    <col min="4" max="4" width="7.57421875" style="48" hidden="1" customWidth="1"/>
    <col min="5" max="5" width="11.140625" style="48" hidden="1" customWidth="1"/>
    <col min="6" max="6" width="47.42187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8.7109375" style="0" customWidth="1"/>
    <col min="212" max="16384" width="9.140625" style="48" customWidth="1"/>
  </cols>
  <sheetData>
    <row r="1" spans="5:10" ht="12.75">
      <c r="E1" s="48" t="s">
        <v>58</v>
      </c>
      <c r="F1" s="48"/>
      <c r="G1" s="49"/>
      <c r="H1" s="48"/>
      <c r="I1" s="48"/>
      <c r="J1" s="48" t="s">
        <v>58</v>
      </c>
    </row>
    <row r="2" spans="1:10" ht="18" customHeight="1">
      <c r="A2" s="36" t="s">
        <v>59</v>
      </c>
      <c r="B2" s="50"/>
      <c r="C2" s="36"/>
      <c r="D2" s="36"/>
      <c r="E2" s="36"/>
      <c r="F2" s="36" t="s">
        <v>59</v>
      </c>
      <c r="G2" s="50"/>
      <c r="H2" s="36"/>
      <c r="I2" s="36"/>
      <c r="J2" s="36"/>
    </row>
    <row r="3" spans="6:10" ht="20.25" customHeight="1">
      <c r="F3" s="48"/>
      <c r="G3" s="49"/>
      <c r="H3" s="48"/>
      <c r="I3" s="48"/>
      <c r="J3" s="48"/>
    </row>
    <row r="4" spans="1:10" ht="18.75" customHeight="1">
      <c r="A4" s="306" t="s">
        <v>60</v>
      </c>
      <c r="B4" s="306"/>
      <c r="C4" s="306"/>
      <c r="D4" s="306"/>
      <c r="E4" s="306"/>
      <c r="F4" s="306" t="s">
        <v>389</v>
      </c>
      <c r="G4" s="306"/>
      <c r="H4" s="306"/>
      <c r="I4" s="306"/>
      <c r="J4" s="306"/>
    </row>
    <row r="5" spans="1:10" ht="15.75" customHeight="1">
      <c r="A5" s="51"/>
      <c r="B5" s="50"/>
      <c r="C5" s="36"/>
      <c r="D5" s="43"/>
      <c r="E5" s="43"/>
      <c r="F5" s="51"/>
      <c r="G5" s="50"/>
      <c r="H5" s="36"/>
      <c r="I5" s="43"/>
      <c r="J5" s="43" t="s">
        <v>61</v>
      </c>
    </row>
    <row r="6" spans="1:10" ht="45">
      <c r="A6" s="4" t="s">
        <v>17</v>
      </c>
      <c r="B6" s="52" t="s">
        <v>62</v>
      </c>
      <c r="C6" s="4" t="s">
        <v>63</v>
      </c>
      <c r="D6" s="4" t="s">
        <v>64</v>
      </c>
      <c r="E6" s="4" t="s">
        <v>390</v>
      </c>
      <c r="F6" s="4" t="s">
        <v>17</v>
      </c>
      <c r="G6" s="52" t="s">
        <v>62</v>
      </c>
      <c r="H6" s="4" t="s">
        <v>63</v>
      </c>
      <c r="I6" s="4" t="s">
        <v>64</v>
      </c>
      <c r="J6" s="4" t="s">
        <v>390</v>
      </c>
    </row>
    <row r="7" spans="1:10" ht="12.75">
      <c r="A7" s="4">
        <v>1</v>
      </c>
      <c r="B7" s="52">
        <v>2</v>
      </c>
      <c r="C7" s="4">
        <v>3</v>
      </c>
      <c r="D7" s="4">
        <v>4</v>
      </c>
      <c r="E7" s="4">
        <v>5</v>
      </c>
      <c r="F7" s="4">
        <v>1</v>
      </c>
      <c r="G7" s="52">
        <v>2</v>
      </c>
      <c r="H7" s="4">
        <v>3</v>
      </c>
      <c r="I7" s="4">
        <v>4</v>
      </c>
      <c r="J7" s="4">
        <v>5</v>
      </c>
    </row>
    <row r="8" spans="1:10" ht="30" customHeight="1">
      <c r="A8" s="30" t="s">
        <v>65</v>
      </c>
      <c r="B8" s="53">
        <f>SUM(B21,B29)</f>
        <v>1289991111</v>
      </c>
      <c r="C8" s="53">
        <f>SUM(C21,C29)</f>
        <v>1152858935</v>
      </c>
      <c r="D8" s="54">
        <f>IF(ISERROR(C8/B8)," ",(C8/B8))</f>
        <v>0.8936952550830406</v>
      </c>
      <c r="E8" s="53">
        <f>SUM(E21,E29)</f>
        <v>104061847</v>
      </c>
      <c r="F8" s="30" t="s">
        <v>65</v>
      </c>
      <c r="G8" s="55">
        <f>SUM(G21,G29)+1</f>
        <v>1289991</v>
      </c>
      <c r="H8" s="55">
        <f>SUM(H21,H29)</f>
        <v>1153680</v>
      </c>
      <c r="I8" s="56">
        <f>IF(ISERROR(H8/G8)," ",(H8/G8))</f>
        <v>0.8943318209196809</v>
      </c>
      <c r="J8" s="55">
        <f>SUM(J21,J29)</f>
        <v>104884</v>
      </c>
    </row>
    <row r="9" spans="1:10" ht="29.25" customHeight="1">
      <c r="A9" s="57" t="s">
        <v>66</v>
      </c>
      <c r="B9" s="53">
        <f>SUM(B10,B18,B19)</f>
        <v>632187232</v>
      </c>
      <c r="C9" s="53">
        <f>SUM(C10,C18,C19)</f>
        <v>592868343</v>
      </c>
      <c r="D9" s="54">
        <f aca="true" t="shared" si="0" ref="D9:D45">IF(ISERROR(C9/B9)," ",(C9/B9))</f>
        <v>0.9378049935054683</v>
      </c>
      <c r="E9" s="53">
        <f>SUM(E10,E18,E19)</f>
        <v>57159371</v>
      </c>
      <c r="F9" s="57" t="s">
        <v>66</v>
      </c>
      <c r="G9" s="58">
        <f>SUM(G10,G18,G19)+1</f>
        <v>632187</v>
      </c>
      <c r="H9" s="58">
        <f>SUM(H10,H18,H19)</f>
        <v>592869</v>
      </c>
      <c r="I9" s="59">
        <f aca="true" t="shared" si="1" ref="I9:I45">IF(ISERROR(H9/G9)," ",(H9/G9))</f>
        <v>0.9378063769106293</v>
      </c>
      <c r="J9" s="58">
        <f>SUM(J10,J18,J19)</f>
        <v>57161</v>
      </c>
    </row>
    <row r="10" spans="1:10" ht="19.5" customHeight="1">
      <c r="A10" s="60" t="s">
        <v>67</v>
      </c>
      <c r="B10" s="61">
        <f>SUM(B11,B13,B17)</f>
        <v>515297983</v>
      </c>
      <c r="C10" s="61">
        <f>SUM(C11,C13,C17)</f>
        <v>488936009</v>
      </c>
      <c r="D10" s="62">
        <f t="shared" si="0"/>
        <v>0.9488413017910067</v>
      </c>
      <c r="E10" s="61">
        <f>SUM(E11,E13,E17)</f>
        <v>48580871</v>
      </c>
      <c r="F10" s="60" t="s">
        <v>67</v>
      </c>
      <c r="G10" s="61">
        <f>SUM(G11,G13,G17)</f>
        <v>515297</v>
      </c>
      <c r="H10" s="61">
        <f>SUM(H11,H13,H17)</f>
        <v>488936</v>
      </c>
      <c r="I10" s="63">
        <f t="shared" si="1"/>
        <v>0.9488430943708192</v>
      </c>
      <c r="J10" s="61">
        <f>SUM(J11,J13,J17)</f>
        <v>48581</v>
      </c>
    </row>
    <row r="11" spans="1:10" ht="15.75" customHeight="1">
      <c r="A11" s="64" t="s">
        <v>68</v>
      </c>
      <c r="B11" s="61">
        <f>SUM(B12)</f>
        <v>85300000</v>
      </c>
      <c r="C11" s="61">
        <f>SUM(C12)</f>
        <v>84008963</v>
      </c>
      <c r="D11" s="62">
        <f t="shared" si="0"/>
        <v>0.9848647479484174</v>
      </c>
      <c r="E11" s="61">
        <f>SUM(E12)</f>
        <v>7232778</v>
      </c>
      <c r="F11" s="64" t="s">
        <v>68</v>
      </c>
      <c r="G11" s="61">
        <f>SUM(G12)</f>
        <v>85300</v>
      </c>
      <c r="H11" s="61">
        <f>SUM(H12)</f>
        <v>84009</v>
      </c>
      <c r="I11" s="63">
        <f t="shared" si="1"/>
        <v>0.9848651817116061</v>
      </c>
      <c r="J11" s="61">
        <f>SUM(J12)</f>
        <v>7233</v>
      </c>
    </row>
    <row r="12" spans="1:10" ht="15.75" customHeight="1">
      <c r="A12" s="65" t="s">
        <v>69</v>
      </c>
      <c r="B12" s="61">
        <v>85300000</v>
      </c>
      <c r="C12" s="61">
        <f>'[1]Novembris'!$D$11</f>
        <v>84008963</v>
      </c>
      <c r="D12" s="62">
        <f t="shared" si="0"/>
        <v>0.9848647479484174</v>
      </c>
      <c r="E12" s="61">
        <f>C12-'[2]Oktobris'!C12</f>
        <v>7232778</v>
      </c>
      <c r="F12" s="65" t="s">
        <v>69</v>
      </c>
      <c r="G12" s="61">
        <f>ROUND(B12/1000,0)</f>
        <v>85300</v>
      </c>
      <c r="H12" s="61">
        <f>ROUND(C12/1000,0)</f>
        <v>84009</v>
      </c>
      <c r="I12" s="63">
        <f t="shared" si="1"/>
        <v>0.9848651817116061</v>
      </c>
      <c r="J12" s="61">
        <f>H12-'[2]Oktobris'!H12</f>
        <v>7233</v>
      </c>
    </row>
    <row r="13" spans="1:10" ht="16.5" customHeight="1">
      <c r="A13" s="64" t="s">
        <v>70</v>
      </c>
      <c r="B13" s="61">
        <f>SUM(B14:B16)</f>
        <v>429997983</v>
      </c>
      <c r="C13" s="61">
        <f>SUM(C14:C16)</f>
        <v>398650872</v>
      </c>
      <c r="D13" s="62">
        <f t="shared" si="0"/>
        <v>0.9270993999057898</v>
      </c>
      <c r="E13" s="61">
        <f>SUM(E14:E16)</f>
        <v>40834602</v>
      </c>
      <c r="F13" s="64" t="s">
        <v>70</v>
      </c>
      <c r="G13" s="61">
        <f>SUM(G14:G16)</f>
        <v>429997</v>
      </c>
      <c r="H13" s="61">
        <f>SUM(H14:H16)</f>
        <v>398651</v>
      </c>
      <c r="I13" s="63">
        <f t="shared" si="1"/>
        <v>0.9271018169894208</v>
      </c>
      <c r="J13" s="61">
        <f>SUM(J14:J16)</f>
        <v>40835</v>
      </c>
    </row>
    <row r="14" spans="1:10" ht="17.25" customHeight="1">
      <c r="A14" s="66" t="s">
        <v>71</v>
      </c>
      <c r="B14" s="61">
        <v>307331592</v>
      </c>
      <c r="C14" s="61">
        <f>'[1]Novembris'!D13</f>
        <v>286066987</v>
      </c>
      <c r="D14" s="62">
        <f t="shared" si="0"/>
        <v>0.9308089192470652</v>
      </c>
      <c r="E14" s="61">
        <f>C14-'[2]Oktobris'!C14</f>
        <v>29045613</v>
      </c>
      <c r="F14" s="66" t="s">
        <v>71</v>
      </c>
      <c r="G14" s="61">
        <f>ROUND(B14/1000,0)-1</f>
        <v>307331</v>
      </c>
      <c r="H14" s="61">
        <f aca="true" t="shared" si="2" ref="G14:H18">ROUND(C14/1000,0)</f>
        <v>286067</v>
      </c>
      <c r="I14" s="63">
        <f t="shared" si="1"/>
        <v>0.9308107545285051</v>
      </c>
      <c r="J14" s="61">
        <f>H14-'[2]Oktobris'!H14</f>
        <v>29046</v>
      </c>
    </row>
    <row r="15" spans="1:10" ht="17.25" customHeight="1">
      <c r="A15" s="65" t="s">
        <v>72</v>
      </c>
      <c r="B15" s="61">
        <v>107751391</v>
      </c>
      <c r="C15" s="61">
        <f>'[1]Novembris'!D14</f>
        <v>98275113</v>
      </c>
      <c r="D15" s="62">
        <f t="shared" si="0"/>
        <v>0.912054239745267</v>
      </c>
      <c r="E15" s="61">
        <f>C15-'[2]Oktobris'!C15</f>
        <v>10346457</v>
      </c>
      <c r="F15" s="65" t="s">
        <v>72</v>
      </c>
      <c r="G15" s="61">
        <f>ROUND(B15/1000,0)</f>
        <v>107751</v>
      </c>
      <c r="H15" s="61">
        <f t="shared" si="2"/>
        <v>98275</v>
      </c>
      <c r="I15" s="63">
        <f t="shared" si="1"/>
        <v>0.912056500635725</v>
      </c>
      <c r="J15" s="61">
        <f>H15-'[2]Oktobris'!H15</f>
        <v>10346</v>
      </c>
    </row>
    <row r="16" spans="1:10" ht="16.5" customHeight="1">
      <c r="A16" s="65" t="s">
        <v>73</v>
      </c>
      <c r="B16" s="61">
        <v>14915000</v>
      </c>
      <c r="C16" s="61">
        <f>'[1]Novembris'!D15</f>
        <v>14308772</v>
      </c>
      <c r="D16" s="62">
        <f t="shared" si="0"/>
        <v>0.9593544753603754</v>
      </c>
      <c r="E16" s="61">
        <f>C16-'[2]Oktobris'!C16</f>
        <v>1442532</v>
      </c>
      <c r="F16" s="65" t="s">
        <v>73</v>
      </c>
      <c r="G16" s="61">
        <f t="shared" si="2"/>
        <v>14915</v>
      </c>
      <c r="H16" s="61">
        <f t="shared" si="2"/>
        <v>14309</v>
      </c>
      <c r="I16" s="63">
        <f t="shared" si="1"/>
        <v>0.9593697619845792</v>
      </c>
      <c r="J16" s="61">
        <f>H16-'[2]Oktobris'!H16</f>
        <v>1443</v>
      </c>
    </row>
    <row r="17" spans="1:10" ht="15.75" customHeight="1">
      <c r="A17" s="64" t="s">
        <v>74</v>
      </c>
      <c r="B17" s="61"/>
      <c r="C17" s="61">
        <f>'[1]Novembris'!$D$16</f>
        <v>6276174</v>
      </c>
      <c r="D17" s="62" t="str">
        <f t="shared" si="0"/>
        <v> </v>
      </c>
      <c r="E17" s="61">
        <f>C17-'[2]Oktobris'!C17</f>
        <v>513491</v>
      </c>
      <c r="F17" s="64" t="s">
        <v>74</v>
      </c>
      <c r="G17" s="61">
        <f t="shared" si="2"/>
        <v>0</v>
      </c>
      <c r="H17" s="61">
        <f t="shared" si="2"/>
        <v>6276</v>
      </c>
      <c r="I17" s="63" t="str">
        <f t="shared" si="1"/>
        <v> </v>
      </c>
      <c r="J17" s="61">
        <f>H17-'[2]Oktobris'!H17</f>
        <v>513</v>
      </c>
    </row>
    <row r="18" spans="1:10" ht="12.75">
      <c r="A18" s="60" t="s">
        <v>75</v>
      </c>
      <c r="B18" s="61">
        <v>49527858</v>
      </c>
      <c r="C18" s="61">
        <f>'[1]Novembris'!$D$17</f>
        <v>48840226</v>
      </c>
      <c r="D18" s="62">
        <f t="shared" si="0"/>
        <v>0.9861162580461283</v>
      </c>
      <c r="E18" s="61">
        <f>C18-'[2]Oktobris'!C18</f>
        <v>3603105</v>
      </c>
      <c r="F18" s="60" t="s">
        <v>75</v>
      </c>
      <c r="G18" s="61">
        <f t="shared" si="2"/>
        <v>49528</v>
      </c>
      <c r="H18" s="61">
        <f>ROUND(C18/1000,0)+1</f>
        <v>48841</v>
      </c>
      <c r="I18" s="63">
        <f t="shared" si="1"/>
        <v>0.9861290583104506</v>
      </c>
      <c r="J18" s="61">
        <f>H18-'[2]Oktobris'!H18</f>
        <v>3605</v>
      </c>
    </row>
    <row r="19" spans="1:10" ht="15.75" customHeight="1">
      <c r="A19" s="67" t="s">
        <v>76</v>
      </c>
      <c r="B19" s="61">
        <v>67361391</v>
      </c>
      <c r="C19" s="61">
        <f>'[1]Novembris'!$D$33</f>
        <v>55092108</v>
      </c>
      <c r="D19" s="62">
        <f t="shared" si="0"/>
        <v>0.8178588236101003</v>
      </c>
      <c r="E19" s="61">
        <f>C19-'[2]Oktobris'!C19</f>
        <v>4975395</v>
      </c>
      <c r="F19" s="67" t="s">
        <v>76</v>
      </c>
      <c r="G19" s="61">
        <f>ROUND(B19/1000,0)</f>
        <v>67361</v>
      </c>
      <c r="H19" s="61">
        <f>ROUND(C19/1000,0)</f>
        <v>55092</v>
      </c>
      <c r="I19" s="63">
        <f t="shared" si="1"/>
        <v>0.8178619676073693</v>
      </c>
      <c r="J19" s="61">
        <f>H19-'[2]Oktobris'!H19</f>
        <v>4975</v>
      </c>
    </row>
    <row r="20" spans="1:10" ht="10.5" customHeight="1">
      <c r="A20" s="68" t="s">
        <v>77</v>
      </c>
      <c r="B20" s="61">
        <v>12139676</v>
      </c>
      <c r="C20" s="61">
        <f>'[3]Novembris'!$D$20+'[3]Novembris'!$D$32</f>
        <v>10859660</v>
      </c>
      <c r="D20" s="62">
        <f t="shared" si="0"/>
        <v>0.8945592946632184</v>
      </c>
      <c r="E20" s="61">
        <f>C20-'[2]Oktobris'!C20</f>
        <v>417575</v>
      </c>
      <c r="F20" s="68" t="s">
        <v>78</v>
      </c>
      <c r="G20" s="69">
        <f>ROUND(B20/1000,0)</f>
        <v>12140</v>
      </c>
      <c r="H20" s="69">
        <f>ROUND(C20/1000,0)</f>
        <v>10860</v>
      </c>
      <c r="I20" s="70">
        <f t="shared" si="1"/>
        <v>0.8945634266886326</v>
      </c>
      <c r="J20" s="69">
        <f>H20-'[2]Oktobris'!H20</f>
        <v>418</v>
      </c>
    </row>
    <row r="21" spans="1:10" ht="19.5" customHeight="1">
      <c r="A21" s="57" t="s">
        <v>79</v>
      </c>
      <c r="B21" s="53">
        <f>SUM(B9-B20)</f>
        <v>620047556</v>
      </c>
      <c r="C21" s="53">
        <f>SUM(C9-C20)</f>
        <v>582008683</v>
      </c>
      <c r="D21" s="54">
        <f t="shared" si="0"/>
        <v>0.9386516846459435</v>
      </c>
      <c r="E21" s="53">
        <f>SUM(E9-E20)</f>
        <v>56741796</v>
      </c>
      <c r="F21" s="57" t="s">
        <v>79</v>
      </c>
      <c r="G21" s="58">
        <f>SUM(G9-G20)</f>
        <v>620047</v>
      </c>
      <c r="H21" s="58">
        <f>SUM(H9-H20)</f>
        <v>582009</v>
      </c>
      <c r="I21" s="59">
        <f t="shared" si="1"/>
        <v>0.9386530375923116</v>
      </c>
      <c r="J21" s="58">
        <f>SUM(J9-J20)</f>
        <v>56743</v>
      </c>
    </row>
    <row r="22" spans="1:10" ht="20.25" customHeight="1">
      <c r="A22" s="71" t="s">
        <v>80</v>
      </c>
      <c r="B22" s="53">
        <f>SUM(B23)</f>
        <v>732871551</v>
      </c>
      <c r="C22" s="53">
        <f>SUM(C23)</f>
        <v>629915525</v>
      </c>
      <c r="D22" s="54">
        <f t="shared" si="0"/>
        <v>0.8595169564714077</v>
      </c>
      <c r="E22" s="53">
        <f>SUM(E23)</f>
        <v>52972455</v>
      </c>
      <c r="F22" s="57" t="s">
        <v>80</v>
      </c>
      <c r="G22" s="58">
        <f>SUM(G23)</f>
        <v>732871</v>
      </c>
      <c r="H22" s="58">
        <f>SUM(H23)</f>
        <v>629915</v>
      </c>
      <c r="I22" s="59">
        <f t="shared" si="1"/>
        <v>0.8595168863278804</v>
      </c>
      <c r="J22" s="58">
        <f>SUM(J23)</f>
        <v>52972</v>
      </c>
    </row>
    <row r="23" spans="1:10" ht="12.75">
      <c r="A23" s="60" t="s">
        <v>81</v>
      </c>
      <c r="B23" s="61">
        <f>SUM(B24:B27)</f>
        <v>732871551</v>
      </c>
      <c r="C23" s="61">
        <f>SUM(C24:C27)</f>
        <v>629915525</v>
      </c>
      <c r="D23" s="62">
        <f t="shared" si="0"/>
        <v>0.8595169564714077</v>
      </c>
      <c r="E23" s="61">
        <f>SUM(E24:E27)</f>
        <v>52972455</v>
      </c>
      <c r="F23" s="60" t="s">
        <v>81</v>
      </c>
      <c r="G23" s="61">
        <f>SUM(G24:G27)</f>
        <v>732871</v>
      </c>
      <c r="H23" s="61">
        <f>SUM(H24:H27)</f>
        <v>629915</v>
      </c>
      <c r="I23" s="63">
        <f t="shared" si="1"/>
        <v>0.8595168863278804</v>
      </c>
      <c r="J23" s="61">
        <f>SUM(J24:J27)</f>
        <v>52972</v>
      </c>
    </row>
    <row r="24" spans="1:211" s="2" customFormat="1" ht="12.75">
      <c r="A24" s="65" t="s">
        <v>82</v>
      </c>
      <c r="B24" s="61">
        <v>445682077</v>
      </c>
      <c r="C24" s="61">
        <f>'[4]Novembris'!$D$117</f>
        <v>404712108</v>
      </c>
      <c r="D24" s="62">
        <f t="shared" si="0"/>
        <v>0.9080735548627413</v>
      </c>
      <c r="E24" s="61">
        <f>C24-'[2]Oktobris'!C24</f>
        <v>35173438</v>
      </c>
      <c r="F24" s="65" t="s">
        <v>82</v>
      </c>
      <c r="G24" s="61">
        <f aca="true" t="shared" si="3" ref="G24:H26">ROUND(B24/1000,0)</f>
        <v>445682</v>
      </c>
      <c r="H24" s="61">
        <f t="shared" si="3"/>
        <v>404712</v>
      </c>
      <c r="I24" s="63">
        <f t="shared" si="1"/>
        <v>0.9080734694243878</v>
      </c>
      <c r="J24" s="61">
        <f>H24-'[2]Oktobris'!H24</f>
        <v>35173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2" customFormat="1" ht="12.75">
      <c r="A25" s="72" t="s">
        <v>83</v>
      </c>
      <c r="B25" s="61">
        <v>54248609</v>
      </c>
      <c r="C25" s="61">
        <f>'[4]Novembris'!$D$89+'[4]Novembris'!$D$186</f>
        <v>43782616</v>
      </c>
      <c r="D25" s="62">
        <f t="shared" si="0"/>
        <v>0.8070735233045331</v>
      </c>
      <c r="E25" s="61">
        <f>C25-'[2]Oktobris'!C25</f>
        <v>3630503</v>
      </c>
      <c r="F25" s="72" t="s">
        <v>83</v>
      </c>
      <c r="G25" s="61">
        <f t="shared" si="3"/>
        <v>54249</v>
      </c>
      <c r="H25" s="61">
        <f>ROUND(C25/1000,0)-1</f>
        <v>43782</v>
      </c>
      <c r="I25" s="63">
        <f t="shared" si="1"/>
        <v>0.8070563512691478</v>
      </c>
      <c r="J25" s="61">
        <f>H25-'[2]Oktobris'!H25</f>
        <v>3630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2" customFormat="1" ht="12.75">
      <c r="A26" s="72" t="s">
        <v>84</v>
      </c>
      <c r="B26" s="61">
        <v>71125600</v>
      </c>
      <c r="C26" s="61">
        <f>'[4]Novembris'!$D$174</f>
        <v>61408089</v>
      </c>
      <c r="D26" s="62">
        <f t="shared" si="0"/>
        <v>0.863375338837212</v>
      </c>
      <c r="E26" s="61">
        <f>C26-'[2]Oktobris'!C26</f>
        <v>5305697</v>
      </c>
      <c r="F26" s="72" t="s">
        <v>84</v>
      </c>
      <c r="G26" s="61">
        <f>ROUND(B26/1000,0)-1</f>
        <v>71125</v>
      </c>
      <c r="H26" s="61">
        <f t="shared" si="3"/>
        <v>61408</v>
      </c>
      <c r="I26" s="63">
        <f t="shared" si="1"/>
        <v>0.8633813708260105</v>
      </c>
      <c r="J26" s="61">
        <f>H26-'[2]Oktobris'!H26</f>
        <v>5306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2" customFormat="1" ht="12.75">
      <c r="A27" s="65" t="s">
        <v>85</v>
      </c>
      <c r="B27" s="61">
        <v>161815265</v>
      </c>
      <c r="C27" s="61">
        <f>'[4]Novembris'!$D$9-C24-C25-C26</f>
        <v>120012712</v>
      </c>
      <c r="D27" s="62">
        <f t="shared" si="0"/>
        <v>0.741664959730468</v>
      </c>
      <c r="E27" s="61">
        <f>C27-'[2]Oktobris'!C27</f>
        <v>8862817</v>
      </c>
      <c r="F27" s="65" t="s">
        <v>85</v>
      </c>
      <c r="G27" s="61">
        <f>ROUND(B27/1000,0)</f>
        <v>161815</v>
      </c>
      <c r="H27" s="61">
        <f>ROUND(C27/1000,0)</f>
        <v>120013</v>
      </c>
      <c r="I27" s="63">
        <f t="shared" si="1"/>
        <v>0.7416679541451657</v>
      </c>
      <c r="J27" s="61">
        <f>H27-'[2]Oktobris'!H27</f>
        <v>8863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2" customFormat="1" ht="12.75">
      <c r="A28" s="73" t="s">
        <v>86</v>
      </c>
      <c r="B28" s="61">
        <v>62927996</v>
      </c>
      <c r="C28" s="61">
        <f>'[5]Novembris'!$D$33+C49</f>
        <v>59065273</v>
      </c>
      <c r="D28" s="62">
        <f t="shared" si="0"/>
        <v>0.9386167803595716</v>
      </c>
      <c r="E28" s="61">
        <f>C28-'[2]Oktobris'!C28</f>
        <v>5652404</v>
      </c>
      <c r="F28" s="73" t="s">
        <v>87</v>
      </c>
      <c r="G28" s="69">
        <f>ROUND(B28/1000,0)</f>
        <v>62928</v>
      </c>
      <c r="H28" s="69">
        <f>ROUND(C28/1000,0)+1-59066+58244</f>
        <v>58244</v>
      </c>
      <c r="I28" s="70">
        <f t="shared" si="1"/>
        <v>0.9255657259089753</v>
      </c>
      <c r="J28" s="69">
        <f>H28-'[2]Oktobris'!H28</f>
        <v>4831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57" t="s">
        <v>88</v>
      </c>
      <c r="B29" s="53">
        <f>SUM(B22-B28)</f>
        <v>669943555</v>
      </c>
      <c r="C29" s="53">
        <f>SUM(C22-C28)</f>
        <v>570850252</v>
      </c>
      <c r="D29" s="54">
        <f t="shared" si="0"/>
        <v>0.8520870866501582</v>
      </c>
      <c r="E29" s="53">
        <f>SUM(E22-E28)</f>
        <v>47320051</v>
      </c>
      <c r="F29" s="57" t="s">
        <v>88</v>
      </c>
      <c r="G29" s="58">
        <f>SUM(G22-G28)</f>
        <v>669943</v>
      </c>
      <c r="H29" s="58">
        <f>SUM(H22-H28)</f>
        <v>571671</v>
      </c>
      <c r="I29" s="59">
        <f t="shared" si="1"/>
        <v>0.853312893783501</v>
      </c>
      <c r="J29" s="58">
        <f>SUM(J22-J28)</f>
        <v>48141</v>
      </c>
    </row>
    <row r="30" spans="1:10" ht="29.25" customHeight="1">
      <c r="A30" s="74" t="s">
        <v>89</v>
      </c>
      <c r="B30" s="53">
        <f>SUM(B31:B33)</f>
        <v>1454359611</v>
      </c>
      <c r="C30" s="53">
        <f>SUM(C31:C33)</f>
        <v>1265344864</v>
      </c>
      <c r="D30" s="54">
        <f t="shared" si="0"/>
        <v>0.870035756239108</v>
      </c>
      <c r="E30" s="53">
        <f>SUM(E31:E33)</f>
        <v>121898969</v>
      </c>
      <c r="F30" s="74" t="s">
        <v>89</v>
      </c>
      <c r="G30" s="55">
        <f>SUM(G31:G33)</f>
        <v>1454361</v>
      </c>
      <c r="H30" s="55">
        <f>SUM(H31:H33)</f>
        <v>1266168</v>
      </c>
      <c r="I30" s="56">
        <f t="shared" si="1"/>
        <v>0.8706009030770214</v>
      </c>
      <c r="J30" s="55">
        <f>SUM(J31:J33)</f>
        <v>122722</v>
      </c>
    </row>
    <row r="31" spans="1:10" ht="28.5" customHeight="1">
      <c r="A31" s="74" t="s">
        <v>90</v>
      </c>
      <c r="B31" s="53">
        <f>SUM(B43+B65)</f>
        <v>1342936607</v>
      </c>
      <c r="C31" s="53">
        <f>SUM(C43+C65)</f>
        <v>1171997572</v>
      </c>
      <c r="D31" s="54">
        <f t="shared" si="0"/>
        <v>0.8727125062277791</v>
      </c>
      <c r="E31" s="53">
        <f>SUM(E43+E65)</f>
        <v>114223542</v>
      </c>
      <c r="F31" s="74" t="s">
        <v>91</v>
      </c>
      <c r="G31" s="55">
        <f>SUM(G43+G65)</f>
        <v>1342938</v>
      </c>
      <c r="H31" s="55">
        <f>SUM(H43+H65)</f>
        <v>1172821</v>
      </c>
      <c r="I31" s="56">
        <f t="shared" si="1"/>
        <v>0.8733247551264467</v>
      </c>
      <c r="J31" s="55">
        <f>SUM(J43+J65)</f>
        <v>115047</v>
      </c>
    </row>
    <row r="32" spans="1:10" ht="25.5" customHeight="1">
      <c r="A32" s="74" t="s">
        <v>92</v>
      </c>
      <c r="B32" s="53">
        <f>SUM(B45+B67)</f>
        <v>30922767</v>
      </c>
      <c r="C32" s="53">
        <f>SUM(C45+C67)</f>
        <v>28961065</v>
      </c>
      <c r="D32" s="54">
        <f t="shared" si="0"/>
        <v>0.936561239814018</v>
      </c>
      <c r="E32" s="53">
        <f>SUM(E45+E67)</f>
        <v>686531</v>
      </c>
      <c r="F32" s="74" t="s">
        <v>93</v>
      </c>
      <c r="G32" s="55">
        <f>SUM(G45+G67)</f>
        <v>30923</v>
      </c>
      <c r="H32" s="55">
        <f>SUM(H45+H67)</f>
        <v>28961</v>
      </c>
      <c r="I32" s="56">
        <f t="shared" si="1"/>
        <v>0.9365520809753258</v>
      </c>
      <c r="J32" s="55">
        <f>SUM(J45+J67)</f>
        <v>687</v>
      </c>
    </row>
    <row r="33" spans="1:10" ht="30" customHeight="1">
      <c r="A33" s="74" t="s">
        <v>94</v>
      </c>
      <c r="B33" s="53">
        <f>SUM(B50+B69)</f>
        <v>80500237</v>
      </c>
      <c r="C33" s="53">
        <f>SUM(C50+C69)</f>
        <v>64386227</v>
      </c>
      <c r="D33" s="54">
        <f t="shared" si="0"/>
        <v>0.799826552063443</v>
      </c>
      <c r="E33" s="53">
        <f>SUM(E50+E69)</f>
        <v>6988896</v>
      </c>
      <c r="F33" s="74" t="s">
        <v>95</v>
      </c>
      <c r="G33" s="55">
        <f>SUM(G50+G69)</f>
        <v>80500</v>
      </c>
      <c r="H33" s="55">
        <f>SUM(H50+H69)</f>
        <v>64386</v>
      </c>
      <c r="I33" s="56">
        <f t="shared" si="1"/>
        <v>0.7998260869565217</v>
      </c>
      <c r="J33" s="55">
        <f>SUM(J50+J69)</f>
        <v>6988</v>
      </c>
    </row>
    <row r="34" spans="1:10" ht="29.25" customHeight="1">
      <c r="A34" s="74" t="s">
        <v>96</v>
      </c>
      <c r="B34" s="53">
        <f>SUM(B8-B30)</f>
        <v>-164368500</v>
      </c>
      <c r="C34" s="53">
        <f>SUM(C8-C30)</f>
        <v>-112485929</v>
      </c>
      <c r="D34" s="54">
        <f t="shared" si="0"/>
        <v>0.6843521051783036</v>
      </c>
      <c r="E34" s="53">
        <f>SUM(E8-E30)</f>
        <v>-17837122</v>
      </c>
      <c r="F34" s="74" t="s">
        <v>96</v>
      </c>
      <c r="G34" s="55">
        <f>SUM(G8-G30)</f>
        <v>-164370</v>
      </c>
      <c r="H34" s="55">
        <f>SUM(H8-H30)</f>
        <v>-112488</v>
      </c>
      <c r="I34" s="56">
        <f t="shared" si="1"/>
        <v>0.6843584595729147</v>
      </c>
      <c r="J34" s="55">
        <f>SUM(J8-J30)</f>
        <v>-17838</v>
      </c>
    </row>
    <row r="35" spans="1:10" ht="19.5" customHeight="1">
      <c r="A35" s="74" t="s">
        <v>97</v>
      </c>
      <c r="B35" s="53">
        <f>SUM(B52+B71)</f>
        <v>16098224</v>
      </c>
      <c r="C35" s="53">
        <f>SUM(C52+C71)</f>
        <v>8186907</v>
      </c>
      <c r="D35" s="54">
        <f t="shared" si="0"/>
        <v>0.508559639870833</v>
      </c>
      <c r="E35" s="53">
        <f>SUM(E52+E71)</f>
        <v>-1685607</v>
      </c>
      <c r="F35" s="74" t="s">
        <v>97</v>
      </c>
      <c r="G35" s="55">
        <f>SUM(G52+G71)</f>
        <v>16098</v>
      </c>
      <c r="H35" s="55">
        <f>SUM(H52+H71)</f>
        <v>8186</v>
      </c>
      <c r="I35" s="56">
        <f t="shared" si="1"/>
        <v>0.508510373959498</v>
      </c>
      <c r="J35" s="55">
        <v>486</v>
      </c>
    </row>
    <row r="36" spans="1:10" ht="30" customHeight="1">
      <c r="A36" s="74" t="s">
        <v>98</v>
      </c>
      <c r="B36" s="53">
        <f>SUM(B30+B35)</f>
        <v>1470457835</v>
      </c>
      <c r="C36" s="53">
        <f>SUM(C30+C35)</f>
        <v>1273531771</v>
      </c>
      <c r="D36" s="54">
        <f t="shared" si="0"/>
        <v>0.8660784013572208</v>
      </c>
      <c r="E36" s="53">
        <f>SUM(E30+E35)</f>
        <v>120213362</v>
      </c>
      <c r="F36" s="74" t="s">
        <v>99</v>
      </c>
      <c r="G36" s="55">
        <f>SUM(G30+G35)</f>
        <v>1470459</v>
      </c>
      <c r="H36" s="55">
        <f>SUM(H30+H35)</f>
        <v>1274354</v>
      </c>
      <c r="I36" s="56">
        <f t="shared" si="1"/>
        <v>0.8666368800490187</v>
      </c>
      <c r="J36" s="55">
        <f>SUM(J30+J35)</f>
        <v>123208</v>
      </c>
    </row>
    <row r="37" spans="1:10" ht="27" customHeight="1">
      <c r="A37" s="74" t="s">
        <v>100</v>
      </c>
      <c r="B37" s="53">
        <f>IF((B34-B35=B8-B36)=TRUE,B34-B35,9)</f>
        <v>-180466724</v>
      </c>
      <c r="C37" s="55">
        <f>C34-C35</f>
        <v>-120672836</v>
      </c>
      <c r="D37" s="54">
        <f t="shared" si="0"/>
        <v>0.6686708403927142</v>
      </c>
      <c r="E37" s="53">
        <f>IF((E34-E35=E8-E36)=TRUE,E34-E35,9)</f>
        <v>-16151515</v>
      </c>
      <c r="F37" s="74" t="s">
        <v>100</v>
      </c>
      <c r="G37" s="55">
        <f>IF((G34-G35=G8-G36)=TRUE,G34-G35,9)</f>
        <v>-180468</v>
      </c>
      <c r="H37" s="55">
        <f>IF((H34-H35=H8-H36)=TRUE,H34-H35,9)</f>
        <v>-120674</v>
      </c>
      <c r="I37" s="56">
        <f t="shared" si="1"/>
        <v>0.6686725624487444</v>
      </c>
      <c r="J37" s="55">
        <f>IF((J34-J35=J8-J36)=TRUE,J34-J35,9)</f>
        <v>-18324</v>
      </c>
    </row>
    <row r="38" spans="1:10" ht="15.75" customHeight="1">
      <c r="A38" s="57" t="s">
        <v>101</v>
      </c>
      <c r="B38" s="53">
        <f>B41+B44+B48</f>
        <v>704860897</v>
      </c>
      <c r="C38" s="53">
        <f>C41+C44+C48</f>
        <v>621609883</v>
      </c>
      <c r="D38" s="54">
        <f t="shared" si="0"/>
        <v>0.8818901511570162</v>
      </c>
      <c r="E38" s="53">
        <f>E41+E44+E48</f>
        <v>64488541</v>
      </c>
      <c r="F38" s="57" t="s">
        <v>101</v>
      </c>
      <c r="G38" s="58">
        <f>G41+G44+G48</f>
        <v>704861</v>
      </c>
      <c r="H38" s="58">
        <f>H41+H44+H48</f>
        <v>621612</v>
      </c>
      <c r="I38" s="59">
        <f t="shared" si="1"/>
        <v>0.8818930257171272</v>
      </c>
      <c r="J38" s="58">
        <f>J41+J44+J48</f>
        <v>64491</v>
      </c>
    </row>
    <row r="39" spans="1:10" ht="12.75">
      <c r="A39" s="75" t="s">
        <v>102</v>
      </c>
      <c r="B39" s="61">
        <f>B42+B49</f>
        <v>62927996</v>
      </c>
      <c r="C39" s="61">
        <f>C42+C49</f>
        <v>59065273</v>
      </c>
      <c r="D39" s="62">
        <f t="shared" si="0"/>
        <v>0.9386167803595716</v>
      </c>
      <c r="E39" s="61">
        <f>E42+E49</f>
        <v>5652404</v>
      </c>
      <c r="F39" s="75" t="s">
        <v>103</v>
      </c>
      <c r="G39" s="69">
        <f>G42+G49</f>
        <v>62927</v>
      </c>
      <c r="H39" s="69">
        <f>H42+H49</f>
        <v>58244</v>
      </c>
      <c r="I39" s="70">
        <f t="shared" si="1"/>
        <v>0.9255804344716895</v>
      </c>
      <c r="J39" s="69">
        <f>J42+J49</f>
        <v>4831</v>
      </c>
    </row>
    <row r="40" spans="1:10" ht="20.25" customHeight="1">
      <c r="A40" s="57" t="s">
        <v>104</v>
      </c>
      <c r="B40" s="53">
        <f>SUM(B38-B39)</f>
        <v>641932901</v>
      </c>
      <c r="C40" s="53">
        <f>SUM(C38-C39)</f>
        <v>562544610</v>
      </c>
      <c r="D40" s="54">
        <f t="shared" si="0"/>
        <v>0.8763293003422487</v>
      </c>
      <c r="E40" s="53">
        <f>SUM(E38-E39)</f>
        <v>58836137</v>
      </c>
      <c r="F40" s="57" t="s">
        <v>104</v>
      </c>
      <c r="G40" s="58">
        <f>SUM(G38-G39)</f>
        <v>641934</v>
      </c>
      <c r="H40" s="58">
        <f>SUM(H38-H39)</f>
        <v>563368</v>
      </c>
      <c r="I40" s="59">
        <f t="shared" si="1"/>
        <v>0.8776104708583748</v>
      </c>
      <c r="J40" s="58">
        <f>SUM(J38-J39)</f>
        <v>59660</v>
      </c>
    </row>
    <row r="41" spans="1:10" ht="12.75">
      <c r="A41" s="60" t="s">
        <v>105</v>
      </c>
      <c r="B41" s="61">
        <v>640293526</v>
      </c>
      <c r="C41" s="61">
        <f>'[5]Novembris'!$D$16</f>
        <v>569691153</v>
      </c>
      <c r="D41" s="62">
        <f t="shared" si="0"/>
        <v>0.8897343637986432</v>
      </c>
      <c r="E41" s="61">
        <f>C41-'[2]Oktobris'!C41</f>
        <v>58884884</v>
      </c>
      <c r="F41" s="60" t="s">
        <v>105</v>
      </c>
      <c r="G41" s="61">
        <f>ROUND(B41/1000,0)</f>
        <v>640294</v>
      </c>
      <c r="H41" s="61">
        <f>ROUND(C41/1000,0)+2</f>
        <v>569693</v>
      </c>
      <c r="I41" s="63">
        <f t="shared" si="1"/>
        <v>0.8897365897540818</v>
      </c>
      <c r="J41" s="61">
        <f>H41-'[2]Oktobris'!H41+1</f>
        <v>58887</v>
      </c>
    </row>
    <row r="42" spans="1:10" ht="12.75">
      <c r="A42" s="73" t="s">
        <v>106</v>
      </c>
      <c r="B42" s="61">
        <v>60989996</v>
      </c>
      <c r="C42" s="61">
        <f>'[5]Novembris'!$D$33</f>
        <v>57167696</v>
      </c>
      <c r="D42" s="62">
        <f t="shared" si="0"/>
        <v>0.9373290662291567</v>
      </c>
      <c r="E42" s="61">
        <f>C42-'[2]Oktobris'!C42</f>
        <v>5628567</v>
      </c>
      <c r="F42" s="73" t="s">
        <v>107</v>
      </c>
      <c r="G42" s="69">
        <f>ROUND(B42/1000,0)-1</f>
        <v>60989</v>
      </c>
      <c r="H42" s="69">
        <v>56346</v>
      </c>
      <c r="I42" s="70">
        <f t="shared" si="1"/>
        <v>0.9238715178146879</v>
      </c>
      <c r="J42" s="69">
        <f>H42-'[2]Oktobris'!H42</f>
        <v>4807</v>
      </c>
    </row>
    <row r="43" spans="1:10" ht="15" customHeight="1">
      <c r="A43" s="57" t="s">
        <v>108</v>
      </c>
      <c r="B43" s="53">
        <f>SUM(B41-B42)</f>
        <v>579303530</v>
      </c>
      <c r="C43" s="53">
        <f>SUM(C41-C42)</f>
        <v>512523457</v>
      </c>
      <c r="D43" s="54">
        <f t="shared" si="0"/>
        <v>0.8847235179112407</v>
      </c>
      <c r="E43" s="53">
        <f>SUM(E41-E42)</f>
        <v>53256317</v>
      </c>
      <c r="F43" s="57" t="s">
        <v>108</v>
      </c>
      <c r="G43" s="58">
        <f>SUM(G41-G42)</f>
        <v>579305</v>
      </c>
      <c r="H43" s="58">
        <f>SUM(H41-H42)</f>
        <v>513347</v>
      </c>
      <c r="I43" s="59">
        <f t="shared" si="1"/>
        <v>0.8861428781039349</v>
      </c>
      <c r="J43" s="58">
        <f>SUM(J41-J42)</f>
        <v>54080</v>
      </c>
    </row>
    <row r="44" spans="1:10" ht="15.75" customHeight="1">
      <c r="A44" s="60" t="s">
        <v>109</v>
      </c>
      <c r="B44" s="61">
        <v>14642838</v>
      </c>
      <c r="C44" s="61">
        <f>'[5]Novembris'!$D$42</f>
        <v>11565646</v>
      </c>
      <c r="D44" s="62">
        <f t="shared" si="0"/>
        <v>0.7898500277063777</v>
      </c>
      <c r="E44" s="61">
        <f>C44-'[2]Oktobris'!C44</f>
        <v>1352200</v>
      </c>
      <c r="F44" s="60" t="s">
        <v>109</v>
      </c>
      <c r="G44" s="61">
        <f>ROUND(B44/1000,0)</f>
        <v>14643</v>
      </c>
      <c r="H44" s="61">
        <f>ROUND(C44/1000,0)</f>
        <v>11566</v>
      </c>
      <c r="I44" s="63">
        <f t="shared" si="1"/>
        <v>0.7898654647271733</v>
      </c>
      <c r="J44" s="61">
        <f>H44-'[2]Oktobris'!H44</f>
        <v>1353</v>
      </c>
    </row>
    <row r="45" spans="1:10" ht="19.5" customHeight="1">
      <c r="A45" s="57" t="s">
        <v>110</v>
      </c>
      <c r="B45" s="53">
        <f>SUM(B44)</f>
        <v>14642838</v>
      </c>
      <c r="C45" s="53">
        <f>SUM(C44)</f>
        <v>11565646</v>
      </c>
      <c r="D45" s="54">
        <f t="shared" si="0"/>
        <v>0.7898500277063777</v>
      </c>
      <c r="E45" s="53">
        <f>SUM(E44)</f>
        <v>1352200</v>
      </c>
      <c r="F45" s="57" t="s">
        <v>110</v>
      </c>
      <c r="G45" s="58">
        <f>SUM(G44)</f>
        <v>14643</v>
      </c>
      <c r="H45" s="58">
        <f>SUM(H44)</f>
        <v>11566</v>
      </c>
      <c r="I45" s="59">
        <f t="shared" si="1"/>
        <v>0.7898654647271733</v>
      </c>
      <c r="J45" s="58">
        <f>SUM(J44)</f>
        <v>1353</v>
      </c>
    </row>
    <row r="46" spans="1:10" ht="0.75" customHeight="1" hidden="1">
      <c r="A46" s="4" t="s">
        <v>17</v>
      </c>
      <c r="B46" s="52" t="s">
        <v>62</v>
      </c>
      <c r="C46" s="4" t="s">
        <v>63</v>
      </c>
      <c r="D46" s="4" t="s">
        <v>64</v>
      </c>
      <c r="E46" s="4" t="s">
        <v>111</v>
      </c>
      <c r="F46" s="4" t="s">
        <v>17</v>
      </c>
      <c r="G46" s="52" t="s">
        <v>62</v>
      </c>
      <c r="H46" s="4" t="s">
        <v>63</v>
      </c>
      <c r="I46" s="4" t="s">
        <v>64</v>
      </c>
      <c r="J46" s="4" t="s">
        <v>112</v>
      </c>
    </row>
    <row r="47" spans="1:10" ht="12.75" hidden="1">
      <c r="A47" s="4">
        <v>1</v>
      </c>
      <c r="B47" s="52">
        <v>2</v>
      </c>
      <c r="C47" s="4">
        <v>3</v>
      </c>
      <c r="D47" s="4">
        <v>4</v>
      </c>
      <c r="E47" s="4">
        <v>5</v>
      </c>
      <c r="F47" s="4">
        <v>1</v>
      </c>
      <c r="G47" s="52">
        <v>2</v>
      </c>
      <c r="H47" s="4">
        <v>3</v>
      </c>
      <c r="I47" s="4">
        <v>4</v>
      </c>
      <c r="J47" s="4">
        <v>5</v>
      </c>
    </row>
    <row r="48" spans="1:10" ht="12.75">
      <c r="A48" s="60" t="s">
        <v>113</v>
      </c>
      <c r="B48" s="61">
        <v>49924533</v>
      </c>
      <c r="C48" s="61">
        <f>'[5]Novembris'!$D$43</f>
        <v>40353084</v>
      </c>
      <c r="D48" s="62">
        <f aca="true" t="shared" si="4" ref="D48:D76">IF(ISERROR(C48/B48)," ",(C48/B48))</f>
        <v>0.8082816518283706</v>
      </c>
      <c r="E48" s="61">
        <f>C48-'[2]Oktobris'!C48</f>
        <v>4251457</v>
      </c>
      <c r="F48" s="60" t="s">
        <v>113</v>
      </c>
      <c r="G48" s="61">
        <f>ROUND(B48/1000,0)-1</f>
        <v>49924</v>
      </c>
      <c r="H48" s="61">
        <f>ROUND(C48/1000,0)</f>
        <v>40353</v>
      </c>
      <c r="I48" s="63">
        <f aca="true" t="shared" si="5" ref="I48:I76">IF(ISERROR(H48/G48)," ",(H48/G48))</f>
        <v>0.8082885986699784</v>
      </c>
      <c r="J48" s="61">
        <f>H48-'[2]Oktobris'!H48</f>
        <v>4251</v>
      </c>
    </row>
    <row r="49" spans="1:211" s="60" customFormat="1" ht="12.75">
      <c r="A49" s="73" t="s">
        <v>114</v>
      </c>
      <c r="B49" s="61">
        <v>1938000</v>
      </c>
      <c r="C49" s="61">
        <f>1701200+196377</f>
        <v>1897577</v>
      </c>
      <c r="D49" s="62">
        <f t="shared" si="4"/>
        <v>0.9791418988648091</v>
      </c>
      <c r="E49" s="61">
        <f>C49-'[2]Oktobris'!C49</f>
        <v>23837</v>
      </c>
      <c r="F49" s="73" t="s">
        <v>107</v>
      </c>
      <c r="G49" s="69">
        <f>ROUND(B49/1000,0)</f>
        <v>1938</v>
      </c>
      <c r="H49" s="69">
        <f>ROUND(C49/1000,0)</f>
        <v>1898</v>
      </c>
      <c r="I49" s="70">
        <f t="shared" si="5"/>
        <v>0.9793601651186791</v>
      </c>
      <c r="J49" s="69">
        <f>H49-'[2]Oktobris'!H49</f>
        <v>24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60" customFormat="1" ht="17.25" customHeight="1">
      <c r="A50" s="57" t="s">
        <v>115</v>
      </c>
      <c r="B50" s="53">
        <f>SUM(B48-B49)</f>
        <v>47986533</v>
      </c>
      <c r="C50" s="53">
        <f>SUM(C48-C49)</f>
        <v>38455507</v>
      </c>
      <c r="D50" s="54">
        <f t="shared" si="4"/>
        <v>0.8013812333556166</v>
      </c>
      <c r="E50" s="53">
        <f>SUM(E48-E49)</f>
        <v>4227620</v>
      </c>
      <c r="F50" s="57" t="s">
        <v>115</v>
      </c>
      <c r="G50" s="58">
        <f>SUM(G48-G49)</f>
        <v>47986</v>
      </c>
      <c r="H50" s="58">
        <f>SUM(H48-H49)</f>
        <v>38455</v>
      </c>
      <c r="I50" s="59">
        <f t="shared" si="5"/>
        <v>0.8013795690409703</v>
      </c>
      <c r="J50" s="58">
        <f>SUM(J48-J49)</f>
        <v>4227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60" customFormat="1" ht="30" customHeight="1">
      <c r="A51" s="74" t="s">
        <v>116</v>
      </c>
      <c r="B51" s="53">
        <f>SUM(B9-B38)</f>
        <v>-72673665</v>
      </c>
      <c r="C51" s="53">
        <f>SUM(C9-C38)</f>
        <v>-28741540</v>
      </c>
      <c r="D51" s="54">
        <f t="shared" si="4"/>
        <v>0.39548769144916524</v>
      </c>
      <c r="E51" s="53">
        <f>SUM(E9-E38)</f>
        <v>-7329170</v>
      </c>
      <c r="F51" s="74" t="s">
        <v>116</v>
      </c>
      <c r="G51" s="55">
        <f>SUM(G9-G38)</f>
        <v>-72674</v>
      </c>
      <c r="H51" s="55">
        <f>SUM(H9-H38)</f>
        <v>-28743</v>
      </c>
      <c r="I51" s="56">
        <f t="shared" si="5"/>
        <v>0.3955059581143187</v>
      </c>
      <c r="J51" s="55">
        <f>SUM(J9-J38)</f>
        <v>-7330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60" customFormat="1" ht="17.25" customHeight="1">
      <c r="A52" s="57" t="s">
        <v>117</v>
      </c>
      <c r="B52" s="53">
        <f>SUM(B55-B58)</f>
        <v>12347474</v>
      </c>
      <c r="C52" s="53">
        <f>SUM(C55-C58)</f>
        <v>5629876</v>
      </c>
      <c r="D52" s="54">
        <f t="shared" si="4"/>
        <v>0.45595366307311114</v>
      </c>
      <c r="E52" s="53">
        <f>SUM(E55-E58)</f>
        <v>-2171100</v>
      </c>
      <c r="F52" s="57" t="s">
        <v>391</v>
      </c>
      <c r="G52" s="58">
        <v>12347</v>
      </c>
      <c r="H52" s="58">
        <v>5629</v>
      </c>
      <c r="I52" s="59">
        <f t="shared" si="5"/>
        <v>0.4559002186766016</v>
      </c>
      <c r="J52" s="280" t="s">
        <v>392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60" customFormat="1" ht="16.5" customHeight="1">
      <c r="A53" s="60" t="s">
        <v>118</v>
      </c>
      <c r="B53" s="61">
        <v>89313683</v>
      </c>
      <c r="C53" s="61">
        <f>'[6]Novembris'!$C$9</f>
        <v>105369261</v>
      </c>
      <c r="D53" s="62">
        <f t="shared" si="4"/>
        <v>1.1797661619216846</v>
      </c>
      <c r="E53" s="61">
        <f>C53-'[2]Oktobris'!C53</f>
        <v>10442970</v>
      </c>
      <c r="F53" s="60" t="s">
        <v>393</v>
      </c>
      <c r="G53" s="61">
        <f>ROUND(B53/1000,0)</f>
        <v>89314</v>
      </c>
      <c r="H53" s="61">
        <v>68957</v>
      </c>
      <c r="I53" s="63">
        <f t="shared" si="5"/>
        <v>0.7720738070179367</v>
      </c>
      <c r="J53" s="280" t="s">
        <v>392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60" customFormat="1" ht="14.25" customHeight="1">
      <c r="A54" s="73" t="s">
        <v>114</v>
      </c>
      <c r="B54" s="61">
        <v>76966209</v>
      </c>
      <c r="C54" s="61">
        <f>'[6]Novembris'!$C$24+'[6]Novembris'!$C$52</f>
        <v>79712122</v>
      </c>
      <c r="D54" s="62">
        <f t="shared" si="4"/>
        <v>1.035676864375638</v>
      </c>
      <c r="E54" s="61">
        <f>C54-'[2]Oktobris'!C54</f>
        <v>9177912</v>
      </c>
      <c r="F54" s="73" t="s">
        <v>107</v>
      </c>
      <c r="G54" s="69">
        <f>ROUND(B54/1000,0)</f>
        <v>76966</v>
      </c>
      <c r="H54" s="69">
        <v>63328</v>
      </c>
      <c r="I54" s="70">
        <f t="shared" si="5"/>
        <v>0.822804874879817</v>
      </c>
      <c r="J54" s="280" t="s">
        <v>392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60" customFormat="1" ht="15" customHeight="1">
      <c r="A55" s="60" t="s">
        <v>119</v>
      </c>
      <c r="B55" s="61">
        <f>SUM(B53-B54)</f>
        <v>12347474</v>
      </c>
      <c r="C55" s="61">
        <f>SUM(C53-C54)</f>
        <v>25657139</v>
      </c>
      <c r="D55" s="62">
        <f t="shared" si="4"/>
        <v>2.0779261410066545</v>
      </c>
      <c r="E55" s="61">
        <f>SUM(E53-E54)</f>
        <v>1265058</v>
      </c>
      <c r="F55" s="60" t="s">
        <v>394</v>
      </c>
      <c r="G55" s="61">
        <f>SUM(G53-G54)-1</f>
        <v>12347</v>
      </c>
      <c r="H55" s="61">
        <f>SUM(H53-H54)</f>
        <v>5629</v>
      </c>
      <c r="I55" s="63">
        <f t="shared" si="5"/>
        <v>0.4559002186766016</v>
      </c>
      <c r="J55" s="280" t="s">
        <v>392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60" customFormat="1" ht="15.75" customHeight="1">
      <c r="A56" s="60" t="s">
        <v>120</v>
      </c>
      <c r="B56" s="61"/>
      <c r="C56" s="61">
        <f>'[6]Novembris'!$C$10</f>
        <v>36411605</v>
      </c>
      <c r="D56" s="62" t="str">
        <f t="shared" si="4"/>
        <v> </v>
      </c>
      <c r="E56" s="61">
        <f>C56-'[2]Oktobris'!C56</f>
        <v>3453738</v>
      </c>
      <c r="F56" s="60" t="s">
        <v>119</v>
      </c>
      <c r="G56" s="61">
        <v>35343</v>
      </c>
      <c r="H56" s="61">
        <f>ROUND(C56/1000,0)</f>
        <v>36412</v>
      </c>
      <c r="I56" s="63">
        <f t="shared" si="5"/>
        <v>1.030246442011148</v>
      </c>
      <c r="J56" s="280" t="s">
        <v>392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60" customFormat="1" ht="15.75" customHeight="1" hidden="1">
      <c r="A57" s="73" t="s">
        <v>121</v>
      </c>
      <c r="B57" s="61"/>
      <c r="C57" s="61">
        <f>'[6]Novembris'!$C$40+'[6]Novembris'!$C$84</f>
        <v>16384342</v>
      </c>
      <c r="D57" s="62" t="str">
        <f t="shared" si="4"/>
        <v> </v>
      </c>
      <c r="E57" s="61">
        <f>C57-'[2]Oktobris'!C57</f>
        <v>17580</v>
      </c>
      <c r="F57" s="73" t="s">
        <v>122</v>
      </c>
      <c r="G57" s="69">
        <v>16400</v>
      </c>
      <c r="H57" s="69">
        <f>ROUND(C57/1000,0)</f>
        <v>16384</v>
      </c>
      <c r="I57" s="70">
        <f t="shared" si="5"/>
        <v>0.9990243902439024</v>
      </c>
      <c r="J57" s="280" t="s">
        <v>392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60" customFormat="1" ht="16.5" customHeight="1">
      <c r="A58" s="60" t="s">
        <v>123</v>
      </c>
      <c r="B58" s="61">
        <f>SUM(B56-B57)</f>
        <v>0</v>
      </c>
      <c r="C58" s="61">
        <f>SUM(C56-C57)</f>
        <v>20027263</v>
      </c>
      <c r="D58" s="62" t="str">
        <f t="shared" si="4"/>
        <v> </v>
      </c>
      <c r="E58" s="61">
        <f>SUM(E56-E57)</f>
        <v>3436158</v>
      </c>
      <c r="F58" s="60" t="s">
        <v>123</v>
      </c>
      <c r="G58" s="61">
        <f>SUM(G56-G57)</f>
        <v>18943</v>
      </c>
      <c r="H58" s="61">
        <f>SUM(H56-H57)</f>
        <v>20028</v>
      </c>
      <c r="I58" s="63">
        <f t="shared" si="5"/>
        <v>1.0572770944412184</v>
      </c>
      <c r="J58" s="280" t="s">
        <v>392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60" customFormat="1" ht="32.25" customHeight="1">
      <c r="A59" s="74" t="s">
        <v>124</v>
      </c>
      <c r="B59" s="53">
        <f>B51-(B53-B56)</f>
        <v>-161987348</v>
      </c>
      <c r="C59" s="53">
        <f>C51-(C53-C56)</f>
        <v>-97699196</v>
      </c>
      <c r="D59" s="54">
        <f t="shared" si="4"/>
        <v>0.6031285603860864</v>
      </c>
      <c r="E59" s="53">
        <f>E51-(E53-E56)</f>
        <v>-14318402</v>
      </c>
      <c r="F59" s="74" t="s">
        <v>395</v>
      </c>
      <c r="G59" s="55">
        <v>-161987</v>
      </c>
      <c r="H59" s="55">
        <v>-97700</v>
      </c>
      <c r="I59" s="56">
        <f t="shared" si="5"/>
        <v>0.6031348194608209</v>
      </c>
      <c r="J59" s="55">
        <f>H59-'[2]Oktobris'!H59</f>
        <v>-14318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60" customFormat="1" ht="17.25" customHeight="1">
      <c r="A60" s="57" t="s">
        <v>125</v>
      </c>
      <c r="B60" s="53">
        <f>B63+B66+B68</f>
        <v>824566386</v>
      </c>
      <c r="C60" s="53">
        <f>C63+C66+C68</f>
        <v>713659914</v>
      </c>
      <c r="D60" s="54">
        <f t="shared" si="4"/>
        <v>0.8654972190438042</v>
      </c>
      <c r="E60" s="53">
        <f>E63+E66+E68</f>
        <v>63480407</v>
      </c>
      <c r="F60" s="57" t="s">
        <v>125</v>
      </c>
      <c r="G60" s="58">
        <f>G63+G66+G68</f>
        <v>824567</v>
      </c>
      <c r="H60" s="58">
        <f>H63+H66+H68</f>
        <v>713660</v>
      </c>
      <c r="I60" s="59">
        <f t="shared" si="5"/>
        <v>0.8654966788629669</v>
      </c>
      <c r="J60" s="58">
        <f>J63+J66+J68</f>
        <v>63480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60" customFormat="1" ht="19.5" customHeight="1">
      <c r="A61" s="73" t="s">
        <v>126</v>
      </c>
      <c r="B61" s="61">
        <f>B64</f>
        <v>12139676</v>
      </c>
      <c r="C61" s="61">
        <f>C20</f>
        <v>10859660</v>
      </c>
      <c r="D61" s="62">
        <f t="shared" si="4"/>
        <v>0.8945592946632184</v>
      </c>
      <c r="E61" s="61">
        <f>E64</f>
        <v>417575</v>
      </c>
      <c r="F61" s="73" t="s">
        <v>127</v>
      </c>
      <c r="G61" s="69">
        <f>G64</f>
        <v>12140</v>
      </c>
      <c r="H61" s="69">
        <f>H64</f>
        <v>10860</v>
      </c>
      <c r="I61" s="70">
        <f t="shared" si="5"/>
        <v>0.8945634266886326</v>
      </c>
      <c r="J61" s="69">
        <f>J64</f>
        <v>418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60" customFormat="1" ht="19.5" customHeight="1">
      <c r="A62" s="57" t="s">
        <v>128</v>
      </c>
      <c r="B62" s="53">
        <f>SUM(B60-B61)</f>
        <v>812426710</v>
      </c>
      <c r="C62" s="53">
        <f>SUM(C60-C61)</f>
        <v>702800254</v>
      </c>
      <c r="D62" s="54">
        <f t="shared" si="4"/>
        <v>0.8650629593406647</v>
      </c>
      <c r="E62" s="53">
        <f>SUM(E60-E61)</f>
        <v>63062832</v>
      </c>
      <c r="F62" s="57" t="s">
        <v>128</v>
      </c>
      <c r="G62" s="58">
        <f>SUM(G60-G61)</f>
        <v>812427</v>
      </c>
      <c r="H62" s="58">
        <f>SUM(H60-H61)</f>
        <v>702800</v>
      </c>
      <c r="I62" s="59">
        <f t="shared" si="5"/>
        <v>0.8650623379085136</v>
      </c>
      <c r="J62" s="58">
        <f>SUM(J60-J61)</f>
        <v>63062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60" customFormat="1" ht="15.75" customHeight="1">
      <c r="A63" s="60" t="s">
        <v>129</v>
      </c>
      <c r="B63" s="61">
        <v>775772753</v>
      </c>
      <c r="C63" s="61">
        <f>'[3]Novembris'!$D$14</f>
        <v>670333775</v>
      </c>
      <c r="D63" s="62">
        <f t="shared" si="4"/>
        <v>0.8640852265147807</v>
      </c>
      <c r="E63" s="61">
        <f>C63-'[2]Oktobris'!C63</f>
        <v>61384800</v>
      </c>
      <c r="F63" s="60" t="s">
        <v>129</v>
      </c>
      <c r="G63" s="61">
        <f>ROUND(B63/1000,0)</f>
        <v>775773</v>
      </c>
      <c r="H63" s="61">
        <f>ROUND(C63/1000,0)</f>
        <v>670334</v>
      </c>
      <c r="I63" s="63">
        <f t="shared" si="5"/>
        <v>0.8640852414301606</v>
      </c>
      <c r="J63" s="61">
        <f>H63-'[2]Oktobris'!H63</f>
        <v>61385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60" customFormat="1" ht="15" customHeight="1">
      <c r="A64" s="73" t="s">
        <v>130</v>
      </c>
      <c r="B64" s="61">
        <v>12139676</v>
      </c>
      <c r="C64" s="61">
        <f>C20</f>
        <v>10859660</v>
      </c>
      <c r="D64" s="62">
        <f t="shared" si="4"/>
        <v>0.8945592946632184</v>
      </c>
      <c r="E64" s="61">
        <f>C64-'[2]Oktobris'!C64</f>
        <v>417575</v>
      </c>
      <c r="F64" s="73" t="s">
        <v>127</v>
      </c>
      <c r="G64" s="69">
        <f>ROUND(B64/1000,0)</f>
        <v>12140</v>
      </c>
      <c r="H64" s="69">
        <f>H20</f>
        <v>10860</v>
      </c>
      <c r="I64" s="70">
        <f t="shared" si="5"/>
        <v>0.8945634266886326</v>
      </c>
      <c r="J64" s="69">
        <f>H64-'[2]Oktobris'!H64</f>
        <v>418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60" customFormat="1" ht="27.75" customHeight="1">
      <c r="A65" s="57" t="s">
        <v>131</v>
      </c>
      <c r="B65" s="53">
        <f>SUM(B63-B64)</f>
        <v>763633077</v>
      </c>
      <c r="C65" s="53">
        <f>SUM(C63-C64)</f>
        <v>659474115</v>
      </c>
      <c r="D65" s="54">
        <f t="shared" si="4"/>
        <v>0.8636007722331808</v>
      </c>
      <c r="E65" s="53">
        <f>SUM(E63-E64)</f>
        <v>60967225</v>
      </c>
      <c r="F65" s="57" t="s">
        <v>131</v>
      </c>
      <c r="G65" s="58">
        <f>SUM(G63-G64)</f>
        <v>763633</v>
      </c>
      <c r="H65" s="58">
        <f>SUM(H63-H64)</f>
        <v>659474</v>
      </c>
      <c r="I65" s="59">
        <f t="shared" si="5"/>
        <v>0.8636007087174075</v>
      </c>
      <c r="J65" s="58">
        <f>SUM(J63-J64)</f>
        <v>60967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60" customFormat="1" ht="17.25" customHeight="1">
      <c r="A66" s="60" t="s">
        <v>132</v>
      </c>
      <c r="B66" s="61">
        <v>16279929</v>
      </c>
      <c r="C66" s="61">
        <f>'[3]Novembris'!$D$41</f>
        <v>17395419</v>
      </c>
      <c r="D66" s="62">
        <f t="shared" si="4"/>
        <v>1.0685193405941757</v>
      </c>
      <c r="E66" s="61">
        <f>C66-'[2]Oktobris'!C66</f>
        <v>-665669</v>
      </c>
      <c r="F66" s="60" t="s">
        <v>132</v>
      </c>
      <c r="G66" s="61">
        <f>ROUND(B66/1000,0)</f>
        <v>16280</v>
      </c>
      <c r="H66" s="61">
        <f>ROUND(C66/1000,0)</f>
        <v>17395</v>
      </c>
      <c r="I66" s="63">
        <f t="shared" si="5"/>
        <v>1.0684889434889435</v>
      </c>
      <c r="J66" s="61">
        <f>H66-'[2]Oktobris'!H66</f>
        <v>-666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60" customFormat="1" ht="25.5" customHeight="1">
      <c r="A67" s="57" t="s">
        <v>133</v>
      </c>
      <c r="B67" s="53">
        <f>SUM(B66)</f>
        <v>16279929</v>
      </c>
      <c r="C67" s="53">
        <f>SUM(C66)</f>
        <v>17395419</v>
      </c>
      <c r="D67" s="54">
        <f t="shared" si="4"/>
        <v>1.0685193405941757</v>
      </c>
      <c r="E67" s="53">
        <f>SUM(E66)</f>
        <v>-665669</v>
      </c>
      <c r="F67" s="57" t="s">
        <v>133</v>
      </c>
      <c r="G67" s="58">
        <f>SUM(G66)</f>
        <v>16280</v>
      </c>
      <c r="H67" s="58">
        <f>SUM(H66)</f>
        <v>17395</v>
      </c>
      <c r="I67" s="59">
        <f t="shared" si="5"/>
        <v>1.0684889434889435</v>
      </c>
      <c r="J67" s="58">
        <f>SUM(J66)</f>
        <v>-666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60" customFormat="1" ht="18" customHeight="1">
      <c r="A68" s="60" t="s">
        <v>134</v>
      </c>
      <c r="B68" s="61">
        <v>32513704</v>
      </c>
      <c r="C68" s="61">
        <f>'[3]Novembris'!$D$42</f>
        <v>25930720</v>
      </c>
      <c r="D68" s="62">
        <f t="shared" si="4"/>
        <v>0.7975320191141557</v>
      </c>
      <c r="E68" s="61">
        <f>C68-'[2]Oktobris'!C68</f>
        <v>2761276</v>
      </c>
      <c r="F68" s="60" t="s">
        <v>134</v>
      </c>
      <c r="G68" s="61">
        <f>ROUND(B68/1000,0)</f>
        <v>32514</v>
      </c>
      <c r="H68" s="61">
        <f>ROUND(C68/1000,0)</f>
        <v>25931</v>
      </c>
      <c r="I68" s="63">
        <f t="shared" si="5"/>
        <v>0.7975333702405117</v>
      </c>
      <c r="J68" s="61">
        <f>H68-'[2]Oktobris'!H68</f>
        <v>2761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60" customFormat="1" ht="16.5" customHeight="1">
      <c r="A69" s="57" t="s">
        <v>135</v>
      </c>
      <c r="B69" s="53">
        <f>SUM(B68)</f>
        <v>32513704</v>
      </c>
      <c r="C69" s="53">
        <f>SUM(C68)</f>
        <v>25930720</v>
      </c>
      <c r="D69" s="54">
        <f t="shared" si="4"/>
        <v>0.7975320191141557</v>
      </c>
      <c r="E69" s="53">
        <f>SUM(E68)</f>
        <v>2761276</v>
      </c>
      <c r="F69" s="57" t="s">
        <v>135</v>
      </c>
      <c r="G69" s="58">
        <f>SUM(G68)</f>
        <v>32514</v>
      </c>
      <c r="H69" s="58">
        <f>SUM(H68)</f>
        <v>25931</v>
      </c>
      <c r="I69" s="59">
        <f t="shared" si="5"/>
        <v>0.7975333702405117</v>
      </c>
      <c r="J69" s="58">
        <f>SUM(J68)</f>
        <v>2761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60" customFormat="1" ht="30.75" customHeight="1">
      <c r="A70" s="74" t="s">
        <v>136</v>
      </c>
      <c r="B70" s="53">
        <f>SUM(B22-B60)</f>
        <v>-91694835</v>
      </c>
      <c r="C70" s="53">
        <f>SUM(C22-C60)</f>
        <v>-83744389</v>
      </c>
      <c r="D70" s="54">
        <f t="shared" si="4"/>
        <v>0.9132945056283704</v>
      </c>
      <c r="E70" s="53">
        <f>SUM(E22-E60)</f>
        <v>-10507952</v>
      </c>
      <c r="F70" s="74" t="s">
        <v>136</v>
      </c>
      <c r="G70" s="55">
        <f>SUM(G22-G60)</f>
        <v>-91696</v>
      </c>
      <c r="H70" s="55">
        <f>SUM(H22-H60)</f>
        <v>-83745</v>
      </c>
      <c r="I70" s="56">
        <f t="shared" si="5"/>
        <v>0.9132895655208515</v>
      </c>
      <c r="J70" s="55">
        <f>SUM(J22-J60)</f>
        <v>-10508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60" customFormat="1" ht="16.5" customHeight="1">
      <c r="A71" s="57" t="s">
        <v>137</v>
      </c>
      <c r="B71" s="53">
        <f>SUM(B72-B74)</f>
        <v>3750750</v>
      </c>
      <c r="C71" s="53">
        <f>SUM(C72-C74)</f>
        <v>2557031</v>
      </c>
      <c r="D71" s="54">
        <f t="shared" si="4"/>
        <v>0.6817385856162101</v>
      </c>
      <c r="E71" s="53">
        <f>SUM(E72-E74)</f>
        <v>485493</v>
      </c>
      <c r="F71" s="57" t="s">
        <v>396</v>
      </c>
      <c r="G71" s="58">
        <f>SUM(G72-G74)</f>
        <v>3751</v>
      </c>
      <c r="H71" s="58">
        <f>SUM(H72-H74)</f>
        <v>2557</v>
      </c>
      <c r="I71" s="59">
        <f t="shared" si="5"/>
        <v>0.6816848840309251</v>
      </c>
      <c r="J71" s="58">
        <f>SUM(J72-J74)</f>
        <v>486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60" customFormat="1" ht="20.25" customHeight="1">
      <c r="A72" s="60" t="s">
        <v>138</v>
      </c>
      <c r="B72" s="61">
        <v>3750750</v>
      </c>
      <c r="C72" s="61">
        <f>'[3]Novembris'!$D$46</f>
        <v>2557031</v>
      </c>
      <c r="D72" s="62">
        <f t="shared" si="4"/>
        <v>0.6817385856162101</v>
      </c>
      <c r="E72" s="61">
        <f>C72-'[2]Oktobris'!C72</f>
        <v>470662</v>
      </c>
      <c r="F72" s="60" t="s">
        <v>138</v>
      </c>
      <c r="G72" s="61">
        <f>ROUND(B72/1000,0)</f>
        <v>3751</v>
      </c>
      <c r="H72" s="61">
        <f>ROUND(C72/1000,0)</f>
        <v>2557</v>
      </c>
      <c r="I72" s="63">
        <f t="shared" si="5"/>
        <v>0.6816848840309251</v>
      </c>
      <c r="J72" s="61">
        <f>H72-'[2]Oktobris'!H72</f>
        <v>471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60" customFormat="1" ht="15.75" customHeight="1">
      <c r="A73" s="60" t="s">
        <v>139</v>
      </c>
      <c r="B73" s="61">
        <f>SUM(B72)</f>
        <v>3750750</v>
      </c>
      <c r="C73" s="61">
        <f>SUM(C72)</f>
        <v>2557031</v>
      </c>
      <c r="D73" s="62">
        <f t="shared" si="4"/>
        <v>0.6817385856162101</v>
      </c>
      <c r="E73" s="61">
        <f>SUM(E72)</f>
        <v>470662</v>
      </c>
      <c r="F73" s="60" t="s">
        <v>139</v>
      </c>
      <c r="G73" s="61">
        <f>SUM(G72)</f>
        <v>3751</v>
      </c>
      <c r="H73" s="61">
        <f>SUM(H72)</f>
        <v>2557</v>
      </c>
      <c r="I73" s="63">
        <f t="shared" si="5"/>
        <v>0.6816848840309251</v>
      </c>
      <c r="J73" s="61">
        <f>SUM(J72)</f>
        <v>471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60" customFormat="1" ht="18" customHeight="1">
      <c r="A74" s="60" t="s">
        <v>140</v>
      </c>
      <c r="B74" s="61"/>
      <c r="C74" s="61">
        <f>'[3]Novembris'!$D$47</f>
        <v>0</v>
      </c>
      <c r="D74" s="62" t="str">
        <f t="shared" si="4"/>
        <v> </v>
      </c>
      <c r="E74" s="61">
        <f>C74-'[2]Oktobris'!C74</f>
        <v>-14831</v>
      </c>
      <c r="F74" s="60" t="s">
        <v>140</v>
      </c>
      <c r="G74" s="61">
        <f>ROUND(B74/1000,0)</f>
        <v>0</v>
      </c>
      <c r="H74" s="61">
        <f>ROUND(C74/1000,0)</f>
        <v>0</v>
      </c>
      <c r="I74" s="63" t="str">
        <f t="shared" si="5"/>
        <v> </v>
      </c>
      <c r="J74" s="61">
        <f>H74-'[2]Oktobris'!H74</f>
        <v>-15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60" customFormat="1" ht="16.5" customHeight="1">
      <c r="A75" s="60" t="s">
        <v>141</v>
      </c>
      <c r="B75" s="61">
        <f>SUM(B74)</f>
        <v>0</v>
      </c>
      <c r="C75" s="61">
        <f>SUM(C74)</f>
        <v>0</v>
      </c>
      <c r="D75" s="62" t="str">
        <f t="shared" si="4"/>
        <v> </v>
      </c>
      <c r="E75" s="61">
        <f>SUM(E74)</f>
        <v>-14831</v>
      </c>
      <c r="F75" s="60" t="s">
        <v>141</v>
      </c>
      <c r="G75" s="61">
        <f>SUM(G74)</f>
        <v>0</v>
      </c>
      <c r="H75" s="61">
        <f>SUM(H74)</f>
        <v>0</v>
      </c>
      <c r="I75" s="63" t="str">
        <f t="shared" si="5"/>
        <v> </v>
      </c>
      <c r="J75" s="61">
        <f>SUM(J74)</f>
        <v>-15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60" customFormat="1" ht="30.75" customHeight="1">
      <c r="A76" s="74" t="s">
        <v>142</v>
      </c>
      <c r="B76" s="53">
        <f>SUM(B70-B71)</f>
        <v>-95445585</v>
      </c>
      <c r="C76" s="53">
        <f>SUM(C70-C71)</f>
        <v>-86301420</v>
      </c>
      <c r="D76" s="54">
        <f t="shared" si="4"/>
        <v>0.9041949923613544</v>
      </c>
      <c r="E76" s="53">
        <f>SUM(E70-E71)</f>
        <v>-10993445</v>
      </c>
      <c r="F76" s="74" t="s">
        <v>142</v>
      </c>
      <c r="G76" s="55">
        <f>SUM(G70-G71)</f>
        <v>-95447</v>
      </c>
      <c r="H76" s="55">
        <f>SUM(H70-H71)</f>
        <v>-86302</v>
      </c>
      <c r="I76" s="56">
        <f t="shared" si="5"/>
        <v>0.9041876643582302</v>
      </c>
      <c r="J76" s="55">
        <f>SUM(J70-J71)</f>
        <v>-10994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78" customFormat="1" ht="12.75">
      <c r="A77" s="76"/>
      <c r="B77" s="77"/>
      <c r="F77" s="76"/>
      <c r="G77" s="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78" customFormat="1" ht="12.75">
      <c r="A78" s="76"/>
      <c r="B78" s="77"/>
      <c r="F78" s="79"/>
      <c r="G78" s="7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80"/>
      <c r="F79" s="80"/>
      <c r="G79" s="49"/>
      <c r="H79" s="48"/>
      <c r="I79" s="48"/>
      <c r="J79" s="48"/>
    </row>
    <row r="80" spans="1:10" ht="12.75">
      <c r="A80" s="80"/>
      <c r="F80" s="80"/>
      <c r="G80" s="49"/>
      <c r="H80" s="48"/>
      <c r="I80" s="48"/>
      <c r="J80" s="48"/>
    </row>
    <row r="81" spans="1:10" ht="12.75">
      <c r="A81" s="78"/>
      <c r="F81" s="81" t="s">
        <v>143</v>
      </c>
      <c r="G81" s="50"/>
      <c r="H81" s="82"/>
      <c r="I81" s="48"/>
      <c r="J81" s="48"/>
    </row>
    <row r="82" spans="1:10" ht="12.75">
      <c r="A82" s="81" t="s">
        <v>143</v>
      </c>
      <c r="B82" s="50"/>
      <c r="C82" s="82"/>
      <c r="D82" s="82"/>
      <c r="E82" s="82"/>
      <c r="F82" s="81"/>
      <c r="G82" s="50"/>
      <c r="H82" s="82"/>
      <c r="I82" s="82"/>
      <c r="J82" s="82"/>
    </row>
    <row r="83" spans="1:10" ht="12.75">
      <c r="A83" s="2"/>
      <c r="F83" s="2"/>
      <c r="G83" s="49"/>
      <c r="H83" s="48"/>
      <c r="I83" s="48"/>
      <c r="J83" s="48"/>
    </row>
    <row r="84" spans="1:10" ht="12.75">
      <c r="A84" s="2"/>
      <c r="C84" s="43"/>
      <c r="D84" s="43"/>
      <c r="E84" s="43"/>
      <c r="F84" s="2"/>
      <c r="G84" s="49"/>
      <c r="H84" s="43"/>
      <c r="I84" s="43"/>
      <c r="J84" s="43"/>
    </row>
    <row r="85" spans="6:10" ht="12.75">
      <c r="F85" s="48"/>
      <c r="G85" s="49"/>
      <c r="H85" s="48"/>
      <c r="I85" s="48"/>
      <c r="J85" s="48"/>
    </row>
    <row r="86" spans="6:10" ht="12.75">
      <c r="F86" s="48"/>
      <c r="G86" s="49"/>
      <c r="H86" s="48"/>
      <c r="I86" s="48"/>
      <c r="J86" s="48"/>
    </row>
    <row r="87" spans="6:10" ht="12.75">
      <c r="F87" s="2" t="s">
        <v>144</v>
      </c>
      <c r="I87" s="48"/>
      <c r="J87" s="48"/>
    </row>
    <row r="88" spans="1:10" ht="12.75">
      <c r="A88" s="2" t="s">
        <v>144</v>
      </c>
      <c r="F88" s="2" t="s">
        <v>146</v>
      </c>
      <c r="G88" s="50"/>
      <c r="H88" s="82"/>
      <c r="I88" s="48"/>
      <c r="J88" s="48"/>
    </row>
    <row r="89" spans="1:10" ht="12.75">
      <c r="A89" s="2" t="s">
        <v>145</v>
      </c>
      <c r="G89" s="49"/>
      <c r="H89" s="48"/>
      <c r="I89" s="48"/>
      <c r="J89" s="48"/>
    </row>
    <row r="90" spans="6:10" ht="12.75">
      <c r="F90" s="48"/>
      <c r="G90" s="49"/>
      <c r="H90" s="48"/>
      <c r="I90" s="48"/>
      <c r="J90" s="48"/>
    </row>
    <row r="91" spans="1:8" ht="15" customHeight="1">
      <c r="A91"/>
      <c r="B91"/>
      <c r="C91"/>
      <c r="D91"/>
      <c r="E91"/>
      <c r="F91" s="81"/>
      <c r="G91" s="50"/>
      <c r="H91" s="82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>
      <c r="F103" s="2"/>
    </row>
    <row r="104" ht="12.75">
      <c r="F104" s="2"/>
    </row>
    <row r="105" ht="12.75"/>
    <row r="106" ht="12.75"/>
    <row r="107" ht="12.75"/>
    <row r="108" ht="12.75"/>
    <row r="109" ht="12.75"/>
    <row r="110" ht="12.75"/>
    <row r="111" ht="12.75"/>
    <row r="112" ht="12.75">
      <c r="F112" s="2" t="s">
        <v>144</v>
      </c>
    </row>
    <row r="113" ht="12.75">
      <c r="F113" s="2" t="s">
        <v>146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K63"/>
  <sheetViews>
    <sheetView workbookViewId="0" topLeftCell="A47">
      <selection activeCell="E13" sqref="E13"/>
    </sheetView>
  </sheetViews>
  <sheetFormatPr defaultColWidth="9.140625" defaultRowHeight="12.75"/>
  <cols>
    <col min="1" max="1" width="24.7109375" style="309" customWidth="1"/>
    <col min="2" max="3" width="13.140625" style="309" customWidth="1"/>
    <col min="4" max="4" width="14.00390625" style="309" customWidth="1"/>
    <col min="5" max="5" width="16.57421875" style="309" customWidth="1"/>
    <col min="6" max="6" width="13.57421875" style="309" customWidth="1"/>
    <col min="7" max="7" width="9.7109375" style="309" customWidth="1"/>
    <col min="8" max="9" width="8.8515625" style="309" customWidth="1"/>
    <col min="10" max="10" width="14.8515625" style="309" customWidth="1"/>
    <col min="11" max="16384" width="8.00390625" style="309" customWidth="1"/>
  </cols>
  <sheetData>
    <row r="1" spans="1:11" ht="12.75" customHeight="1">
      <c r="A1" s="310" t="s">
        <v>710</v>
      </c>
      <c r="B1" s="310"/>
      <c r="C1" s="310"/>
      <c r="D1" s="310"/>
      <c r="E1" s="310"/>
      <c r="F1" s="310"/>
      <c r="G1" s="310"/>
      <c r="H1" s="310"/>
      <c r="I1" s="310"/>
      <c r="J1" s="521" t="s">
        <v>711</v>
      </c>
      <c r="K1" s="315"/>
    </row>
    <row r="2" spans="1:10" ht="12">
      <c r="A2" s="363"/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">
      <c r="A3" s="363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5.75">
      <c r="A4" s="311" t="s">
        <v>712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15.75">
      <c r="A5" s="311" t="s">
        <v>457</v>
      </c>
      <c r="B5" s="338"/>
      <c r="C5" s="311"/>
      <c r="D5" s="311"/>
      <c r="E5" s="311"/>
      <c r="F5" s="311"/>
      <c r="G5" s="335"/>
      <c r="H5" s="335"/>
      <c r="I5" s="335"/>
      <c r="J5" s="335"/>
    </row>
    <row r="6" spans="1:10" ht="15.75">
      <c r="A6" s="424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1.25">
      <c r="A7" s="495"/>
      <c r="B7" s="495"/>
      <c r="C7" s="495"/>
      <c r="D7" s="495"/>
      <c r="E7" s="495"/>
      <c r="F7" s="495"/>
      <c r="G7" s="495"/>
      <c r="H7" s="495"/>
      <c r="I7" s="495"/>
      <c r="J7" s="495" t="s">
        <v>713</v>
      </c>
    </row>
    <row r="8" spans="1:10" ht="56.25">
      <c r="A8" s="314" t="s">
        <v>714</v>
      </c>
      <c r="B8" s="314" t="s">
        <v>715</v>
      </c>
      <c r="C8" s="314" t="s">
        <v>716</v>
      </c>
      <c r="D8" s="314" t="s">
        <v>717</v>
      </c>
      <c r="E8" s="314" t="s">
        <v>718</v>
      </c>
      <c r="F8" s="314" t="s">
        <v>719</v>
      </c>
      <c r="G8" s="314" t="s">
        <v>720</v>
      </c>
      <c r="H8" s="522" t="s">
        <v>721</v>
      </c>
      <c r="I8" s="523"/>
      <c r="J8" s="314" t="s">
        <v>722</v>
      </c>
    </row>
    <row r="9" spans="1:10" ht="11.25">
      <c r="A9" s="314"/>
      <c r="B9" s="314"/>
      <c r="C9" s="314"/>
      <c r="D9" s="314"/>
      <c r="E9" s="314"/>
      <c r="F9" s="314"/>
      <c r="G9" s="314"/>
      <c r="H9" s="314" t="s">
        <v>723</v>
      </c>
      <c r="I9" s="314" t="s">
        <v>724</v>
      </c>
      <c r="J9" s="314"/>
    </row>
    <row r="10" spans="1:10" ht="11.25">
      <c r="A10" s="524">
        <v>1</v>
      </c>
      <c r="B10" s="524">
        <v>2</v>
      </c>
      <c r="C10" s="524">
        <v>3</v>
      </c>
      <c r="D10" s="524">
        <v>4</v>
      </c>
      <c r="E10" s="524">
        <v>5</v>
      </c>
      <c r="F10" s="524">
        <v>6</v>
      </c>
      <c r="G10" s="524">
        <v>7</v>
      </c>
      <c r="H10" s="524">
        <v>8</v>
      </c>
      <c r="I10" s="524">
        <v>9</v>
      </c>
      <c r="J10" s="524">
        <v>10</v>
      </c>
    </row>
    <row r="11" spans="1:10" ht="12">
      <c r="A11" s="346" t="s">
        <v>725</v>
      </c>
      <c r="B11" s="525">
        <f>288000+54000+54000</f>
        <v>396000</v>
      </c>
      <c r="C11" s="525">
        <f>2631434+305416+309046</f>
        <v>3245896</v>
      </c>
      <c r="D11" s="317">
        <f>11186+33535</f>
        <v>44721</v>
      </c>
      <c r="E11" s="525">
        <f>13065626+1471545+1471545</f>
        <v>16008716</v>
      </c>
      <c r="F11" s="525">
        <f>8444+2813</f>
        <v>11257</v>
      </c>
      <c r="G11" s="317"/>
      <c r="H11" s="317">
        <v>3750</v>
      </c>
      <c r="I11" s="317"/>
      <c r="J11" s="525">
        <f aca="true" t="shared" si="0" ref="J11:J44">SUM(B11:I11)</f>
        <v>19710340</v>
      </c>
    </row>
    <row r="12" spans="1:10" ht="12">
      <c r="A12" s="346" t="s">
        <v>726</v>
      </c>
      <c r="B12" s="317">
        <f>300000+60000+50000</f>
        <v>410000</v>
      </c>
      <c r="C12" s="317">
        <f>340221+39240+39707</f>
        <v>419168</v>
      </c>
      <c r="D12" s="317">
        <f>1098+3294</f>
        <v>4392</v>
      </c>
      <c r="E12" s="525">
        <f>2075134+235600+235600</f>
        <v>2546334</v>
      </c>
      <c r="F12" s="525">
        <f>7290+2429</f>
        <v>9719</v>
      </c>
      <c r="G12" s="317"/>
      <c r="H12" s="317"/>
      <c r="I12" s="317"/>
      <c r="J12" s="525">
        <f t="shared" si="0"/>
        <v>3389613</v>
      </c>
    </row>
    <row r="13" spans="1:10" ht="12">
      <c r="A13" s="346" t="s">
        <v>727</v>
      </c>
      <c r="B13" s="317">
        <f>548700+20000+31300</f>
        <v>600000</v>
      </c>
      <c r="C13" s="317">
        <f>290122+33608+34008</f>
        <v>357738</v>
      </c>
      <c r="D13" s="317">
        <f>3111+9333</f>
        <v>12444</v>
      </c>
      <c r="E13" s="525">
        <f>1308143+146685+146686</f>
        <v>1601514</v>
      </c>
      <c r="F13" s="317">
        <f>3145+1048</f>
        <v>4193</v>
      </c>
      <c r="G13" s="317"/>
      <c r="H13" s="317"/>
      <c r="I13" s="317"/>
      <c r="J13" s="525">
        <f t="shared" si="0"/>
        <v>2575889</v>
      </c>
    </row>
    <row r="14" spans="1:10" ht="12">
      <c r="A14" s="346" t="s">
        <v>728</v>
      </c>
      <c r="B14" s="317"/>
      <c r="C14" s="317">
        <f>85579+9676+9792</f>
        <v>105047</v>
      </c>
      <c r="D14" s="317">
        <f>585+195</f>
        <v>780</v>
      </c>
      <c r="E14" s="525">
        <f>1021290+114660+114661</f>
        <v>1250611</v>
      </c>
      <c r="F14" s="317">
        <f>883+295</f>
        <v>1178</v>
      </c>
      <c r="G14" s="317"/>
      <c r="H14" s="317"/>
      <c r="I14" s="317"/>
      <c r="J14" s="525">
        <f t="shared" si="0"/>
        <v>1357616</v>
      </c>
    </row>
    <row r="15" spans="1:10" ht="12">
      <c r="A15" s="346" t="s">
        <v>729</v>
      </c>
      <c r="B15" s="317">
        <f>292000+62600+101400</f>
        <v>456000</v>
      </c>
      <c r="C15" s="317">
        <f>428794+49309+49896</f>
        <v>527999</v>
      </c>
      <c r="D15" s="317">
        <f>3294+1098</f>
        <v>4392</v>
      </c>
      <c r="E15" s="525">
        <f>1598944+179989+179989</f>
        <v>1958922</v>
      </c>
      <c r="F15" s="317">
        <f>3208+1070</f>
        <v>4278</v>
      </c>
      <c r="G15" s="317"/>
      <c r="H15" s="317"/>
      <c r="I15" s="317"/>
      <c r="J15" s="525">
        <f t="shared" si="0"/>
        <v>2951591</v>
      </c>
    </row>
    <row r="16" spans="1:10" ht="12">
      <c r="A16" s="346" t="s">
        <v>730</v>
      </c>
      <c r="B16" s="317"/>
      <c r="C16" s="317">
        <f>305774+35507+35930</f>
        <v>377211</v>
      </c>
      <c r="D16" s="317">
        <f>2745+915</f>
        <v>3660</v>
      </c>
      <c r="E16" s="317">
        <f>783199+88037+88037</f>
        <v>959273</v>
      </c>
      <c r="F16" s="317">
        <f>3388+1129</f>
        <v>4517</v>
      </c>
      <c r="G16" s="317"/>
      <c r="H16" s="317"/>
      <c r="I16" s="317"/>
      <c r="J16" s="525">
        <f t="shared" si="0"/>
        <v>1344661</v>
      </c>
    </row>
    <row r="17" spans="1:10" ht="12">
      <c r="A17" s="346" t="s">
        <v>731</v>
      </c>
      <c r="B17" s="317">
        <f>370000+26000</f>
        <v>396000</v>
      </c>
      <c r="C17" s="317">
        <f>41928+100+100</f>
        <v>42128</v>
      </c>
      <c r="D17" s="317">
        <f>2196+732</f>
        <v>2928</v>
      </c>
      <c r="E17" s="525">
        <f>813871+91208+91209</f>
        <v>996288</v>
      </c>
      <c r="F17" s="317">
        <f>90+30</f>
        <v>120</v>
      </c>
      <c r="G17" s="317"/>
      <c r="H17" s="317"/>
      <c r="I17" s="317"/>
      <c r="J17" s="525">
        <f t="shared" si="0"/>
        <v>1437464</v>
      </c>
    </row>
    <row r="18" spans="1:10" ht="12">
      <c r="A18" s="346" t="s">
        <v>732</v>
      </c>
      <c r="B18" s="317">
        <f>385100+58100+53800</f>
        <v>497000</v>
      </c>
      <c r="C18" s="317">
        <f>289004+33225+33622</f>
        <v>355851</v>
      </c>
      <c r="D18" s="317">
        <f>2196+732</f>
        <v>2928</v>
      </c>
      <c r="E18" s="525">
        <f>1117851+124565+124565</f>
        <v>1366981</v>
      </c>
      <c r="F18" s="317">
        <f>1921+641</f>
        <v>2562</v>
      </c>
      <c r="G18" s="317"/>
      <c r="H18" s="317">
        <v>10380</v>
      </c>
      <c r="I18" s="317"/>
      <c r="J18" s="525">
        <f t="shared" si="0"/>
        <v>2235702</v>
      </c>
    </row>
    <row r="19" spans="1:10" ht="12">
      <c r="A19" s="346" t="s">
        <v>733</v>
      </c>
      <c r="B19" s="317">
        <f>61000+8000+6000</f>
        <v>75000</v>
      </c>
      <c r="C19" s="317">
        <f>329391+37906+38357</f>
        <v>405654</v>
      </c>
      <c r="D19" s="317">
        <f>2745+915</f>
        <v>3660</v>
      </c>
      <c r="E19" s="317">
        <v>826638</v>
      </c>
      <c r="F19" s="317">
        <f>1761+587</f>
        <v>2348</v>
      </c>
      <c r="G19" s="317"/>
      <c r="H19" s="317">
        <v>3125</v>
      </c>
      <c r="I19" s="317">
        <v>16275</v>
      </c>
      <c r="J19" s="525">
        <f t="shared" si="0"/>
        <v>1332700</v>
      </c>
    </row>
    <row r="20" spans="1:10" ht="12">
      <c r="A20" s="346" t="s">
        <v>734</v>
      </c>
      <c r="B20" s="317">
        <v>148000</v>
      </c>
      <c r="C20" s="317">
        <f>271023+31191+31563</f>
        <v>333777</v>
      </c>
      <c r="D20" s="317">
        <f>4392+1464</f>
        <v>5856</v>
      </c>
      <c r="E20" s="317">
        <f>760271+84726+84726</f>
        <v>929723</v>
      </c>
      <c r="F20" s="317">
        <f>2818+940</f>
        <v>3758</v>
      </c>
      <c r="G20" s="317"/>
      <c r="H20" s="317">
        <v>1750</v>
      </c>
      <c r="I20" s="317">
        <v>11625</v>
      </c>
      <c r="J20" s="525">
        <f t="shared" si="0"/>
        <v>1434489</v>
      </c>
    </row>
    <row r="21" spans="1:10" ht="12">
      <c r="A21" s="346" t="s">
        <v>735</v>
      </c>
      <c r="B21" s="317">
        <f>85000+7500+7500</f>
        <v>100000</v>
      </c>
      <c r="C21" s="317">
        <f>451737+51949+52567</f>
        <v>556253</v>
      </c>
      <c r="D21" s="317">
        <f>3843+1281</f>
        <v>5124</v>
      </c>
      <c r="E21" s="525">
        <f>1289131+143598+143599</f>
        <v>1576328</v>
      </c>
      <c r="F21" s="317">
        <f>1749+583</f>
        <v>2332</v>
      </c>
      <c r="G21" s="317"/>
      <c r="H21" s="317"/>
      <c r="I21" s="317">
        <v>15750</v>
      </c>
      <c r="J21" s="525">
        <f t="shared" si="0"/>
        <v>2255787</v>
      </c>
    </row>
    <row r="22" spans="1:10" ht="12">
      <c r="A22" s="346" t="s">
        <v>736</v>
      </c>
      <c r="B22" s="317">
        <f>60000+30000+30000</f>
        <v>120000</v>
      </c>
      <c r="C22" s="525">
        <f>804097+92518+93621</f>
        <v>990236</v>
      </c>
      <c r="D22" s="317">
        <f>4393+1463</f>
        <v>5856</v>
      </c>
      <c r="E22" s="525">
        <f>1555845+173149+173149</f>
        <v>1902143</v>
      </c>
      <c r="F22" s="317">
        <f>2460+820</f>
        <v>3280</v>
      </c>
      <c r="G22" s="317"/>
      <c r="H22" s="317"/>
      <c r="I22" s="317">
        <v>9000</v>
      </c>
      <c r="J22" s="525">
        <f t="shared" si="0"/>
        <v>3030515</v>
      </c>
    </row>
    <row r="23" spans="1:10" ht="12">
      <c r="A23" s="346" t="s">
        <v>737</v>
      </c>
      <c r="B23" s="317">
        <v>160000</v>
      </c>
      <c r="C23" s="317">
        <f>242128+27827+28159</f>
        <v>298114</v>
      </c>
      <c r="D23" s="317">
        <f>1647+549</f>
        <v>2196</v>
      </c>
      <c r="E23" s="525">
        <f>932087+104803+104803</f>
        <v>1141693</v>
      </c>
      <c r="F23" s="317">
        <f>2434+811</f>
        <v>3245</v>
      </c>
      <c r="G23" s="317"/>
      <c r="H23" s="317">
        <v>7150</v>
      </c>
      <c r="I23" s="317">
        <v>31275</v>
      </c>
      <c r="J23" s="525">
        <f t="shared" si="0"/>
        <v>1643673</v>
      </c>
    </row>
    <row r="24" spans="1:10" ht="12">
      <c r="A24" s="346" t="s">
        <v>738</v>
      </c>
      <c r="B24" s="317">
        <v>65000</v>
      </c>
      <c r="C24" s="317">
        <f>106801+12273+12419</f>
        <v>131493</v>
      </c>
      <c r="D24" s="317">
        <f>2746+914</f>
        <v>3660</v>
      </c>
      <c r="E24" s="525">
        <f>1098899+122559+122560</f>
        <v>1344018</v>
      </c>
      <c r="F24" s="317">
        <f>538+180</f>
        <v>718</v>
      </c>
      <c r="G24" s="317"/>
      <c r="H24" s="317">
        <v>5268</v>
      </c>
      <c r="I24" s="317"/>
      <c r="J24" s="525">
        <f t="shared" si="0"/>
        <v>1550157</v>
      </c>
    </row>
    <row r="25" spans="1:10" ht="12">
      <c r="A25" s="346" t="s">
        <v>739</v>
      </c>
      <c r="B25" s="317">
        <f>250000+50000+50000</f>
        <v>350000</v>
      </c>
      <c r="C25" s="317">
        <f>103864+11943+12085</f>
        <v>127892</v>
      </c>
      <c r="D25" s="317">
        <f>1647+549</f>
        <v>2196</v>
      </c>
      <c r="E25" s="317">
        <f>704595+78534+78534</f>
        <v>861663</v>
      </c>
      <c r="F25" s="317">
        <f>180+60</f>
        <v>240</v>
      </c>
      <c r="G25" s="317"/>
      <c r="H25" s="317"/>
      <c r="I25" s="317"/>
      <c r="J25" s="525">
        <f t="shared" si="0"/>
        <v>1341991</v>
      </c>
    </row>
    <row r="26" spans="1:10" ht="12">
      <c r="A26" s="346" t="s">
        <v>740</v>
      </c>
      <c r="B26" s="317"/>
      <c r="C26" s="317">
        <f>208074+23909+24194</f>
        <v>256177</v>
      </c>
      <c r="D26" s="317">
        <f>2196+732</f>
        <v>2928</v>
      </c>
      <c r="E26" s="525">
        <f>931400+103939+103939</f>
        <v>1139278</v>
      </c>
      <c r="F26" s="317">
        <f>3106+1036</f>
        <v>4142</v>
      </c>
      <c r="G26" s="317"/>
      <c r="H26" s="317">
        <v>3500</v>
      </c>
      <c r="I26" s="317"/>
      <c r="J26" s="525">
        <f t="shared" si="0"/>
        <v>1406025</v>
      </c>
    </row>
    <row r="27" spans="1:10" ht="12">
      <c r="A27" s="346" t="s">
        <v>741</v>
      </c>
      <c r="B27" s="317">
        <f>258850+47150+40000</f>
        <v>346000</v>
      </c>
      <c r="C27" s="317">
        <f>358718+41303+41795</f>
        <v>441816</v>
      </c>
      <c r="D27" s="317">
        <f>2746+914</f>
        <v>3660</v>
      </c>
      <c r="E27" s="525">
        <f>1276627+142603+142603</f>
        <v>1561833</v>
      </c>
      <c r="F27" s="317">
        <f>5054+1684</f>
        <v>6738</v>
      </c>
      <c r="G27" s="317"/>
      <c r="H27" s="317">
        <v>12050</v>
      </c>
      <c r="I27" s="317">
        <v>13800</v>
      </c>
      <c r="J27" s="525">
        <f t="shared" si="0"/>
        <v>2385897</v>
      </c>
    </row>
    <row r="28" spans="1:10" ht="12">
      <c r="A28" s="346" t="s">
        <v>742</v>
      </c>
      <c r="B28" s="317">
        <f>48000+36000+16000</f>
        <v>100000</v>
      </c>
      <c r="C28" s="317">
        <f>107525+12362+12509</f>
        <v>132396</v>
      </c>
      <c r="D28" s="317">
        <f>1746+582</f>
        <v>2328</v>
      </c>
      <c r="E28" s="525">
        <f>933580+105724+105724</f>
        <v>1145028</v>
      </c>
      <c r="F28" s="317">
        <f>2946+982</f>
        <v>3928</v>
      </c>
      <c r="G28" s="317"/>
      <c r="H28" s="317">
        <v>5250</v>
      </c>
      <c r="I28" s="317"/>
      <c r="J28" s="525">
        <f t="shared" si="0"/>
        <v>1388930</v>
      </c>
    </row>
    <row r="29" spans="1:10" ht="12">
      <c r="A29" s="346" t="s">
        <v>0</v>
      </c>
      <c r="B29" s="317">
        <f>904000+201000+150000</f>
        <v>1255000</v>
      </c>
      <c r="C29" s="317">
        <f>347755+39966+40443</f>
        <v>428164</v>
      </c>
      <c r="D29" s="317">
        <f>2745+915</f>
        <v>3660</v>
      </c>
      <c r="E29" s="525">
        <f>1128562+125481+125481</f>
        <v>1379524</v>
      </c>
      <c r="F29" s="317">
        <f>832+278</f>
        <v>1110</v>
      </c>
      <c r="G29" s="317"/>
      <c r="H29" s="317">
        <v>6900</v>
      </c>
      <c r="I29" s="317">
        <v>5250</v>
      </c>
      <c r="J29" s="525">
        <f t="shared" si="0"/>
        <v>3079608</v>
      </c>
    </row>
    <row r="30" spans="1:10" ht="12">
      <c r="A30" s="346" t="s">
        <v>1</v>
      </c>
      <c r="B30" s="317">
        <f>85000+5000</f>
        <v>90000</v>
      </c>
      <c r="C30" s="317">
        <f>404212+46510+47064</f>
        <v>497786</v>
      </c>
      <c r="D30" s="317">
        <f>2745+915</f>
        <v>3660</v>
      </c>
      <c r="E30" s="525">
        <f>1235876+137319+137319</f>
        <v>1510514</v>
      </c>
      <c r="F30" s="317">
        <f>814+271</f>
        <v>1085</v>
      </c>
      <c r="G30" s="317"/>
      <c r="H30" s="317">
        <v>2625</v>
      </c>
      <c r="I30" s="317">
        <v>35625</v>
      </c>
      <c r="J30" s="525">
        <f t="shared" si="0"/>
        <v>2141295</v>
      </c>
    </row>
    <row r="31" spans="1:10" ht="12">
      <c r="A31" s="346" t="s">
        <v>2</v>
      </c>
      <c r="B31" s="317">
        <f>456000+105000+72000</f>
        <v>633000</v>
      </c>
      <c r="C31" s="317">
        <f>123892+14235+14405</f>
        <v>152532</v>
      </c>
      <c r="D31" s="317">
        <f>2745+915</f>
        <v>3660</v>
      </c>
      <c r="E31" s="525">
        <f>1003731+111563+111563</f>
        <v>1226857</v>
      </c>
      <c r="F31" s="317">
        <f>1044+348</f>
        <v>1392</v>
      </c>
      <c r="G31" s="317"/>
      <c r="H31" s="317">
        <v>1750</v>
      </c>
      <c r="I31" s="317">
        <v>3750</v>
      </c>
      <c r="J31" s="525">
        <f t="shared" si="0"/>
        <v>2022941</v>
      </c>
    </row>
    <row r="32" spans="1:10" ht="12">
      <c r="A32" s="346" t="s">
        <v>3</v>
      </c>
      <c r="B32" s="317">
        <v>71000</v>
      </c>
      <c r="C32" s="317">
        <f>111089+12768+12920</f>
        <v>136777</v>
      </c>
      <c r="D32" s="317">
        <f>2745+915</f>
        <v>3660</v>
      </c>
      <c r="E32" s="525">
        <f>844845+95143+95143</f>
        <v>1035131</v>
      </c>
      <c r="F32" s="317">
        <f>3727+1243</f>
        <v>4970</v>
      </c>
      <c r="G32" s="317"/>
      <c r="H32" s="317">
        <v>2613</v>
      </c>
      <c r="I32" s="317">
        <v>31500</v>
      </c>
      <c r="J32" s="525">
        <f t="shared" si="0"/>
        <v>1285651</v>
      </c>
    </row>
    <row r="33" spans="1:10" ht="12">
      <c r="A33" s="346" t="s">
        <v>4</v>
      </c>
      <c r="B33" s="317">
        <v>315000</v>
      </c>
      <c r="C33" s="317">
        <f>211993+24385+24676</f>
        <v>261054</v>
      </c>
      <c r="D33" s="317">
        <f>4942+1646</f>
        <v>6588</v>
      </c>
      <c r="E33" s="525">
        <f>1129286+125676+125676</f>
        <v>1380638</v>
      </c>
      <c r="F33" s="317">
        <f>1607+536</f>
        <v>2143</v>
      </c>
      <c r="G33" s="317"/>
      <c r="H33" s="317"/>
      <c r="I33" s="317">
        <v>5250</v>
      </c>
      <c r="J33" s="525">
        <f t="shared" si="0"/>
        <v>1970673</v>
      </c>
    </row>
    <row r="34" spans="1:10" ht="12">
      <c r="A34" s="346" t="s">
        <v>5</v>
      </c>
      <c r="B34" s="317">
        <f>132000+11000+3000</f>
        <v>146000</v>
      </c>
      <c r="C34" s="317">
        <f>214052+24622+24915</f>
        <v>263589</v>
      </c>
      <c r="D34" s="317">
        <f>4393+1463</f>
        <v>5856</v>
      </c>
      <c r="E34" s="525">
        <f>1466602+163372+163372</f>
        <v>1793346</v>
      </c>
      <c r="F34" s="317">
        <f>1134+378</f>
        <v>1512</v>
      </c>
      <c r="G34" s="317"/>
      <c r="H34" s="317">
        <v>4877</v>
      </c>
      <c r="I34" s="317"/>
      <c r="J34" s="525">
        <f t="shared" si="0"/>
        <v>2215180</v>
      </c>
    </row>
    <row r="35" spans="1:10" ht="12">
      <c r="A35" s="346" t="s">
        <v>6</v>
      </c>
      <c r="B35" s="317">
        <v>165000</v>
      </c>
      <c r="C35" s="317">
        <f>302829+34868+35284</f>
        <v>372981</v>
      </c>
      <c r="D35" s="317">
        <f>4392+1464</f>
        <v>5856</v>
      </c>
      <c r="E35" s="525">
        <v>1286950</v>
      </c>
      <c r="F35" s="317">
        <f>2844+948</f>
        <v>3792</v>
      </c>
      <c r="G35" s="317"/>
      <c r="H35" s="317">
        <v>9300</v>
      </c>
      <c r="I35" s="317">
        <v>7875</v>
      </c>
      <c r="J35" s="525">
        <f t="shared" si="0"/>
        <v>1851754</v>
      </c>
    </row>
    <row r="36" spans="1:10" ht="12">
      <c r="A36" s="346" t="s">
        <v>7</v>
      </c>
      <c r="B36" s="317"/>
      <c r="C36" s="317">
        <f>462629+53180+53815</f>
        <v>569624</v>
      </c>
      <c r="D36" s="317">
        <f>2745+915</f>
        <v>3660</v>
      </c>
      <c r="E36" s="525">
        <f>974928+109549+109549</f>
        <v>1194026</v>
      </c>
      <c r="F36" s="317">
        <f>4760+1585</f>
        <v>6345</v>
      </c>
      <c r="G36" s="317"/>
      <c r="H36" s="317">
        <v>13262</v>
      </c>
      <c r="I36" s="317">
        <v>5250</v>
      </c>
      <c r="J36" s="525">
        <f t="shared" si="0"/>
        <v>1792167</v>
      </c>
    </row>
    <row r="37" spans="1:10" ht="12">
      <c r="A37" s="346" t="s">
        <v>8</v>
      </c>
      <c r="B37" s="317">
        <f>495000+60000+50000</f>
        <v>605000</v>
      </c>
      <c r="C37" s="317">
        <f>420095+48286+48860</f>
        <v>517241</v>
      </c>
      <c r="D37" s="317">
        <f>8784+2928</f>
        <v>11712</v>
      </c>
      <c r="E37" s="525">
        <f>2776968+310127+310128</f>
        <v>3397223</v>
      </c>
      <c r="F37" s="317">
        <f>2120+707</f>
        <v>2827</v>
      </c>
      <c r="G37" s="317"/>
      <c r="H37" s="317">
        <v>14787</v>
      </c>
      <c r="I37" s="317">
        <v>10500</v>
      </c>
      <c r="J37" s="525">
        <f t="shared" si="0"/>
        <v>4559290</v>
      </c>
    </row>
    <row r="38" spans="1:10" ht="12">
      <c r="A38" s="346" t="s">
        <v>9</v>
      </c>
      <c r="B38" s="317">
        <v>255000</v>
      </c>
      <c r="C38" s="317">
        <f>467956+53807+54447</f>
        <v>576210</v>
      </c>
      <c r="D38" s="317">
        <f>2745+915</f>
        <v>3660</v>
      </c>
      <c r="E38" s="525">
        <f>1000282+111398+111398</f>
        <v>1223078</v>
      </c>
      <c r="F38" s="317">
        <f>1090+363</f>
        <v>1453</v>
      </c>
      <c r="G38" s="317"/>
      <c r="H38" s="317"/>
      <c r="I38" s="317"/>
      <c r="J38" s="525">
        <f t="shared" si="0"/>
        <v>2059401</v>
      </c>
    </row>
    <row r="39" spans="1:10" ht="12">
      <c r="A39" s="346" t="s">
        <v>10</v>
      </c>
      <c r="B39" s="317">
        <f>482350+112650+10000</f>
        <v>605000</v>
      </c>
      <c r="C39" s="317">
        <f>172497+32092+32302</f>
        <v>236891</v>
      </c>
      <c r="D39" s="317">
        <f>3843+1281</f>
        <v>5124</v>
      </c>
      <c r="E39" s="525">
        <f>1297303+144159+144159</f>
        <v>1585621</v>
      </c>
      <c r="F39" s="317">
        <f>1736+579</f>
        <v>2315</v>
      </c>
      <c r="G39" s="317"/>
      <c r="H39" s="317">
        <v>4500</v>
      </c>
      <c r="I39" s="317">
        <v>26100</v>
      </c>
      <c r="J39" s="525">
        <f t="shared" si="0"/>
        <v>2465551</v>
      </c>
    </row>
    <row r="40" spans="1:10" ht="12">
      <c r="A40" s="346" t="s">
        <v>11</v>
      </c>
      <c r="B40" s="525">
        <f>178000+15000+10000</f>
        <v>203000</v>
      </c>
      <c r="C40" s="317">
        <f>608796+70314+71151</f>
        <v>750261</v>
      </c>
      <c r="D40" s="317">
        <f>2745+915</f>
        <v>3660</v>
      </c>
      <c r="E40" s="525">
        <f>1326675+147547+147547</f>
        <v>1621769</v>
      </c>
      <c r="F40" s="317">
        <f>1288+429</f>
        <v>1717</v>
      </c>
      <c r="G40" s="525"/>
      <c r="H40" s="525"/>
      <c r="I40" s="525">
        <v>3525</v>
      </c>
      <c r="J40" s="525">
        <f t="shared" si="0"/>
        <v>2583932</v>
      </c>
    </row>
    <row r="41" spans="1:10" ht="12">
      <c r="A41" s="346" t="s">
        <v>12</v>
      </c>
      <c r="B41" s="317">
        <f>290000+45000+25000</f>
        <v>360000</v>
      </c>
      <c r="C41" s="317">
        <f>147515+16963+17165</f>
        <v>181643</v>
      </c>
      <c r="D41" s="317">
        <f>4392+1464</f>
        <v>5856</v>
      </c>
      <c r="E41" s="525">
        <f>864231+96228+96228</f>
        <v>1056687</v>
      </c>
      <c r="F41" s="317">
        <f>186+62</f>
        <v>248</v>
      </c>
      <c r="G41" s="525"/>
      <c r="H41" s="525">
        <v>4950</v>
      </c>
      <c r="I41" s="525">
        <v>10500</v>
      </c>
      <c r="J41" s="525">
        <f t="shared" si="0"/>
        <v>1619884</v>
      </c>
    </row>
    <row r="42" spans="1:10" ht="12">
      <c r="A42" s="346" t="s">
        <v>13</v>
      </c>
      <c r="B42" s="317"/>
      <c r="C42" s="317">
        <f>550792+63316+64069</f>
        <v>678177</v>
      </c>
      <c r="D42" s="317">
        <f>4941+1647</f>
        <v>6588</v>
      </c>
      <c r="E42" s="525">
        <f>1576856+175541+175541</f>
        <v>1927938</v>
      </c>
      <c r="F42" s="317">
        <f>223+75</f>
        <v>298</v>
      </c>
      <c r="G42" s="525"/>
      <c r="H42" s="525">
        <v>3500</v>
      </c>
      <c r="I42" s="525">
        <v>13726</v>
      </c>
      <c r="J42" s="525">
        <f t="shared" si="0"/>
        <v>2630227</v>
      </c>
    </row>
    <row r="43" spans="1:10" ht="12">
      <c r="A43" s="346" t="s">
        <v>14</v>
      </c>
      <c r="B43" s="317">
        <f>500+1000+500</f>
        <v>2000</v>
      </c>
      <c r="C43" s="317">
        <f>142835+16427+16623</f>
        <v>175885</v>
      </c>
      <c r="D43" s="317">
        <f>2097+699</f>
        <v>2796</v>
      </c>
      <c r="E43" s="317">
        <f>373335+41481+41481</f>
        <v>456297</v>
      </c>
      <c r="F43" s="317">
        <f>180+60</f>
        <v>240</v>
      </c>
      <c r="G43" s="346"/>
      <c r="H43" s="525"/>
      <c r="I43" s="525">
        <v>4725</v>
      </c>
      <c r="J43" s="525">
        <f t="shared" si="0"/>
        <v>641943</v>
      </c>
    </row>
    <row r="44" spans="1:10" ht="12">
      <c r="A44" s="526" t="s">
        <v>15</v>
      </c>
      <c r="B44" s="527">
        <f>SUM(B11:B43)</f>
        <v>8924000</v>
      </c>
      <c r="C44" s="527">
        <f>SUM(C11:C43)</f>
        <v>14903661</v>
      </c>
      <c r="D44" s="527">
        <f>SUM(D11:D43)</f>
        <v>189705</v>
      </c>
      <c r="E44" s="527">
        <f>SUM(E11:E43)</f>
        <v>61192583</v>
      </c>
      <c r="F44" s="527">
        <f>SUM(F11:F43)</f>
        <v>100000</v>
      </c>
      <c r="G44" s="525"/>
      <c r="H44" s="527">
        <f>SUM(H11:H43)</f>
        <v>121287</v>
      </c>
      <c r="I44" s="527">
        <f>SUM(I11:I43)</f>
        <v>261301</v>
      </c>
      <c r="J44" s="527">
        <f t="shared" si="0"/>
        <v>85692537</v>
      </c>
    </row>
    <row r="45" spans="1:10" ht="12">
      <c r="A45" s="528"/>
      <c r="B45" s="529"/>
      <c r="C45" s="529"/>
      <c r="D45" s="529"/>
      <c r="E45" s="529"/>
      <c r="F45" s="529"/>
      <c r="G45" s="529"/>
      <c r="H45" s="529"/>
      <c r="I45" s="529"/>
      <c r="J45" s="529"/>
    </row>
    <row r="46" spans="1:10" ht="12">
      <c r="A46" s="528"/>
      <c r="B46" s="529"/>
      <c r="C46" s="529"/>
      <c r="D46" s="530"/>
      <c r="E46" s="529"/>
      <c r="F46" s="529"/>
      <c r="G46" s="529"/>
      <c r="H46" s="529"/>
      <c r="I46" s="529"/>
      <c r="J46" s="529"/>
    </row>
    <row r="47" spans="1:10" ht="12">
      <c r="A47" s="528"/>
      <c r="B47" s="529"/>
      <c r="C47" s="529"/>
      <c r="D47" s="529"/>
      <c r="E47" s="529"/>
      <c r="F47" s="529"/>
      <c r="G47" s="529"/>
      <c r="H47" s="529"/>
      <c r="I47" s="529"/>
      <c r="J47" s="529"/>
    </row>
    <row r="48" spans="1:9" ht="12.75">
      <c r="A48" s="531"/>
      <c r="B48" s="532"/>
      <c r="C48" s="533"/>
      <c r="D48" s="534"/>
      <c r="E48" s="534"/>
      <c r="F48" s="534"/>
      <c r="G48" s="534"/>
      <c r="H48" s="534"/>
      <c r="I48" s="534"/>
    </row>
    <row r="49" spans="1:10" s="363" customFormat="1" ht="12">
      <c r="A49" s="417" t="s">
        <v>543</v>
      </c>
      <c r="B49" s="417"/>
      <c r="C49" s="535"/>
      <c r="D49" s="536"/>
      <c r="E49" s="390"/>
      <c r="F49" s="390"/>
      <c r="G49" s="417" t="s">
        <v>677</v>
      </c>
      <c r="H49" s="536"/>
      <c r="I49" s="390"/>
      <c r="J49" s="328" t="s">
        <v>502</v>
      </c>
    </row>
    <row r="50" spans="1:10" ht="12">
      <c r="A50" s="537"/>
      <c r="B50" s="538"/>
      <c r="C50" s="538"/>
      <c r="D50" s="538"/>
      <c r="E50" s="536"/>
      <c r="F50" s="536"/>
      <c r="G50" s="539"/>
      <c r="H50" s="539"/>
      <c r="I50" s="539"/>
      <c r="J50" s="536"/>
    </row>
    <row r="62" ht="11.25">
      <c r="A62" s="313" t="s">
        <v>503</v>
      </c>
    </row>
    <row r="63" ht="11.25">
      <c r="A63" s="309" t="s">
        <v>678</v>
      </c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G1">
      <selection activeCell="N6" sqref="N6"/>
    </sheetView>
  </sheetViews>
  <sheetFormatPr defaultColWidth="9.140625" defaultRowHeight="12.75"/>
  <cols>
    <col min="1" max="1" width="25.00390625" style="48" hidden="1" customWidth="1"/>
    <col min="2" max="2" width="9.7109375" style="48" hidden="1" customWidth="1"/>
    <col min="3" max="3" width="9.00390625" style="83" hidden="1" customWidth="1"/>
    <col min="4" max="4" width="11.7109375" style="48" hidden="1" customWidth="1"/>
    <col min="5" max="5" width="8.7109375" style="48" hidden="1" customWidth="1"/>
    <col min="6" max="6" width="9.00390625" style="48" hidden="1" customWidth="1"/>
    <col min="7" max="7" width="28.421875" style="48" customWidth="1"/>
    <col min="8" max="8" width="8.421875" style="48" customWidth="1"/>
    <col min="9" max="9" width="9.00390625" style="48" customWidth="1"/>
    <col min="10" max="11" width="8.140625" style="48" customWidth="1"/>
    <col min="12" max="12" width="7.28125" style="48" customWidth="1"/>
    <col min="13" max="16384" width="12.8515625" style="48" customWidth="1"/>
  </cols>
  <sheetData>
    <row r="1" spans="6:12" ht="11.25" customHeight="1">
      <c r="F1" s="40" t="s">
        <v>147</v>
      </c>
      <c r="L1" s="40" t="s">
        <v>147</v>
      </c>
    </row>
    <row r="2" spans="1:11" ht="10.5" customHeight="1">
      <c r="A2" s="84" t="s">
        <v>148</v>
      </c>
      <c r="B2" s="36"/>
      <c r="C2" s="85"/>
      <c r="D2" s="36"/>
      <c r="E2" s="36"/>
      <c r="G2" s="84" t="s">
        <v>148</v>
      </c>
      <c r="H2" s="36"/>
      <c r="I2" s="84"/>
      <c r="J2" s="86"/>
      <c r="K2" s="36"/>
    </row>
    <row r="3" spans="1:11" ht="15.75" customHeight="1">
      <c r="A3" s="87"/>
      <c r="B3" s="2"/>
      <c r="C3" s="88"/>
      <c r="D3" s="2"/>
      <c r="E3" s="2"/>
      <c r="G3" s="87"/>
      <c r="H3" s="2"/>
      <c r="I3" s="2"/>
      <c r="J3" s="2"/>
      <c r="K3" s="2"/>
    </row>
    <row r="4" spans="1:11" ht="15.75">
      <c r="A4" s="89" t="s">
        <v>397</v>
      </c>
      <c r="B4" s="84"/>
      <c r="C4" s="85"/>
      <c r="D4" s="84"/>
      <c r="E4" s="84"/>
      <c r="G4" s="89" t="s">
        <v>397</v>
      </c>
      <c r="H4" s="84"/>
      <c r="I4" s="85"/>
      <c r="J4" s="84"/>
      <c r="K4" s="84"/>
    </row>
    <row r="5" spans="1:12" ht="12.75" customHeight="1">
      <c r="A5" s="90"/>
      <c r="B5" s="2"/>
      <c r="C5" s="88"/>
      <c r="D5" s="2"/>
      <c r="E5" s="92"/>
      <c r="F5" s="93" t="s">
        <v>149</v>
      </c>
      <c r="G5" s="90"/>
      <c r="H5" s="2"/>
      <c r="I5" s="2"/>
      <c r="J5" s="91"/>
      <c r="K5" s="92"/>
      <c r="L5" s="93" t="s">
        <v>149</v>
      </c>
    </row>
    <row r="6" spans="1:12" ht="44.25" customHeight="1">
      <c r="A6" s="4" t="s">
        <v>17</v>
      </c>
      <c r="B6" s="4" t="s">
        <v>62</v>
      </c>
      <c r="C6" s="94" t="s">
        <v>150</v>
      </c>
      <c r="D6" s="4" t="s">
        <v>63</v>
      </c>
      <c r="E6" s="4" t="s">
        <v>151</v>
      </c>
      <c r="F6" s="4" t="s">
        <v>398</v>
      </c>
      <c r="G6" s="4" t="s">
        <v>17</v>
      </c>
      <c r="H6" s="4" t="s">
        <v>62</v>
      </c>
      <c r="I6" s="4" t="s">
        <v>150</v>
      </c>
      <c r="J6" s="4" t="s">
        <v>63</v>
      </c>
      <c r="K6" s="4" t="s">
        <v>151</v>
      </c>
      <c r="L6" s="4" t="s">
        <v>398</v>
      </c>
    </row>
    <row r="7" spans="1:12" ht="11.25" customHeight="1">
      <c r="A7" s="3">
        <v>1</v>
      </c>
      <c r="B7" s="95">
        <v>2</v>
      </c>
      <c r="C7" s="96">
        <v>3</v>
      </c>
      <c r="D7" s="95">
        <v>4</v>
      </c>
      <c r="E7" s="97">
        <v>5</v>
      </c>
      <c r="F7" s="95">
        <v>6</v>
      </c>
      <c r="G7" s="3">
        <v>1</v>
      </c>
      <c r="H7" s="95">
        <v>2</v>
      </c>
      <c r="I7" s="97">
        <v>3</v>
      </c>
      <c r="J7" s="97">
        <v>4</v>
      </c>
      <c r="K7" s="97">
        <v>5</v>
      </c>
      <c r="L7" s="95">
        <v>6</v>
      </c>
    </row>
    <row r="8" spans="1:12" ht="15" customHeight="1">
      <c r="A8" s="98" t="s">
        <v>152</v>
      </c>
      <c r="B8" s="6">
        <f>SUM(B9,B17,B33)</f>
        <v>632187232</v>
      </c>
      <c r="C8" s="99">
        <v>0.958</v>
      </c>
      <c r="D8" s="6">
        <f>SUM(D9,D17,D33)</f>
        <v>592868343</v>
      </c>
      <c r="E8" s="62">
        <f aca="true" t="shared" si="0" ref="E8:E34">IF(ISERROR(D8/B8)," ",(D8/B8))</f>
        <v>0.9378049935054683</v>
      </c>
      <c r="F8" s="6">
        <f>SUM(F9,F17,F33)</f>
        <v>57159371</v>
      </c>
      <c r="G8" s="98" t="s">
        <v>152</v>
      </c>
      <c r="H8" s="6">
        <f>SUM(H9,H17,H33)</f>
        <v>632187</v>
      </c>
      <c r="I8" s="100">
        <f aca="true" t="shared" si="1" ref="I8:I34">C8</f>
        <v>0.958</v>
      </c>
      <c r="J8" s="6">
        <f>SUM(J9,J17,J33)</f>
        <v>592869</v>
      </c>
      <c r="K8" s="101">
        <f>IF(ISERROR(ROUND(J8,0)/ROUND(H8,0))," ",(ROUND(J8,)/ROUND(H8,)))</f>
        <v>0.9378063769106293</v>
      </c>
      <c r="L8" s="6">
        <f>SUM(L9,L17,L33)</f>
        <v>57161</v>
      </c>
    </row>
    <row r="9" spans="1:12" ht="12.75">
      <c r="A9" s="102" t="s">
        <v>153</v>
      </c>
      <c r="B9" s="6">
        <f>SUM(B10,B12,B16)</f>
        <v>515297983</v>
      </c>
      <c r="C9" s="99">
        <v>1.014</v>
      </c>
      <c r="D9" s="6">
        <f>SUM(D10,D12,D16)</f>
        <v>488936009</v>
      </c>
      <c r="E9" s="62">
        <f t="shared" si="0"/>
        <v>0.9488413017910067</v>
      </c>
      <c r="F9" s="6">
        <f>SUM(F10,F12,F16)</f>
        <v>48580871</v>
      </c>
      <c r="G9" s="102" t="s">
        <v>153</v>
      </c>
      <c r="H9" s="6">
        <f>SUM(H10,H12,H16)</f>
        <v>515297</v>
      </c>
      <c r="I9" s="104">
        <f t="shared" si="1"/>
        <v>1.014</v>
      </c>
      <c r="J9" s="103">
        <f>SUM(J10,J12,J16)</f>
        <v>488936</v>
      </c>
      <c r="K9" s="105">
        <f aca="true" t="shared" si="2" ref="K9:K34">IF(ISERROR(ROUND(J9,0)/ROUND(H9,0))," ",(ROUND(J9,)/ROUND(H9,)))</f>
        <v>0.9488430943708192</v>
      </c>
      <c r="L9" s="103">
        <f>SUM(L10,L12,L16)</f>
        <v>48581</v>
      </c>
    </row>
    <row r="10" spans="1:12" ht="15" customHeight="1">
      <c r="A10" s="106" t="s">
        <v>154</v>
      </c>
      <c r="B10" s="6">
        <f>SUM(B11)</f>
        <v>85300000</v>
      </c>
      <c r="C10" s="107">
        <f>C11</f>
        <v>1.054</v>
      </c>
      <c r="D10" s="6">
        <f>SUM(D11)</f>
        <v>84008963</v>
      </c>
      <c r="E10" s="62">
        <f t="shared" si="0"/>
        <v>0.9848647479484174</v>
      </c>
      <c r="F10" s="6">
        <f>SUM(F11)</f>
        <v>7232778</v>
      </c>
      <c r="G10" s="106" t="s">
        <v>154</v>
      </c>
      <c r="H10" s="6">
        <f>SUM(H11)</f>
        <v>85300</v>
      </c>
      <c r="I10" s="108">
        <f t="shared" si="1"/>
        <v>1.054</v>
      </c>
      <c r="J10" s="8">
        <f>SUM(J11)</f>
        <v>84009</v>
      </c>
      <c r="K10" s="109">
        <f t="shared" si="2"/>
        <v>0.9848651817116061</v>
      </c>
      <c r="L10" s="8">
        <f>SUM(L11)</f>
        <v>7233</v>
      </c>
    </row>
    <row r="11" spans="1:12" ht="12.75">
      <c r="A11" s="64" t="s">
        <v>155</v>
      </c>
      <c r="B11" s="23">
        <v>85300000</v>
      </c>
      <c r="C11" s="110">
        <v>1.054</v>
      </c>
      <c r="D11" s="23">
        <v>84008963</v>
      </c>
      <c r="E11" s="62">
        <f t="shared" si="0"/>
        <v>0.9848647479484174</v>
      </c>
      <c r="F11" s="23">
        <f>D11-'[1]Oktobris'!D11</f>
        <v>7232778</v>
      </c>
      <c r="G11" s="64" t="s">
        <v>155</v>
      </c>
      <c r="H11" s="23">
        <f>ROUND(B11/1000,0)</f>
        <v>85300</v>
      </c>
      <c r="I11" s="111">
        <f t="shared" si="1"/>
        <v>1.054</v>
      </c>
      <c r="J11" s="23">
        <f>ROUND(D11/1000,0)</f>
        <v>84009</v>
      </c>
      <c r="K11" s="112">
        <f t="shared" si="2"/>
        <v>0.9848651817116061</v>
      </c>
      <c r="L11" s="23">
        <f>J11-'[1]Oktobris'!J11</f>
        <v>7233</v>
      </c>
    </row>
    <row r="12" spans="1:12" ht="12.75">
      <c r="A12" s="106" t="s">
        <v>156</v>
      </c>
      <c r="B12" s="6">
        <f>SUM(B13:B15)</f>
        <v>429997983</v>
      </c>
      <c r="C12" s="99">
        <v>0.993</v>
      </c>
      <c r="D12" s="6">
        <f>SUM(D13:D15)</f>
        <v>398650872</v>
      </c>
      <c r="E12" s="62">
        <f t="shared" si="0"/>
        <v>0.9270993999057898</v>
      </c>
      <c r="F12" s="6">
        <f>SUM(F13:F15)</f>
        <v>40834602</v>
      </c>
      <c r="G12" s="106" t="s">
        <v>156</v>
      </c>
      <c r="H12" s="6">
        <f>SUM(H13:H15)</f>
        <v>429997</v>
      </c>
      <c r="I12" s="108">
        <f t="shared" si="1"/>
        <v>0.993</v>
      </c>
      <c r="J12" s="8">
        <f>SUM(J13:J15)</f>
        <v>398651</v>
      </c>
      <c r="K12" s="109">
        <f t="shared" si="2"/>
        <v>0.9271018169894208</v>
      </c>
      <c r="L12" s="8">
        <f>SUM(L13:L15)</f>
        <v>40835</v>
      </c>
    </row>
    <row r="13" spans="1:12" ht="12.75">
      <c r="A13" s="64" t="s">
        <v>157</v>
      </c>
      <c r="B13" s="23">
        <v>307331592</v>
      </c>
      <c r="C13" s="110">
        <v>1.006</v>
      </c>
      <c r="D13" s="23">
        <v>286066987</v>
      </c>
      <c r="E13" s="62">
        <f t="shared" si="0"/>
        <v>0.9308089192470652</v>
      </c>
      <c r="F13" s="23">
        <f>D13-'[1]Oktobris'!D13</f>
        <v>29045613</v>
      </c>
      <c r="G13" s="64" t="s">
        <v>157</v>
      </c>
      <c r="H13" s="23">
        <f>ROUND(B13/1000,0)-1</f>
        <v>307331</v>
      </c>
      <c r="I13" s="111">
        <f t="shared" si="1"/>
        <v>1.006</v>
      </c>
      <c r="J13" s="23">
        <f>ROUND(D13/1000,0)</f>
        <v>286067</v>
      </c>
      <c r="K13" s="112">
        <f t="shared" si="2"/>
        <v>0.9308107545285051</v>
      </c>
      <c r="L13" s="23">
        <f>J13-'[1]Oktobris'!J13</f>
        <v>29046</v>
      </c>
    </row>
    <row r="14" spans="1:12" ht="12.75">
      <c r="A14" s="64" t="s">
        <v>158</v>
      </c>
      <c r="B14" s="23">
        <v>107751391</v>
      </c>
      <c r="C14" s="110">
        <v>0.962</v>
      </c>
      <c r="D14" s="23">
        <f>67170097+16134827+14970189</f>
        <v>98275113</v>
      </c>
      <c r="E14" s="62">
        <f t="shared" si="0"/>
        <v>0.912054239745267</v>
      </c>
      <c r="F14" s="23">
        <f>D14-'[1]Oktobris'!D14</f>
        <v>10346457</v>
      </c>
      <c r="G14" s="64" t="s">
        <v>158</v>
      </c>
      <c r="H14" s="23">
        <f>ROUND(B14/1000,0)</f>
        <v>107751</v>
      </c>
      <c r="I14" s="111">
        <f t="shared" si="1"/>
        <v>0.962</v>
      </c>
      <c r="J14" s="23">
        <f>ROUND(D14/1000,0)</f>
        <v>98275</v>
      </c>
      <c r="K14" s="112">
        <f t="shared" si="2"/>
        <v>0.912056500635725</v>
      </c>
      <c r="L14" s="23">
        <f>J14-'[1]Oktobris'!J14</f>
        <v>10346</v>
      </c>
    </row>
    <row r="15" spans="1:12" ht="15.75" customHeight="1">
      <c r="A15" s="113" t="s">
        <v>159</v>
      </c>
      <c r="B15" s="23">
        <v>14915000</v>
      </c>
      <c r="C15" s="110">
        <v>1.003</v>
      </c>
      <c r="D15" s="23">
        <v>14308772</v>
      </c>
      <c r="E15" s="62">
        <f t="shared" si="0"/>
        <v>0.9593544753603754</v>
      </c>
      <c r="F15" s="23">
        <f>D15-'[1]Oktobris'!D15</f>
        <v>1442532</v>
      </c>
      <c r="G15" s="113" t="s">
        <v>159</v>
      </c>
      <c r="H15" s="23">
        <f>ROUND(B15/1000,0)</f>
        <v>14915</v>
      </c>
      <c r="I15" s="111">
        <f t="shared" si="1"/>
        <v>1.003</v>
      </c>
      <c r="J15" s="23">
        <f>ROUND(D15/1000,0)</f>
        <v>14309</v>
      </c>
      <c r="K15" s="112">
        <f t="shared" si="2"/>
        <v>0.9593697619845792</v>
      </c>
      <c r="L15" s="23">
        <f>J15-'[1]Oktobris'!J15</f>
        <v>1443</v>
      </c>
    </row>
    <row r="16" spans="1:12" ht="17.25" customHeight="1">
      <c r="A16" s="114" t="s">
        <v>160</v>
      </c>
      <c r="B16" s="23"/>
      <c r="C16" s="110"/>
      <c r="D16" s="23">
        <f>2310247+1921130+1899847+144950</f>
        <v>6276174</v>
      </c>
      <c r="E16" s="281" t="str">
        <f t="shared" si="0"/>
        <v> </v>
      </c>
      <c r="F16" s="23">
        <f>D16-'[1]Oktobris'!D16</f>
        <v>513491</v>
      </c>
      <c r="G16" s="114" t="s">
        <v>160</v>
      </c>
      <c r="H16" s="8">
        <v>0</v>
      </c>
      <c r="I16" s="108">
        <f t="shared" si="1"/>
        <v>0</v>
      </c>
      <c r="J16" s="8">
        <f>ROUND(D16/1000,0)</f>
        <v>6276</v>
      </c>
      <c r="K16" s="109" t="str">
        <f t="shared" si="2"/>
        <v> </v>
      </c>
      <c r="L16" s="23">
        <f>J16-'[1]Oktobris'!J16</f>
        <v>513</v>
      </c>
    </row>
    <row r="17" spans="1:12" ht="15.75" customHeight="1">
      <c r="A17" s="102" t="s">
        <v>161</v>
      </c>
      <c r="B17" s="6">
        <f>SUM(B18,B19,B20,B21,B22,B23,B24,B28,B30)</f>
        <v>49527858</v>
      </c>
      <c r="C17" s="282">
        <v>0.622</v>
      </c>
      <c r="D17" s="6">
        <f>SUM(D18,D19,D20,D21,D22,D23,D24,D28,D30)</f>
        <v>48840226</v>
      </c>
      <c r="E17" s="62">
        <f t="shared" si="0"/>
        <v>0.9861162580461283</v>
      </c>
      <c r="F17" s="6">
        <f>SUM(F18,F19,F20,F21,F22,F23,F24,F28,F30)</f>
        <v>3603105</v>
      </c>
      <c r="G17" s="102" t="s">
        <v>161</v>
      </c>
      <c r="H17" s="6">
        <f>SUM(H18,H19,H20,H21,H22,H23,H24,H28,H30)</f>
        <v>49529</v>
      </c>
      <c r="I17" s="104">
        <f t="shared" si="1"/>
        <v>0.622</v>
      </c>
      <c r="J17" s="103">
        <f>SUM(J18,J19,J20,J21,J22,J23,J24,J28,J30)</f>
        <v>48841</v>
      </c>
      <c r="K17" s="105">
        <f t="shared" si="2"/>
        <v>0.9861091481758162</v>
      </c>
      <c r="L17" s="103">
        <f>SUM(L18,L19,L20,L21,L22,L23,L24,L28,L30)</f>
        <v>3605</v>
      </c>
    </row>
    <row r="18" spans="1:12" ht="15.75" customHeight="1">
      <c r="A18" s="115" t="s">
        <v>162</v>
      </c>
      <c r="B18" s="23">
        <v>3464000</v>
      </c>
      <c r="C18" s="110">
        <v>1.218</v>
      </c>
      <c r="D18" s="23">
        <v>4220162</v>
      </c>
      <c r="E18" s="62">
        <f t="shared" si="0"/>
        <v>1.218291570438799</v>
      </c>
      <c r="F18" s="23">
        <f>D18-'[1]Oktobris'!D18</f>
        <v>3674</v>
      </c>
      <c r="G18" s="115" t="s">
        <v>162</v>
      </c>
      <c r="H18" s="23">
        <f aca="true" t="shared" si="3" ref="H18:H23">ROUND(B18/1000,0)</f>
        <v>3464</v>
      </c>
      <c r="I18" s="111">
        <f t="shared" si="1"/>
        <v>1.218</v>
      </c>
      <c r="J18" s="23">
        <f aca="true" t="shared" si="4" ref="J18:J23">ROUND(D18/1000,0)</f>
        <v>4220</v>
      </c>
      <c r="K18" s="112">
        <f t="shared" si="2"/>
        <v>1.21824480369515</v>
      </c>
      <c r="L18" s="23">
        <f>J18-'[1]Oktobris'!J18</f>
        <v>4</v>
      </c>
    </row>
    <row r="19" spans="1:12" ht="15" customHeight="1">
      <c r="A19" s="64" t="s">
        <v>163</v>
      </c>
      <c r="B19" s="23">
        <v>8219605</v>
      </c>
      <c r="C19" s="110">
        <v>1.125</v>
      </c>
      <c r="D19" s="23">
        <f>1876039+6339278</f>
        <v>8215317</v>
      </c>
      <c r="E19" s="62">
        <f t="shared" si="0"/>
        <v>0.9994783204302397</v>
      </c>
      <c r="F19" s="23">
        <f>D19-'[1]Oktobris'!D19</f>
        <v>489208</v>
      </c>
      <c r="G19" s="64" t="s">
        <v>163</v>
      </c>
      <c r="H19" s="23">
        <f t="shared" si="3"/>
        <v>8220</v>
      </c>
      <c r="I19" s="111">
        <f t="shared" si="1"/>
        <v>1.125</v>
      </c>
      <c r="J19" s="23">
        <f t="shared" si="4"/>
        <v>8215</v>
      </c>
      <c r="K19" s="112">
        <f t="shared" si="2"/>
        <v>0.9993917274939172</v>
      </c>
      <c r="L19" s="23">
        <f>J19-'[1]Oktobris'!J19</f>
        <v>489</v>
      </c>
    </row>
    <row r="20" spans="1:12" ht="19.5" customHeight="1">
      <c r="A20" s="115" t="s">
        <v>164</v>
      </c>
      <c r="B20" s="23">
        <v>10860000</v>
      </c>
      <c r="C20" s="110">
        <v>0.943</v>
      </c>
      <c r="D20" s="23">
        <v>9314272</v>
      </c>
      <c r="E20" s="62">
        <f t="shared" si="0"/>
        <v>0.8576677716390424</v>
      </c>
      <c r="F20" s="23">
        <f>D20-'[1]Oktobris'!D20</f>
        <v>948769</v>
      </c>
      <c r="G20" s="115" t="s">
        <v>164</v>
      </c>
      <c r="H20" s="23">
        <f t="shared" si="3"/>
        <v>10860</v>
      </c>
      <c r="I20" s="111">
        <f t="shared" si="1"/>
        <v>0.943</v>
      </c>
      <c r="J20" s="23">
        <f t="shared" si="4"/>
        <v>9314</v>
      </c>
      <c r="K20" s="112">
        <f t="shared" si="2"/>
        <v>0.8576427255985267</v>
      </c>
      <c r="L20" s="23">
        <f>J20-'[1]Oktobris'!J20</f>
        <v>948</v>
      </c>
    </row>
    <row r="21" spans="1:12" ht="25.5" customHeight="1">
      <c r="A21" s="115" t="s">
        <v>165</v>
      </c>
      <c r="B21" s="23">
        <v>450000</v>
      </c>
      <c r="C21" s="110">
        <v>1.3</v>
      </c>
      <c r="D21" s="23">
        <v>613201</v>
      </c>
      <c r="E21" s="62">
        <f t="shared" si="0"/>
        <v>1.362668888888889</v>
      </c>
      <c r="F21" s="23">
        <f>D21-'[1]Oktobris'!D21</f>
        <v>83007</v>
      </c>
      <c r="G21" s="115" t="s">
        <v>165</v>
      </c>
      <c r="H21" s="23">
        <f t="shared" si="3"/>
        <v>450</v>
      </c>
      <c r="I21" s="111">
        <f t="shared" si="1"/>
        <v>1.3</v>
      </c>
      <c r="J21" s="23">
        <f t="shared" si="4"/>
        <v>613</v>
      </c>
      <c r="K21" s="112">
        <f t="shared" si="2"/>
        <v>1.3622222222222222</v>
      </c>
      <c r="L21" s="23">
        <f>J21-'[1]Oktobris'!J21</f>
        <v>83</v>
      </c>
    </row>
    <row r="22" spans="1:12" ht="15.75" customHeight="1">
      <c r="A22" s="115" t="s">
        <v>166</v>
      </c>
      <c r="B22" s="23">
        <v>702000</v>
      </c>
      <c r="C22" s="110">
        <v>1.067</v>
      </c>
      <c r="D22" s="23">
        <v>842058</v>
      </c>
      <c r="E22" s="62">
        <f t="shared" si="0"/>
        <v>1.1995128205128205</v>
      </c>
      <c r="F22" s="23">
        <f>D22-'[1]Oktobris'!D22</f>
        <v>97063</v>
      </c>
      <c r="G22" s="115" t="s">
        <v>166</v>
      </c>
      <c r="H22" s="23">
        <f t="shared" si="3"/>
        <v>702</v>
      </c>
      <c r="I22" s="111">
        <f t="shared" si="1"/>
        <v>1.067</v>
      </c>
      <c r="J22" s="23">
        <f t="shared" si="4"/>
        <v>842</v>
      </c>
      <c r="K22" s="112">
        <f t="shared" si="2"/>
        <v>1.1994301994301995</v>
      </c>
      <c r="L22" s="23">
        <f>J22-'[1]Oktobris'!J22</f>
        <v>97</v>
      </c>
    </row>
    <row r="23" spans="1:12" ht="15.75" customHeight="1">
      <c r="A23" s="64" t="s">
        <v>167</v>
      </c>
      <c r="B23" s="23">
        <v>4250000</v>
      </c>
      <c r="C23" s="110">
        <v>1.211</v>
      </c>
      <c r="D23" s="23">
        <v>5112819</v>
      </c>
      <c r="E23" s="62">
        <f t="shared" si="0"/>
        <v>1.2030162352941176</v>
      </c>
      <c r="F23" s="23">
        <f>D23-'[1]Oktobris'!D23</f>
        <v>641756</v>
      </c>
      <c r="G23" s="64" t="s">
        <v>167</v>
      </c>
      <c r="H23" s="23">
        <f t="shared" si="3"/>
        <v>4250</v>
      </c>
      <c r="I23" s="111">
        <f t="shared" si="1"/>
        <v>1.211</v>
      </c>
      <c r="J23" s="23">
        <f t="shared" si="4"/>
        <v>5113</v>
      </c>
      <c r="K23" s="112">
        <f t="shared" si="2"/>
        <v>1.2030588235294117</v>
      </c>
      <c r="L23" s="23">
        <f>J23-'[1]Oktobris'!J23</f>
        <v>642</v>
      </c>
    </row>
    <row r="24" spans="1:12" ht="15.75" customHeight="1">
      <c r="A24" s="64" t="s">
        <v>168</v>
      </c>
      <c r="B24" s="23">
        <f>SUM(B25,B26,B27)</f>
        <v>12496253</v>
      </c>
      <c r="C24" s="110">
        <v>1</v>
      </c>
      <c r="D24" s="23">
        <f>351+3318515+10008+10049300+290948+12797+48427+245</f>
        <v>13730591</v>
      </c>
      <c r="E24" s="62">
        <f t="shared" si="0"/>
        <v>1.0987766492883906</v>
      </c>
      <c r="F24" s="23">
        <f>D24-'[1]Oktobris'!D24</f>
        <v>873174</v>
      </c>
      <c r="G24" s="64" t="s">
        <v>168</v>
      </c>
      <c r="H24" s="23">
        <f>SUM(H25,H26,H27)</f>
        <v>12497</v>
      </c>
      <c r="I24" s="111">
        <f t="shared" si="1"/>
        <v>1</v>
      </c>
      <c r="J24" s="23">
        <f>ROUND(D24/1000,0)+1</f>
        <v>13732</v>
      </c>
      <c r="K24" s="112">
        <f t="shared" si="2"/>
        <v>1.0988237176922462</v>
      </c>
      <c r="L24" s="23">
        <f>J24-'[1]Oktobris'!J24</f>
        <v>875</v>
      </c>
    </row>
    <row r="25" spans="1:12" ht="27" customHeight="1">
      <c r="A25" s="116" t="s">
        <v>169</v>
      </c>
      <c r="B25" s="23">
        <v>6000000</v>
      </c>
      <c r="C25" s="110">
        <v>0.97</v>
      </c>
      <c r="D25" s="23">
        <v>5820085</v>
      </c>
      <c r="E25" s="62">
        <f t="shared" si="0"/>
        <v>0.9700141666666666</v>
      </c>
      <c r="F25" s="23">
        <f>D25-'[1]Oktobris'!D25</f>
        <v>0</v>
      </c>
      <c r="G25" s="116" t="s">
        <v>169</v>
      </c>
      <c r="H25" s="23">
        <f>ROUND(B25/1000,0)</f>
        <v>6000</v>
      </c>
      <c r="I25" s="117">
        <f t="shared" si="1"/>
        <v>0.97</v>
      </c>
      <c r="J25" s="25">
        <f>ROUND(D25/1000,0)</f>
        <v>5820</v>
      </c>
      <c r="K25" s="118">
        <f t="shared" si="2"/>
        <v>0.97</v>
      </c>
      <c r="L25" s="25">
        <f>J25-'[1]Oktobris'!J25</f>
        <v>0</v>
      </c>
    </row>
    <row r="26" spans="1:12" ht="43.5" customHeight="1">
      <c r="A26" s="116" t="s">
        <v>170</v>
      </c>
      <c r="B26" s="23">
        <f>1201200+302476</f>
        <v>1503676</v>
      </c>
      <c r="C26" s="110">
        <v>1</v>
      </c>
      <c r="D26" s="23">
        <f>1101099+302476</f>
        <v>1403575</v>
      </c>
      <c r="E26" s="62">
        <f t="shared" si="0"/>
        <v>0.9334291429802697</v>
      </c>
      <c r="F26" s="23">
        <f>D26-'[1]Oktobris'!D26-200198</f>
        <v>217481</v>
      </c>
      <c r="G26" s="116" t="s">
        <v>171</v>
      </c>
      <c r="H26" s="23">
        <f>ROUND(B26/1000,0)</f>
        <v>1504</v>
      </c>
      <c r="I26" s="117">
        <f t="shared" si="1"/>
        <v>1</v>
      </c>
      <c r="J26" s="25">
        <f>ROUND(D26/1000,0)</f>
        <v>1404</v>
      </c>
      <c r="K26" s="118">
        <f t="shared" si="2"/>
        <v>0.9335106382978723</v>
      </c>
      <c r="L26" s="25">
        <f>J26-'[1]Oktobris'!J26</f>
        <v>418</v>
      </c>
    </row>
    <row r="27" spans="1:12" ht="18" customHeight="1">
      <c r="A27" s="116" t="s">
        <v>172</v>
      </c>
      <c r="B27" s="23">
        <f>5295053-302476</f>
        <v>4992577</v>
      </c>
      <c r="C27" s="110">
        <v>1</v>
      </c>
      <c r="D27" s="23">
        <f>D24-5820085-1403575</f>
        <v>6506931</v>
      </c>
      <c r="E27" s="62">
        <f t="shared" si="0"/>
        <v>1.303321110520679</v>
      </c>
      <c r="F27" s="23">
        <f>D27-'[1]Oktobris'!D27</f>
        <v>455495</v>
      </c>
      <c r="G27" s="116" t="s">
        <v>172</v>
      </c>
      <c r="H27" s="23">
        <f>ROUND(B27/1000,0)</f>
        <v>4993</v>
      </c>
      <c r="I27" s="117">
        <f t="shared" si="1"/>
        <v>1</v>
      </c>
      <c r="J27" s="25">
        <f>ROUND(D27/1000,0)</f>
        <v>6507</v>
      </c>
      <c r="K27" s="118">
        <f t="shared" si="2"/>
        <v>1.303224514320048</v>
      </c>
      <c r="L27" s="25">
        <f>J27-'[1]Oktobris'!J27</f>
        <v>456</v>
      </c>
    </row>
    <row r="28" spans="1:12" ht="15" customHeight="1">
      <c r="A28" s="115" t="s">
        <v>173</v>
      </c>
      <c r="B28" s="23">
        <f>B29</f>
        <v>4636000</v>
      </c>
      <c r="C28" s="110">
        <v>0.121</v>
      </c>
      <c r="D28" s="23">
        <v>3636020</v>
      </c>
      <c r="E28" s="62">
        <f t="shared" si="0"/>
        <v>0.7843011216566005</v>
      </c>
      <c r="F28" s="23">
        <f>D28-'[1]Oktobris'!D28</f>
        <v>20</v>
      </c>
      <c r="G28" s="115" t="s">
        <v>173</v>
      </c>
      <c r="H28" s="23">
        <f>ROUND(B28/1000,0)</f>
        <v>4636</v>
      </c>
      <c r="I28" s="111">
        <f t="shared" si="1"/>
        <v>0.121</v>
      </c>
      <c r="J28" s="23">
        <f>ROUND(D28/1000,0)</f>
        <v>3636</v>
      </c>
      <c r="K28" s="112">
        <f t="shared" si="2"/>
        <v>0.7842968075927523</v>
      </c>
      <c r="L28" s="23">
        <f>J28-'[1]Oktobris'!J28</f>
        <v>0</v>
      </c>
    </row>
    <row r="29" spans="1:12" ht="27" customHeight="1">
      <c r="A29" s="116" t="s">
        <v>174</v>
      </c>
      <c r="B29" s="23">
        <v>4636000</v>
      </c>
      <c r="C29" s="110">
        <v>0.121</v>
      </c>
      <c r="D29" s="23">
        <v>3636020</v>
      </c>
      <c r="E29" s="62">
        <f t="shared" si="0"/>
        <v>0.7843011216566005</v>
      </c>
      <c r="F29" s="23">
        <f>D29-'[1]Oktobris'!D29</f>
        <v>20</v>
      </c>
      <c r="G29" s="116" t="s">
        <v>174</v>
      </c>
      <c r="H29" s="23">
        <f>ROUND(B29/1000,0)</f>
        <v>4636</v>
      </c>
      <c r="I29" s="117">
        <f t="shared" si="1"/>
        <v>0.121</v>
      </c>
      <c r="J29" s="25">
        <f>ROUND(D29/1000,0)</f>
        <v>3636</v>
      </c>
      <c r="K29" s="118">
        <f t="shared" si="2"/>
        <v>0.7842968075927523</v>
      </c>
      <c r="L29" s="25">
        <f>J29-'[1]Oktobris'!J29</f>
        <v>0</v>
      </c>
    </row>
    <row r="30" spans="1:12" ht="15" customHeight="1">
      <c r="A30" s="115" t="s">
        <v>175</v>
      </c>
      <c r="B30" s="23">
        <f>SUM(B31,B32)</f>
        <v>4450000</v>
      </c>
      <c r="C30" s="110">
        <v>1</v>
      </c>
      <c r="D30" s="23">
        <f>D31+D32</f>
        <v>3155786</v>
      </c>
      <c r="E30" s="62">
        <f t="shared" si="0"/>
        <v>0.709165393258427</v>
      </c>
      <c r="F30" s="23">
        <f>D30-'[1]Oktobris'!D30</f>
        <v>466434</v>
      </c>
      <c r="G30" s="115" t="s">
        <v>175</v>
      </c>
      <c r="H30" s="23">
        <f>SUM(H31,H32)</f>
        <v>4450</v>
      </c>
      <c r="I30" s="111">
        <f t="shared" si="1"/>
        <v>1</v>
      </c>
      <c r="J30" s="23">
        <f>SUM(J31,J32)</f>
        <v>3156</v>
      </c>
      <c r="K30" s="112">
        <f t="shared" si="2"/>
        <v>0.7092134831460675</v>
      </c>
      <c r="L30" s="23">
        <f>J30-'[1]Oktobris'!J30</f>
        <v>467</v>
      </c>
    </row>
    <row r="31" spans="1:12" ht="26.25" customHeight="1">
      <c r="A31" s="116" t="s">
        <v>176</v>
      </c>
      <c r="B31" s="23">
        <v>1450000</v>
      </c>
      <c r="C31" s="110">
        <v>1</v>
      </c>
      <c r="D31" s="23">
        <v>1906209</v>
      </c>
      <c r="E31" s="62">
        <f t="shared" si="0"/>
        <v>1.314626896551724</v>
      </c>
      <c r="F31" s="23">
        <f>D31-'[1]Oktobris'!D31</f>
        <v>443709</v>
      </c>
      <c r="G31" s="116" t="s">
        <v>176</v>
      </c>
      <c r="H31" s="23">
        <f>ROUND(B31/1000,0)</f>
        <v>1450</v>
      </c>
      <c r="I31" s="117">
        <f t="shared" si="1"/>
        <v>1</v>
      </c>
      <c r="J31" s="25">
        <f>ROUND(D31/1000,0)</f>
        <v>1906</v>
      </c>
      <c r="K31" s="118">
        <f t="shared" si="2"/>
        <v>1.3144827586206898</v>
      </c>
      <c r="L31" s="25">
        <f>J31-'[1]Oktobris'!J31</f>
        <v>443</v>
      </c>
    </row>
    <row r="32" spans="1:12" ht="30.75" customHeight="1">
      <c r="A32" s="116" t="s">
        <v>177</v>
      </c>
      <c r="B32" s="23">
        <v>3000000</v>
      </c>
      <c r="C32" s="110">
        <v>1</v>
      </c>
      <c r="D32" s="23">
        <f>1249504+73</f>
        <v>1249577</v>
      </c>
      <c r="E32" s="62">
        <f t="shared" si="0"/>
        <v>0.4165256666666667</v>
      </c>
      <c r="F32" s="23">
        <f>D32-'[1]Oktobris'!D32</f>
        <v>22725</v>
      </c>
      <c r="G32" s="116" t="s">
        <v>177</v>
      </c>
      <c r="H32" s="23">
        <f>ROUND(B32/1000,0)</f>
        <v>3000</v>
      </c>
      <c r="I32" s="117">
        <f t="shared" si="1"/>
        <v>1</v>
      </c>
      <c r="J32" s="25">
        <f>ROUND(D32/1000,0)</f>
        <v>1250</v>
      </c>
      <c r="K32" s="118">
        <f t="shared" si="2"/>
        <v>0.4166666666666667</v>
      </c>
      <c r="L32" s="25">
        <f>J32-'[1]Oktobris'!J32</f>
        <v>23</v>
      </c>
    </row>
    <row r="33" spans="1:12" ht="12.75">
      <c r="A33" s="119" t="s">
        <v>178</v>
      </c>
      <c r="B33" s="6">
        <f>SUM(B34)</f>
        <v>67361391</v>
      </c>
      <c r="C33" s="99">
        <f>C34</f>
        <v>0.942</v>
      </c>
      <c r="D33" s="6">
        <f>SUM(D34)</f>
        <v>55092108</v>
      </c>
      <c r="E33" s="62">
        <f t="shared" si="0"/>
        <v>0.8178588236101003</v>
      </c>
      <c r="F33" s="6">
        <f>SUM(F34)</f>
        <v>4975395</v>
      </c>
      <c r="G33" s="119" t="s">
        <v>178</v>
      </c>
      <c r="H33" s="6">
        <f>SUM(H34)</f>
        <v>67361</v>
      </c>
      <c r="I33" s="104">
        <f t="shared" si="1"/>
        <v>0.942</v>
      </c>
      <c r="J33" s="103">
        <f>SUM(J34)</f>
        <v>55092</v>
      </c>
      <c r="K33" s="105">
        <f t="shared" si="2"/>
        <v>0.8178619676073693</v>
      </c>
      <c r="L33" s="8">
        <f>J33-'[1]Oktobris'!J33</f>
        <v>4975</v>
      </c>
    </row>
    <row r="34" spans="1:12" ht="22.5">
      <c r="A34" s="115" t="s">
        <v>179</v>
      </c>
      <c r="B34" s="23">
        <v>67361391</v>
      </c>
      <c r="C34" s="110">
        <v>0.942</v>
      </c>
      <c r="D34" s="23">
        <f>54134510+827885+129713</f>
        <v>55092108</v>
      </c>
      <c r="E34" s="62">
        <f t="shared" si="0"/>
        <v>0.8178588236101003</v>
      </c>
      <c r="F34" s="23">
        <f>D34-'[1]Oktobris'!D34</f>
        <v>4975395</v>
      </c>
      <c r="G34" s="115" t="s">
        <v>179</v>
      </c>
      <c r="H34" s="23">
        <f>ROUND(B34/1000,0)</f>
        <v>67361</v>
      </c>
      <c r="I34" s="111">
        <f t="shared" si="1"/>
        <v>0.942</v>
      </c>
      <c r="J34" s="23">
        <f>ROUND(D34/1000,0)</f>
        <v>55092</v>
      </c>
      <c r="K34" s="112">
        <f t="shared" si="2"/>
        <v>0.8178619676073693</v>
      </c>
      <c r="L34" s="23">
        <f>J34-'[1]Oktobris'!J34</f>
        <v>4975</v>
      </c>
    </row>
    <row r="35" spans="1:12" ht="15" customHeight="1">
      <c r="A35" s="120"/>
      <c r="B35" s="121"/>
      <c r="C35" s="122"/>
      <c r="D35" s="121">
        <v>0</v>
      </c>
      <c r="E35" s="123"/>
      <c r="F35" s="23"/>
      <c r="G35" s="126" t="s">
        <v>399</v>
      </c>
      <c r="H35" s="121"/>
      <c r="I35" s="124"/>
      <c r="J35" s="121"/>
      <c r="K35" s="123"/>
      <c r="L35" s="125"/>
    </row>
    <row r="36" spans="1:11" ht="12.75">
      <c r="A36" s="126" t="s">
        <v>399</v>
      </c>
      <c r="B36" s="121"/>
      <c r="C36" s="122"/>
      <c r="D36" s="121"/>
      <c r="E36" s="123"/>
      <c r="G36" s="126" t="s">
        <v>400</v>
      </c>
      <c r="H36" s="121"/>
      <c r="I36" s="124"/>
      <c r="J36" s="121"/>
      <c r="K36" s="123"/>
    </row>
    <row r="37" spans="1:11" ht="12.75">
      <c r="A37" s="126" t="s">
        <v>400</v>
      </c>
      <c r="B37" s="121"/>
      <c r="C37" s="122"/>
      <c r="D37" s="121"/>
      <c r="E37" s="123"/>
      <c r="G37" s="126"/>
      <c r="H37" s="121"/>
      <c r="I37" s="124"/>
      <c r="J37" s="121"/>
      <c r="K37" s="123"/>
    </row>
    <row r="38" spans="1:11" ht="13.5" customHeight="1">
      <c r="A38" s="126"/>
      <c r="B38" s="127"/>
      <c r="C38" s="85"/>
      <c r="D38" s="127"/>
      <c r="E38" s="128"/>
      <c r="G38" s="126"/>
      <c r="H38" s="127"/>
      <c r="I38" s="127"/>
      <c r="J38" s="128"/>
      <c r="K38" s="128"/>
    </row>
    <row r="39" spans="1:11" ht="29.25" customHeight="1">
      <c r="A39" s="2" t="s">
        <v>180</v>
      </c>
      <c r="B39" s="33"/>
      <c r="C39" s="88"/>
      <c r="D39" s="33"/>
      <c r="E39" s="129"/>
      <c r="G39" s="2" t="s">
        <v>180</v>
      </c>
      <c r="H39" s="2"/>
      <c r="I39" s="2"/>
      <c r="J39" s="2"/>
      <c r="K39" s="129"/>
    </row>
    <row r="40" spans="1:11" ht="32.25" customHeight="1">
      <c r="A40" s="126"/>
      <c r="B40" s="130"/>
      <c r="C40" s="88"/>
      <c r="D40" s="130"/>
      <c r="E40" s="129"/>
      <c r="G40" s="2"/>
      <c r="H40" s="2"/>
      <c r="I40" s="2"/>
      <c r="J40" s="2"/>
      <c r="K40" s="129"/>
    </row>
    <row r="41" spans="1:11" ht="12.75">
      <c r="A41" s="2" t="s">
        <v>144</v>
      </c>
      <c r="B41" s="2"/>
      <c r="C41" s="88"/>
      <c r="D41" s="2"/>
      <c r="E41" s="2"/>
      <c r="G41" s="2"/>
      <c r="H41" s="2"/>
      <c r="I41" s="2"/>
      <c r="J41" s="2"/>
      <c r="K41" s="2"/>
    </row>
    <row r="42" spans="1:7" ht="12.75">
      <c r="A42" s="2" t="s">
        <v>401</v>
      </c>
      <c r="B42" s="2"/>
      <c r="C42" s="88"/>
      <c r="D42" s="2"/>
      <c r="E42" s="2"/>
      <c r="G42" s="2"/>
    </row>
    <row r="43" spans="1:11" ht="12.75" hidden="1">
      <c r="A43" s="2"/>
      <c r="B43" s="131"/>
      <c r="C43" s="88"/>
      <c r="D43" s="131"/>
      <c r="E43" s="2"/>
      <c r="G43" s="2" t="s">
        <v>146</v>
      </c>
      <c r="H43" s="131"/>
      <c r="I43" s="131"/>
      <c r="J43" s="131"/>
      <c r="K43" s="2"/>
    </row>
    <row r="44" ht="12.75">
      <c r="G44" s="2" t="s">
        <v>144</v>
      </c>
    </row>
    <row r="45" ht="12.75">
      <c r="G45" s="2" t="s">
        <v>401</v>
      </c>
    </row>
    <row r="46" spans="1:5" ht="12.75">
      <c r="A46" s="2"/>
      <c r="B46" s="2"/>
      <c r="C46" s="88"/>
      <c r="D46" s="2"/>
      <c r="E46" s="2"/>
    </row>
    <row r="47" ht="12.75">
      <c r="G47" s="2"/>
    </row>
    <row r="48" ht="12.75" hidden="1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53"/>
  <sheetViews>
    <sheetView workbookViewId="0" topLeftCell="H1">
      <selection activeCell="A6" sqref="A6"/>
    </sheetView>
  </sheetViews>
  <sheetFormatPr defaultColWidth="9.140625" defaultRowHeight="12.75"/>
  <cols>
    <col min="1" max="1" width="26.140625" style="48" hidden="1" customWidth="1"/>
    <col min="2" max="5" width="11.421875" style="48" hidden="1" customWidth="1"/>
    <col min="6" max="6" width="7.57421875" style="48" hidden="1" customWidth="1"/>
    <col min="7" max="7" width="11.421875" style="48" hidden="1" customWidth="1"/>
    <col min="8" max="8" width="24.421875" style="48" customWidth="1"/>
    <col min="9" max="9" width="8.8515625" style="48" customWidth="1"/>
    <col min="10" max="10" width="8.28125" style="48" customWidth="1"/>
    <col min="11" max="11" width="7.28125" style="48" customWidth="1"/>
    <col min="12" max="12" width="7.7109375" style="48" customWidth="1"/>
    <col min="13" max="13" width="8.28125" style="48" customWidth="1"/>
    <col min="14" max="14" width="7.421875" style="48" customWidth="1"/>
    <col min="15" max="104" width="11.421875" style="0" customWidth="1"/>
    <col min="105" max="16384" width="11.421875" style="48" customWidth="1"/>
  </cols>
  <sheetData>
    <row r="1" spans="1:14" ht="17.25" customHeight="1">
      <c r="A1" s="36" t="s">
        <v>181</v>
      </c>
      <c r="B1" s="36"/>
      <c r="C1" s="84"/>
      <c r="D1" s="36"/>
      <c r="E1" s="36"/>
      <c r="F1" s="84"/>
      <c r="G1" s="48" t="s">
        <v>182</v>
      </c>
      <c r="H1" s="36" t="s">
        <v>181</v>
      </c>
      <c r="I1" s="36"/>
      <c r="J1" s="84"/>
      <c r="K1" s="36"/>
      <c r="L1" s="36"/>
      <c r="M1" s="84"/>
      <c r="N1" s="48" t="s">
        <v>182</v>
      </c>
    </row>
    <row r="2" spans="1:14" ht="13.5" customHeight="1">
      <c r="A2" s="36"/>
      <c r="B2" s="36"/>
      <c r="C2" s="84"/>
      <c r="D2" s="36"/>
      <c r="E2" s="36"/>
      <c r="F2" s="84"/>
      <c r="G2" s="2"/>
      <c r="H2" s="36"/>
      <c r="I2" s="36"/>
      <c r="J2" s="84"/>
      <c r="K2" s="36"/>
      <c r="L2" s="36"/>
      <c r="M2" s="84"/>
      <c r="N2" s="2"/>
    </row>
    <row r="3" spans="1:14" ht="24" customHeight="1">
      <c r="A3" s="89" t="s">
        <v>183</v>
      </c>
      <c r="B3" s="84"/>
      <c r="C3" s="84"/>
      <c r="D3" s="84"/>
      <c r="E3" s="84"/>
      <c r="F3" s="84"/>
      <c r="G3" s="2"/>
      <c r="H3" s="89" t="s">
        <v>183</v>
      </c>
      <c r="I3" s="84"/>
      <c r="J3" s="84"/>
      <c r="K3" s="84"/>
      <c r="L3" s="84"/>
      <c r="M3" s="84"/>
      <c r="N3" s="2"/>
    </row>
    <row r="4" spans="1:14" ht="19.5" customHeight="1">
      <c r="A4" s="89" t="s">
        <v>402</v>
      </c>
      <c r="B4" s="84"/>
      <c r="C4" s="84"/>
      <c r="D4" s="84"/>
      <c r="E4" s="84"/>
      <c r="F4" s="84"/>
      <c r="G4" s="2"/>
      <c r="H4" s="89" t="s">
        <v>402</v>
      </c>
      <c r="I4" s="84"/>
      <c r="J4" s="84"/>
      <c r="K4" s="84"/>
      <c r="L4" s="84"/>
      <c r="M4" s="84"/>
      <c r="N4" s="2"/>
    </row>
    <row r="5" spans="1:14" ht="11.25" customHeight="1">
      <c r="A5" s="2"/>
      <c r="B5" s="2"/>
      <c r="C5" s="2"/>
      <c r="D5" s="91"/>
      <c r="E5" s="40"/>
      <c r="F5" s="2"/>
      <c r="G5" s="2" t="s">
        <v>149</v>
      </c>
      <c r="H5" s="2"/>
      <c r="I5" s="2"/>
      <c r="J5" s="2"/>
      <c r="K5" s="91"/>
      <c r="L5" s="40"/>
      <c r="M5" s="2"/>
      <c r="N5" s="2" t="s">
        <v>149</v>
      </c>
    </row>
    <row r="6" spans="1:14" ht="74.25" customHeight="1">
      <c r="A6" s="4" t="s">
        <v>17</v>
      </c>
      <c r="B6" s="4" t="s">
        <v>62</v>
      </c>
      <c r="C6" s="4" t="s">
        <v>184</v>
      </c>
      <c r="D6" s="4" t="s">
        <v>63</v>
      </c>
      <c r="E6" s="4" t="s">
        <v>185</v>
      </c>
      <c r="F6" s="4" t="s">
        <v>186</v>
      </c>
      <c r="G6" s="4" t="s">
        <v>387</v>
      </c>
      <c r="H6" s="4" t="s">
        <v>17</v>
      </c>
      <c r="I6" s="4" t="s">
        <v>62</v>
      </c>
      <c r="J6" s="4" t="s">
        <v>184</v>
      </c>
      <c r="K6" s="4" t="s">
        <v>63</v>
      </c>
      <c r="L6" s="4" t="s">
        <v>185</v>
      </c>
      <c r="M6" s="4" t="s">
        <v>186</v>
      </c>
      <c r="N6" s="4" t="s">
        <v>387</v>
      </c>
    </row>
    <row r="7" spans="1:14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32">
        <v>7</v>
      </c>
      <c r="H7" s="4">
        <v>1</v>
      </c>
      <c r="I7" s="4">
        <v>2</v>
      </c>
      <c r="J7" s="4">
        <v>3</v>
      </c>
      <c r="K7" s="4">
        <v>4</v>
      </c>
      <c r="L7" s="4">
        <v>5</v>
      </c>
      <c r="M7" s="4">
        <v>6</v>
      </c>
      <c r="N7" s="95">
        <v>7</v>
      </c>
    </row>
    <row r="8" spans="1:104" s="135" customFormat="1" ht="15" customHeight="1">
      <c r="A8" s="98" t="s">
        <v>187</v>
      </c>
      <c r="B8" s="133">
        <f>SUM(B9:B10)</f>
        <v>704860897</v>
      </c>
      <c r="C8" s="133">
        <f>SUM(C9:C10)</f>
        <v>649968833</v>
      </c>
      <c r="D8" s="133">
        <f>SUM(D9:D10)</f>
        <v>621609881</v>
      </c>
      <c r="E8" s="54">
        <f>IF(ISERROR(D8/B8)," ",(D8/B8))</f>
        <v>0.8818901483195769</v>
      </c>
      <c r="F8" s="54">
        <f>IF(ISERROR(D8/C8)," ",(D8/C8))</f>
        <v>0.9563687509920956</v>
      </c>
      <c r="G8" s="133">
        <f>SUM(G9:G10)</f>
        <v>64488427</v>
      </c>
      <c r="H8" s="98" t="s">
        <v>187</v>
      </c>
      <c r="I8" s="133">
        <f>SUM(I9:I10)</f>
        <v>704860</v>
      </c>
      <c r="J8" s="133">
        <f>SUM(J9:J10)</f>
        <v>649970</v>
      </c>
      <c r="K8" s="133">
        <f>SUM(K9:K10)</f>
        <v>621612</v>
      </c>
      <c r="L8" s="134">
        <f>IF(ISERROR(ROUND(K8,0)/ROUND(I8,0))," ",(ROUND(K8,)/ROUND(I8,)))</f>
        <v>0.8818942768776779</v>
      </c>
      <c r="M8" s="134">
        <f>IF(ISERROR(ROUND(K8,0)/ROUND(J8,0))," ",(ROUND(K8,)/ROUND(J8,)))</f>
        <v>0.9563702940135699</v>
      </c>
      <c r="N8" s="133">
        <f>SUM(N9:N10)</f>
        <v>64490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s="60" customFormat="1" ht="13.5" customHeight="1">
      <c r="A9" s="136" t="s">
        <v>188</v>
      </c>
      <c r="B9" s="27">
        <f>SUM(B12,B15,B18,B21,B24,B27,B30,B33,B36,B39,B42,B45,B48,B53,B56,B59,B62,B65,B68,B71,B74,B77,B79,B81,B84,B92,B95,B86,B89)</f>
        <v>640293526</v>
      </c>
      <c r="C9" s="27">
        <f>SUM(C12,C15,C18,C21,C24,C27,C30,C33,C36,C39,C42,C45,C48,C53,C56,C59,C62,C65,C68,C71,C74,C77,C79,C81,C84,C92,C95,C86,C89)</f>
        <v>589956006</v>
      </c>
      <c r="D9" s="27">
        <f>SUM(D12,D15,D18,D21,D24,D27,D30,D33,D36,D39,D42,D45,D48,D53,D56,D59,D62,D65,D68,D71,D74,D77,D79,D81,D84,D92,D95,D86,D89)</f>
        <v>569691153</v>
      </c>
      <c r="E9" s="62">
        <f aca="true" t="shared" si="0" ref="E9:E72">IF(ISERROR(D9/B9)," ",(D9/B9))</f>
        <v>0.8897343637986432</v>
      </c>
      <c r="F9" s="62">
        <f aca="true" t="shared" si="1" ref="F9:F72">IF(ISERROR(D9/C9)," ",(D9/C9))</f>
        <v>0.9656502301969954</v>
      </c>
      <c r="G9" s="27">
        <f>SUM(G12,G15,G18,G21,G24,G27,G30,G33,G36,G39,G42,G45,G48,G53,G56,G59,G62,G65,G68,G71,G74,G77,G79,G81,G84,G92,G95,G86,G89)</f>
        <v>58884775</v>
      </c>
      <c r="H9" s="136" t="s">
        <v>188</v>
      </c>
      <c r="I9" s="27">
        <f>SUM(I12,I15,I18,I21,I24,I27,I30,I33,I36,I39,I42,I45,I48,I53,I56,I59,I62,I65,I68,I71,I74,I77,I79,I81,I84,I92,I95,I86,I89)</f>
        <v>640293</v>
      </c>
      <c r="J9" s="27">
        <f>SUM(J12,J15,J18,J21,J24,J27,J30,J33,J36,J39,J42,J45,J48,J53,J56,J59,J62,J65,J68,J71,J74,J77,J79,J81,J84,J92,J95,J86,J89)</f>
        <v>589956</v>
      </c>
      <c r="K9" s="27">
        <f>SUM(K12,K15,K18,K21,K24,K27,K30,K33,K36,K39,K42,K45,K48,K53,K56,K59,K62,K65,K68,K71,K74,K77,K79,K81,K84,K92,K95,K86,K89)</f>
        <v>569693</v>
      </c>
      <c r="L9" s="137">
        <f aca="true" t="shared" si="2" ref="L9:L49">IF(ISERROR(ROUND(K9,0)/ROUND(I9,0))," ",(ROUND(K9,)/ROUND(I9,)))</f>
        <v>0.8897379793313374</v>
      </c>
      <c r="M9" s="137">
        <f aca="true" t="shared" si="3" ref="M9:M49">IF(ISERROR(ROUND(K9,0)/ROUND(J9,0))," ",(ROUND(K9,)/ROUND(J9,)))</f>
        <v>0.9656533707598532</v>
      </c>
      <c r="N9" s="27">
        <f>SUM(N12,N15,N18,N21,N24,N27,N30,N33,N36,N39,N42,N45,N48,N53,N56,N59,N62,N65,N68,N71,N74,N77,N79,N81,N84,N92,N95,N86,N89)</f>
        <v>58886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4" s="60" customFormat="1" ht="14.25" customHeight="1">
      <c r="A10" s="136" t="s">
        <v>189</v>
      </c>
      <c r="B10" s="27">
        <f>SUM(B13,B16,B19,B22,B25,B28,B31,B34,B37,B40,B43,B46,B49,B54,B57,B60,B63,B66,B69,B72,B75,B82,B93,B87,B90)</f>
        <v>64567371</v>
      </c>
      <c r="C10" s="27">
        <f>SUM(C13,C16,C19,C22,C25,C28,C31,C34,C37,C40,C43,C46,C49,C54,C57,C60,C63,C66,C69,C72,C75,C82,C93,C87,C90)</f>
        <v>60012827</v>
      </c>
      <c r="D10" s="27">
        <f>SUM(D13,D16,D19,D22,D25,D28,D31,D34,D37,D40,D43,D46,D49,D54,D57,D60,D63,D66,D69,D72,D75,D82,D93,D87,D90)</f>
        <v>51918728</v>
      </c>
      <c r="E10" s="62">
        <f t="shared" si="0"/>
        <v>0.8041016258815927</v>
      </c>
      <c r="F10" s="62">
        <f t="shared" si="1"/>
        <v>0.8651271835602745</v>
      </c>
      <c r="G10" s="27">
        <f>SUM(G13,G16,G19,G22,G25,G28,G31,G34,G37,G40,G43,G46,G49,G54,G57,G60,G63,G66,G69,G72,G75,G82,G93,G87,G90)</f>
        <v>5603652</v>
      </c>
      <c r="H10" s="136" t="s">
        <v>189</v>
      </c>
      <c r="I10" s="27">
        <f>SUM(I13,I16,I19,I22,I25,I28,I31,I34,I37,I40,I43,I46,I49,I54,I57,I60,I63,I66,I69,I72,I75,I82,I93,I87,I90)</f>
        <v>64567</v>
      </c>
      <c r="J10" s="27">
        <f>SUM(J13,J16,J19,J22,J25,J28,J31,J34,J37,J40,J43,J46,J49,J54,J57,J60,J63,J66,J69,J72,J75,J82,J93,J87,J90)</f>
        <v>60014</v>
      </c>
      <c r="K10" s="27">
        <f>SUM(K13,K16,K19,K22,K25,K28,K31,K34,K37,K40,K43,K46,K49,K54,K57,K60,K63,K66,K69,K72,K75,K82,K93,K87,K90)</f>
        <v>51919</v>
      </c>
      <c r="L10" s="137">
        <f t="shared" si="2"/>
        <v>0.8041104589031549</v>
      </c>
      <c r="M10" s="137">
        <f t="shared" si="3"/>
        <v>0.8651148065451395</v>
      </c>
      <c r="N10" s="27">
        <f>SUM(N13,N16,N19,N22,N25,N28,N31,N34,N37,N40,N43,N46,N49,N54,N57,N60,N63,N66,N69,N72,N75,N82,N93,N87,N90)</f>
        <v>5604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04" s="60" customFormat="1" ht="15.75" customHeight="1">
      <c r="A11" s="74" t="s">
        <v>190</v>
      </c>
      <c r="B11" s="138">
        <f>SUM(B12:B13)</f>
        <v>904668</v>
      </c>
      <c r="C11" s="138">
        <f>SUM(C12:C13)</f>
        <v>847808</v>
      </c>
      <c r="D11" s="138">
        <f>SUM(D12:D13)</f>
        <v>835985</v>
      </c>
      <c r="E11" s="54">
        <f t="shared" si="0"/>
        <v>0.9240793307600136</v>
      </c>
      <c r="F11" s="54">
        <f t="shared" si="1"/>
        <v>0.986054625575602</v>
      </c>
      <c r="G11" s="138">
        <f>SUM(G12:G13)</f>
        <v>71218</v>
      </c>
      <c r="H11" s="74" t="s">
        <v>190</v>
      </c>
      <c r="I11" s="139">
        <f>SUM(I12:I13)</f>
        <v>904</v>
      </c>
      <c r="J11" s="139">
        <f>SUM(J12:J13)</f>
        <v>847</v>
      </c>
      <c r="K11" s="139">
        <f>SUM(K12:K13)</f>
        <v>836</v>
      </c>
      <c r="L11" s="140">
        <f t="shared" si="2"/>
        <v>0.9247787610619469</v>
      </c>
      <c r="M11" s="140">
        <f t="shared" si="3"/>
        <v>0.987012987012987</v>
      </c>
      <c r="N11" s="139">
        <f>SUM(N12:N13)</f>
        <v>71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04" s="60" customFormat="1" ht="12.75">
      <c r="A12" s="113" t="s">
        <v>188</v>
      </c>
      <c r="B12" s="141">
        <v>860228</v>
      </c>
      <c r="C12" s="141">
        <v>803368</v>
      </c>
      <c r="D12" s="141">
        <f>835985-D13</f>
        <v>803290</v>
      </c>
      <c r="E12" s="62">
        <f t="shared" si="0"/>
        <v>0.9338105711509042</v>
      </c>
      <c r="F12" s="62">
        <f t="shared" si="1"/>
        <v>0.999902908754145</v>
      </c>
      <c r="G12" s="141">
        <f>D12-'[7]Oktobris'!D12</f>
        <v>68790</v>
      </c>
      <c r="H12" s="113" t="s">
        <v>188</v>
      </c>
      <c r="I12" s="141">
        <f aca="true" t="shared" si="4" ref="I12:K13">ROUND(B12/1000,0)</f>
        <v>860</v>
      </c>
      <c r="J12" s="141">
        <f>ROUND(C12/1000,0)</f>
        <v>803</v>
      </c>
      <c r="K12" s="141">
        <f>ROUND(D12/1000,0)</f>
        <v>803</v>
      </c>
      <c r="L12" s="137">
        <f t="shared" si="2"/>
        <v>0.9337209302325581</v>
      </c>
      <c r="M12" s="137">
        <f t="shared" si="3"/>
        <v>1</v>
      </c>
      <c r="N12" s="141">
        <f>K12-'[7]Oktobris'!K12</f>
        <v>68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s="60" customFormat="1" ht="12.75">
      <c r="A13" s="113" t="s">
        <v>189</v>
      </c>
      <c r="B13" s="141">
        <v>44440</v>
      </c>
      <c r="C13" s="141">
        <v>44440</v>
      </c>
      <c r="D13" s="141">
        <v>32695</v>
      </c>
      <c r="E13" s="62">
        <f t="shared" si="0"/>
        <v>0.7357110711071108</v>
      </c>
      <c r="F13" s="62">
        <f t="shared" si="1"/>
        <v>0.7357110711071108</v>
      </c>
      <c r="G13" s="141">
        <f>D13-'[7]Oktobris'!D13</f>
        <v>2428</v>
      </c>
      <c r="H13" s="113" t="s">
        <v>189</v>
      </c>
      <c r="I13" s="141">
        <f t="shared" si="4"/>
        <v>44</v>
      </c>
      <c r="J13" s="141">
        <f>ROUND(C13/1000,0)</f>
        <v>44</v>
      </c>
      <c r="K13" s="141">
        <f t="shared" si="4"/>
        <v>33</v>
      </c>
      <c r="L13" s="137">
        <f t="shared" si="2"/>
        <v>0.75</v>
      </c>
      <c r="M13" s="137">
        <f t="shared" si="3"/>
        <v>0.75</v>
      </c>
      <c r="N13" s="141">
        <f>K13-'[7]Oktobris'!K13</f>
        <v>3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s="60" customFormat="1" ht="16.5" customHeight="1">
      <c r="A14" s="142" t="s">
        <v>191</v>
      </c>
      <c r="B14" s="138">
        <f>SUM(B15:B16)</f>
        <v>6091301</v>
      </c>
      <c r="C14" s="138">
        <f>SUM(C15:C16)</f>
        <v>5601814</v>
      </c>
      <c r="D14" s="138">
        <f>SUM(D15:D16)</f>
        <v>5132671</v>
      </c>
      <c r="E14" s="54">
        <f t="shared" si="0"/>
        <v>0.8426231112204109</v>
      </c>
      <c r="F14" s="54">
        <f t="shared" si="1"/>
        <v>0.916251592787622</v>
      </c>
      <c r="G14" s="138">
        <f>SUM(G15:G16)</f>
        <v>614549</v>
      </c>
      <c r="H14" s="142" t="s">
        <v>191</v>
      </c>
      <c r="I14" s="139">
        <f>SUM(I15:I16)</f>
        <v>6091</v>
      </c>
      <c r="J14" s="139">
        <f>SUM(J15:J16)</f>
        <v>5602</v>
      </c>
      <c r="K14" s="139">
        <f>SUM(K15:K16)</f>
        <v>5132</v>
      </c>
      <c r="L14" s="140">
        <f t="shared" si="2"/>
        <v>0.8425545887374816</v>
      </c>
      <c r="M14" s="140">
        <f t="shared" si="3"/>
        <v>0.9161013923598714</v>
      </c>
      <c r="N14" s="139">
        <f>SUM(N15:N16)</f>
        <v>614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s="60" customFormat="1" ht="12.75">
      <c r="A15" s="113" t="s">
        <v>188</v>
      </c>
      <c r="B15" s="141">
        <v>4992250</v>
      </c>
      <c r="C15" s="141">
        <v>4528204</v>
      </c>
      <c r="D15" s="141">
        <f>5132671-D16</f>
        <v>4254340</v>
      </c>
      <c r="E15" s="62">
        <f t="shared" si="0"/>
        <v>0.8521888927838149</v>
      </c>
      <c r="F15" s="62">
        <f t="shared" si="1"/>
        <v>0.9395203926324874</v>
      </c>
      <c r="G15" s="141">
        <f>D15-'[7]Oktobris'!D15</f>
        <v>517990</v>
      </c>
      <c r="H15" s="113" t="s">
        <v>188</v>
      </c>
      <c r="I15" s="141">
        <f aca="true" t="shared" si="5" ref="I15:K16">ROUND(B15/1000,0)</f>
        <v>4992</v>
      </c>
      <c r="J15" s="141">
        <f t="shared" si="5"/>
        <v>4528</v>
      </c>
      <c r="K15" s="141">
        <f t="shared" si="5"/>
        <v>4254</v>
      </c>
      <c r="L15" s="137">
        <f t="shared" si="2"/>
        <v>0.8521634615384616</v>
      </c>
      <c r="M15" s="137">
        <f t="shared" si="3"/>
        <v>0.9394876325088339</v>
      </c>
      <c r="N15" s="141">
        <f>K15-'[7]Oktobris'!K15</f>
        <v>518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04" s="60" customFormat="1" ht="12.75">
      <c r="A16" s="113" t="s">
        <v>189</v>
      </c>
      <c r="B16" s="141">
        <v>1099051</v>
      </c>
      <c r="C16" s="141">
        <v>1073610</v>
      </c>
      <c r="D16" s="141">
        <f>359395+518936</f>
        <v>878331</v>
      </c>
      <c r="E16" s="62">
        <f t="shared" si="0"/>
        <v>0.7991721949208909</v>
      </c>
      <c r="F16" s="62">
        <f t="shared" si="1"/>
        <v>0.8181099281862129</v>
      </c>
      <c r="G16" s="141">
        <f>D16-'[7]Oktobris'!D16</f>
        <v>96559</v>
      </c>
      <c r="H16" s="113" t="s">
        <v>189</v>
      </c>
      <c r="I16" s="141">
        <f>ROUND(B16/1000,0)</f>
        <v>1099</v>
      </c>
      <c r="J16" s="141">
        <f t="shared" si="5"/>
        <v>1074</v>
      </c>
      <c r="K16" s="141">
        <f t="shared" si="5"/>
        <v>878</v>
      </c>
      <c r="L16" s="137">
        <f t="shared" si="2"/>
        <v>0.7989080982711556</v>
      </c>
      <c r="M16" s="137">
        <f t="shared" si="3"/>
        <v>0.8175046554934823</v>
      </c>
      <c r="N16" s="141">
        <f>K16-'[7]Oktobris'!K16</f>
        <v>96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s="60" customFormat="1" ht="13.5" customHeight="1">
      <c r="A17" s="142" t="s">
        <v>192</v>
      </c>
      <c r="B17" s="138">
        <f>SUM(B18:B19)</f>
        <v>3472724</v>
      </c>
      <c r="C17" s="138">
        <f>SUM(C18:C19)</f>
        <v>3212651</v>
      </c>
      <c r="D17" s="138">
        <f>SUM(D18:D19)</f>
        <v>3154960</v>
      </c>
      <c r="E17" s="54">
        <f t="shared" si="0"/>
        <v>0.9084971912538975</v>
      </c>
      <c r="F17" s="54">
        <f t="shared" si="1"/>
        <v>0.9820425561319919</v>
      </c>
      <c r="G17" s="138">
        <f>SUM(G18:G19)</f>
        <v>263548</v>
      </c>
      <c r="H17" s="142" t="s">
        <v>192</v>
      </c>
      <c r="I17" s="139">
        <f>SUM(I18:I19)</f>
        <v>3473</v>
      </c>
      <c r="J17" s="139">
        <f>SUM(J18:J19)</f>
        <v>3213</v>
      </c>
      <c r="K17" s="139">
        <f>SUM(K18:K19)</f>
        <v>3155</v>
      </c>
      <c r="L17" s="140">
        <f t="shared" si="2"/>
        <v>0.9084365102217103</v>
      </c>
      <c r="M17" s="140">
        <f t="shared" si="3"/>
        <v>0.9819483348895114</v>
      </c>
      <c r="N17" s="139">
        <f>SUM(N18:N19)</f>
        <v>264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0" customFormat="1" ht="12.75">
      <c r="A18" s="113" t="s">
        <v>188</v>
      </c>
      <c r="B18" s="141">
        <v>3265809</v>
      </c>
      <c r="C18" s="141">
        <v>3023123</v>
      </c>
      <c r="D18" s="141">
        <f>3154960-D19</f>
        <v>2971565</v>
      </c>
      <c r="E18" s="62">
        <f t="shared" si="0"/>
        <v>0.9099016507089055</v>
      </c>
      <c r="F18" s="62">
        <f t="shared" si="1"/>
        <v>0.9829454507805339</v>
      </c>
      <c r="G18" s="141">
        <f>D18-'[7]Oktobris'!D18</f>
        <v>247067</v>
      </c>
      <c r="H18" s="113" t="s">
        <v>188</v>
      </c>
      <c r="I18" s="141">
        <f>ROUND(B18/1000,0)</f>
        <v>3266</v>
      </c>
      <c r="J18" s="141">
        <f aca="true" t="shared" si="6" ref="I18:K19">ROUND(C18/1000,0)</f>
        <v>3023</v>
      </c>
      <c r="K18" s="141">
        <f t="shared" si="6"/>
        <v>2972</v>
      </c>
      <c r="L18" s="137">
        <f t="shared" si="2"/>
        <v>0.9099816289038579</v>
      </c>
      <c r="M18" s="137">
        <f t="shared" si="3"/>
        <v>0.9831293417135296</v>
      </c>
      <c r="N18" s="141">
        <f>K18-'[7]Oktobris'!K18</f>
        <v>248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s="60" customFormat="1" ht="12.75">
      <c r="A19" s="113" t="s">
        <v>189</v>
      </c>
      <c r="B19" s="141">
        <v>206915</v>
      </c>
      <c r="C19" s="141">
        <v>189528</v>
      </c>
      <c r="D19" s="141">
        <v>183395</v>
      </c>
      <c r="E19" s="62">
        <f t="shared" si="0"/>
        <v>0.8863301355629123</v>
      </c>
      <c r="F19" s="62">
        <f t="shared" si="1"/>
        <v>0.9676406652315225</v>
      </c>
      <c r="G19" s="141">
        <f>D19-'[7]Oktobris'!D19</f>
        <v>16481</v>
      </c>
      <c r="H19" s="113" t="s">
        <v>189</v>
      </c>
      <c r="I19" s="141">
        <f t="shared" si="6"/>
        <v>207</v>
      </c>
      <c r="J19" s="141">
        <f t="shared" si="6"/>
        <v>190</v>
      </c>
      <c r="K19" s="141">
        <f t="shared" si="6"/>
        <v>183</v>
      </c>
      <c r="L19" s="137">
        <f t="shared" si="2"/>
        <v>0.8840579710144928</v>
      </c>
      <c r="M19" s="137">
        <f t="shared" si="3"/>
        <v>0.9631578947368421</v>
      </c>
      <c r="N19" s="141">
        <f>K19-'[7]Oktobris'!K19</f>
        <v>16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60" customFormat="1" ht="15" customHeight="1">
      <c r="A20" s="142" t="s">
        <v>193</v>
      </c>
      <c r="B20" s="138">
        <f>SUM(B21:B22)</f>
        <v>33135763</v>
      </c>
      <c r="C20" s="138">
        <f>SUM(C21:C22)</f>
        <v>30034662</v>
      </c>
      <c r="D20" s="138">
        <f>SUM(D21:D22)</f>
        <v>27395285</v>
      </c>
      <c r="E20" s="54">
        <f t="shared" si="0"/>
        <v>0.8267588405916593</v>
      </c>
      <c r="F20" s="54">
        <f t="shared" si="1"/>
        <v>0.912122300560599</v>
      </c>
      <c r="G20" s="138">
        <f>SUM(G21:G22)</f>
        <v>3727500</v>
      </c>
      <c r="H20" s="142" t="s">
        <v>193</v>
      </c>
      <c r="I20" s="139">
        <f>SUM(I21:I22)</f>
        <v>33135</v>
      </c>
      <c r="J20" s="139">
        <f>SUM(J21:J22)</f>
        <v>30035</v>
      </c>
      <c r="K20" s="139">
        <f>SUM(K21:K22)</f>
        <v>27395</v>
      </c>
      <c r="L20" s="140">
        <f t="shared" si="2"/>
        <v>0.826769277199336</v>
      </c>
      <c r="M20" s="140">
        <f t="shared" si="3"/>
        <v>0.9121025470284668</v>
      </c>
      <c r="N20" s="139">
        <f>SUM(N21:N22)</f>
        <v>3727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60" customFormat="1" ht="12.75">
      <c r="A21" s="113" t="s">
        <v>188</v>
      </c>
      <c r="B21" s="141">
        <v>29134360</v>
      </c>
      <c r="C21" s="141">
        <v>26364008</v>
      </c>
      <c r="D21" s="141">
        <f>27395285-D22</f>
        <v>25002802</v>
      </c>
      <c r="E21" s="62">
        <f t="shared" si="0"/>
        <v>0.8581895054499223</v>
      </c>
      <c r="F21" s="62">
        <f t="shared" si="1"/>
        <v>0.9483687760980803</v>
      </c>
      <c r="G21" s="141">
        <f>D21-'[7]Oktobris'!D21</f>
        <v>2975974</v>
      </c>
      <c r="H21" s="113" t="s">
        <v>188</v>
      </c>
      <c r="I21" s="141">
        <f aca="true" t="shared" si="7" ref="I21:K22">ROUND(B21/1000,0)</f>
        <v>29134</v>
      </c>
      <c r="J21" s="141">
        <f>ROUND(C21/1000,0)</f>
        <v>26364</v>
      </c>
      <c r="K21" s="141">
        <f t="shared" si="7"/>
        <v>25003</v>
      </c>
      <c r="L21" s="137">
        <f t="shared" si="2"/>
        <v>0.8582069060204572</v>
      </c>
      <c r="M21" s="137">
        <f t="shared" si="3"/>
        <v>0.9483765741162191</v>
      </c>
      <c r="N21" s="141">
        <f>K21-'[7]Oktobris'!K21</f>
        <v>2976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60" customFormat="1" ht="12.75">
      <c r="A22" s="113" t="s">
        <v>189</v>
      </c>
      <c r="B22" s="141">
        <v>4001403</v>
      </c>
      <c r="C22" s="141">
        <v>3670654</v>
      </c>
      <c r="D22" s="141">
        <f>490780+2700+201145+1697858</f>
        <v>2392483</v>
      </c>
      <c r="E22" s="62">
        <f t="shared" si="0"/>
        <v>0.5979110327052787</v>
      </c>
      <c r="F22" s="62">
        <f t="shared" si="1"/>
        <v>0.6517865753623197</v>
      </c>
      <c r="G22" s="141">
        <f>D22-'[7]Oktobris'!D22</f>
        <v>751526</v>
      </c>
      <c r="H22" s="113" t="s">
        <v>189</v>
      </c>
      <c r="I22" s="141">
        <f t="shared" si="7"/>
        <v>4001</v>
      </c>
      <c r="J22" s="141">
        <f t="shared" si="7"/>
        <v>3671</v>
      </c>
      <c r="K22" s="141">
        <f t="shared" si="7"/>
        <v>2392</v>
      </c>
      <c r="L22" s="137">
        <f t="shared" si="2"/>
        <v>0.5978505373656586</v>
      </c>
      <c r="M22" s="137">
        <f t="shared" si="3"/>
        <v>0.6515935712339962</v>
      </c>
      <c r="N22" s="141">
        <f>K22-'[7]Oktobris'!K22</f>
        <v>751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0" customFormat="1" ht="16.5" customHeight="1">
      <c r="A23" s="142" t="s">
        <v>194</v>
      </c>
      <c r="B23" s="138">
        <f>SUM(B24:B25)</f>
        <v>12785663</v>
      </c>
      <c r="C23" s="138">
        <f>SUM(C24:C25)</f>
        <v>10229677</v>
      </c>
      <c r="D23" s="138">
        <f>SUM(D24:D25)</f>
        <v>9658274</v>
      </c>
      <c r="E23" s="54">
        <f t="shared" si="0"/>
        <v>0.7553987618788326</v>
      </c>
      <c r="F23" s="54">
        <f t="shared" si="1"/>
        <v>0.9441426156466133</v>
      </c>
      <c r="G23" s="138">
        <f>SUM(G24:G25)</f>
        <v>724204</v>
      </c>
      <c r="H23" s="142" t="s">
        <v>194</v>
      </c>
      <c r="I23" s="139">
        <f>SUM(I24:I25)</f>
        <v>12786</v>
      </c>
      <c r="J23" s="139">
        <f>SUM(J24:J25)</f>
        <v>10230</v>
      </c>
      <c r="K23" s="139">
        <f>SUM(K24:K25)</f>
        <v>9659</v>
      </c>
      <c r="L23" s="140">
        <f t="shared" si="2"/>
        <v>0.7554356327232911</v>
      </c>
      <c r="M23" s="140">
        <f t="shared" si="3"/>
        <v>0.9441837732160313</v>
      </c>
      <c r="N23" s="139">
        <f>SUM(N24:N25)</f>
        <v>725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60" customFormat="1" ht="12.75">
      <c r="A24" s="113" t="s">
        <v>188</v>
      </c>
      <c r="B24" s="141">
        <v>10520064</v>
      </c>
      <c r="C24" s="141">
        <v>9915078</v>
      </c>
      <c r="D24" s="141">
        <f>9083915+468469+36872-125266-131421</f>
        <v>9332569</v>
      </c>
      <c r="E24" s="62">
        <f t="shared" si="0"/>
        <v>0.8871209338650411</v>
      </c>
      <c r="F24" s="62">
        <f t="shared" si="1"/>
        <v>0.9412501848195244</v>
      </c>
      <c r="G24" s="141">
        <f>D24-'[7]Oktobris'!D24</f>
        <v>716744</v>
      </c>
      <c r="H24" s="113" t="s">
        <v>188</v>
      </c>
      <c r="I24" s="141">
        <f aca="true" t="shared" si="8" ref="I24:K25">ROUND(B24/1000,0)</f>
        <v>10520</v>
      </c>
      <c r="J24" s="141">
        <f t="shared" si="8"/>
        <v>9915</v>
      </c>
      <c r="K24" s="141">
        <f t="shared" si="8"/>
        <v>9333</v>
      </c>
      <c r="L24" s="137">
        <f t="shared" si="2"/>
        <v>0.8871673003802282</v>
      </c>
      <c r="M24" s="137">
        <f t="shared" si="3"/>
        <v>0.9413010590015128</v>
      </c>
      <c r="N24" s="141">
        <f>K24-'[7]Oktobris'!K24</f>
        <v>717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s="60" customFormat="1" ht="12.75">
      <c r="A25" s="113" t="s">
        <v>189</v>
      </c>
      <c r="B25" s="141">
        <v>2265599</v>
      </c>
      <c r="C25" s="141">
        <v>314599</v>
      </c>
      <c r="D25" s="141">
        <f>125266+131421+69018</f>
        <v>325705</v>
      </c>
      <c r="E25" s="62">
        <f t="shared" si="0"/>
        <v>0.14376109805839427</v>
      </c>
      <c r="F25" s="62">
        <f t="shared" si="1"/>
        <v>1.035302082969113</v>
      </c>
      <c r="G25" s="141">
        <f>D25-'[7]Oktobris'!D25</f>
        <v>7460</v>
      </c>
      <c r="H25" s="113" t="s">
        <v>189</v>
      </c>
      <c r="I25" s="141">
        <f t="shared" si="8"/>
        <v>2266</v>
      </c>
      <c r="J25" s="141">
        <f t="shared" si="8"/>
        <v>315</v>
      </c>
      <c r="K25" s="141">
        <f t="shared" si="8"/>
        <v>326</v>
      </c>
      <c r="L25" s="137">
        <f t="shared" si="2"/>
        <v>0.14386584289496912</v>
      </c>
      <c r="M25" s="137">
        <f t="shared" si="3"/>
        <v>1.034920634920635</v>
      </c>
      <c r="N25" s="141">
        <f>K25-'[7]Oktobris'!K25</f>
        <v>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0" customFormat="1" ht="14.25" customHeight="1">
      <c r="A26" s="142" t="s">
        <v>195</v>
      </c>
      <c r="B26" s="138">
        <f>SUM(B27:B28)</f>
        <v>4477300</v>
      </c>
      <c r="C26" s="138">
        <f>SUM(C27:C28)</f>
        <v>4078090</v>
      </c>
      <c r="D26" s="138">
        <f>SUM(D27:D28)</f>
        <v>3957925</v>
      </c>
      <c r="E26" s="54">
        <f t="shared" si="0"/>
        <v>0.8839981685390749</v>
      </c>
      <c r="F26" s="54">
        <f t="shared" si="1"/>
        <v>0.9705339999852872</v>
      </c>
      <c r="G26" s="138">
        <f>SUM(G27:G28)</f>
        <v>449624</v>
      </c>
      <c r="H26" s="142" t="s">
        <v>195</v>
      </c>
      <c r="I26" s="139">
        <f>SUM(I27:I28)</f>
        <v>4477</v>
      </c>
      <c r="J26" s="139">
        <f>SUM(J27:J28)</f>
        <v>4078</v>
      </c>
      <c r="K26" s="139">
        <f>SUM(K27:K28)</f>
        <v>3958</v>
      </c>
      <c r="L26" s="140">
        <f t="shared" si="2"/>
        <v>0.8840741568014295</v>
      </c>
      <c r="M26" s="140">
        <f t="shared" si="3"/>
        <v>0.9705738106915155</v>
      </c>
      <c r="N26" s="139">
        <f>SUM(N27:N28)</f>
        <v>449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60" customFormat="1" ht="12.75">
      <c r="A27" s="113" t="s">
        <v>188</v>
      </c>
      <c r="B27" s="141">
        <v>4198960</v>
      </c>
      <c r="C27" s="141">
        <v>3799750</v>
      </c>
      <c r="D27" s="141">
        <f>3957925-D28</f>
        <v>3759089</v>
      </c>
      <c r="E27" s="62">
        <f t="shared" si="0"/>
        <v>0.8952428696629642</v>
      </c>
      <c r="F27" s="62">
        <f t="shared" si="1"/>
        <v>0.9892990328311073</v>
      </c>
      <c r="G27" s="141">
        <f>D27-'[7]Oktobris'!D27</f>
        <v>438300</v>
      </c>
      <c r="H27" s="113" t="s">
        <v>188</v>
      </c>
      <c r="I27" s="141">
        <f aca="true" t="shared" si="9" ref="I27:K28">ROUND(B27/1000,0)</f>
        <v>4199</v>
      </c>
      <c r="J27" s="141">
        <f t="shared" si="9"/>
        <v>3800</v>
      </c>
      <c r="K27" s="141">
        <f t="shared" si="9"/>
        <v>3759</v>
      </c>
      <c r="L27" s="137">
        <f t="shared" si="2"/>
        <v>0.8952131459871397</v>
      </c>
      <c r="M27" s="137">
        <f t="shared" si="3"/>
        <v>0.9892105263157894</v>
      </c>
      <c r="N27" s="141">
        <f>K27-'[7]Oktobris'!K27</f>
        <v>438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60" customFormat="1" ht="12.75">
      <c r="A28" s="113" t="s">
        <v>189</v>
      </c>
      <c r="B28" s="141">
        <v>278340</v>
      </c>
      <c r="C28" s="141">
        <v>278340</v>
      </c>
      <c r="D28" s="141">
        <f>58446+81354+59036</f>
        <v>198836</v>
      </c>
      <c r="E28" s="62">
        <f t="shared" si="0"/>
        <v>0.7143637278149026</v>
      </c>
      <c r="F28" s="62">
        <f t="shared" si="1"/>
        <v>0.7143637278149026</v>
      </c>
      <c r="G28" s="141">
        <f>D28-'[7]Oktobris'!D28</f>
        <v>11324</v>
      </c>
      <c r="H28" s="113" t="s">
        <v>189</v>
      </c>
      <c r="I28" s="141">
        <f t="shared" si="9"/>
        <v>278</v>
      </c>
      <c r="J28" s="141">
        <f t="shared" si="9"/>
        <v>278</v>
      </c>
      <c r="K28" s="141">
        <f>ROUND(D28/1000,0)</f>
        <v>199</v>
      </c>
      <c r="L28" s="137">
        <f t="shared" si="2"/>
        <v>0.7158273381294964</v>
      </c>
      <c r="M28" s="137">
        <f t="shared" si="3"/>
        <v>0.7158273381294964</v>
      </c>
      <c r="N28" s="141">
        <f>K28-'[7]Oktobris'!K28</f>
        <v>11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4.25" customHeight="1">
      <c r="A29" s="142" t="s">
        <v>196</v>
      </c>
      <c r="B29" s="138">
        <f>SUM(B30:B31)</f>
        <v>95694287</v>
      </c>
      <c r="C29" s="138">
        <f>SUM(C30:C31)</f>
        <v>90666348</v>
      </c>
      <c r="D29" s="138">
        <f>SUM(D30:D31)</f>
        <v>81398045</v>
      </c>
      <c r="E29" s="54">
        <f t="shared" si="0"/>
        <v>0.8506050627661816</v>
      </c>
      <c r="F29" s="54">
        <f t="shared" si="1"/>
        <v>0.8977757105646298</v>
      </c>
      <c r="G29" s="138">
        <f>SUM(G30:G31)</f>
        <v>8907769</v>
      </c>
      <c r="H29" s="142" t="s">
        <v>196</v>
      </c>
      <c r="I29" s="139">
        <f>SUM(I30:I31)</f>
        <v>95695</v>
      </c>
      <c r="J29" s="139">
        <f>SUM(J30:J31)</f>
        <v>90667</v>
      </c>
      <c r="K29" s="139">
        <f>SUM(K30:K31)</f>
        <v>81398</v>
      </c>
      <c r="L29" s="140">
        <f t="shared" si="2"/>
        <v>0.8505982548722504</v>
      </c>
      <c r="M29" s="140">
        <f t="shared" si="3"/>
        <v>0.8977687582030949</v>
      </c>
      <c r="N29" s="139">
        <f>SUM(N30:N31)</f>
        <v>8908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60" customFormat="1" ht="12.75">
      <c r="A30" s="113" t="s">
        <v>188</v>
      </c>
      <c r="B30" s="141">
        <v>85526412</v>
      </c>
      <c r="C30" s="141">
        <v>81056779</v>
      </c>
      <c r="D30" s="141">
        <f>81261308+15257-8175893-1</f>
        <v>73100671</v>
      </c>
      <c r="E30" s="62">
        <f t="shared" si="0"/>
        <v>0.8547145763580027</v>
      </c>
      <c r="F30" s="62">
        <f t="shared" si="1"/>
        <v>0.9018452485016707</v>
      </c>
      <c r="G30" s="141">
        <f>D30-'[7]Oktobris'!D30</f>
        <v>8206424</v>
      </c>
      <c r="H30" s="113" t="s">
        <v>188</v>
      </c>
      <c r="I30" s="141">
        <f>ROUND(B30/1000,0)+1</f>
        <v>85527</v>
      </c>
      <c r="J30" s="141">
        <f aca="true" t="shared" si="10" ref="I30:K31">ROUND(C30/1000,0)</f>
        <v>81057</v>
      </c>
      <c r="K30" s="141">
        <f t="shared" si="10"/>
        <v>73101</v>
      </c>
      <c r="L30" s="137">
        <f t="shared" si="2"/>
        <v>0.8547125469150093</v>
      </c>
      <c r="M30" s="137">
        <f t="shared" si="3"/>
        <v>0.9018468485140086</v>
      </c>
      <c r="N30" s="141">
        <f>K30-'[7]Oktobris'!K30</f>
        <v>8207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60" customFormat="1" ht="12.75">
      <c r="A31" s="113" t="s">
        <v>189</v>
      </c>
      <c r="B31" s="141">
        <v>10167875</v>
      </c>
      <c r="C31" s="141">
        <v>9609569</v>
      </c>
      <c r="D31" s="141">
        <f>491342+446223+7238328+121481</f>
        <v>8297374</v>
      </c>
      <c r="E31" s="62">
        <f t="shared" si="0"/>
        <v>0.8160381593990879</v>
      </c>
      <c r="F31" s="62">
        <f t="shared" si="1"/>
        <v>0.863449130757061</v>
      </c>
      <c r="G31" s="141">
        <f>D31-'[7]Oktobris'!D31</f>
        <v>701345</v>
      </c>
      <c r="H31" s="113" t="s">
        <v>189</v>
      </c>
      <c r="I31" s="141">
        <f t="shared" si="10"/>
        <v>10168</v>
      </c>
      <c r="J31" s="141">
        <f t="shared" si="10"/>
        <v>9610</v>
      </c>
      <c r="K31" s="141">
        <f t="shared" si="10"/>
        <v>8297</v>
      </c>
      <c r="L31" s="137">
        <f t="shared" si="2"/>
        <v>0.815991345397325</v>
      </c>
      <c r="M31" s="137">
        <f t="shared" si="3"/>
        <v>0.8633714880332987</v>
      </c>
      <c r="N31" s="141">
        <f>K31-'[7]Oktobris'!K31</f>
        <v>701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0" customFormat="1" ht="18" customHeight="1">
      <c r="A32" s="142" t="s">
        <v>197</v>
      </c>
      <c r="B32" s="138">
        <f>SUM(B33:B34)</f>
        <v>97841097</v>
      </c>
      <c r="C32" s="138">
        <f>SUM(C33:C34)</f>
        <v>90177647</v>
      </c>
      <c r="D32" s="138">
        <f>SUM(D33:D34)</f>
        <v>85677333</v>
      </c>
      <c r="E32" s="54">
        <f t="shared" si="0"/>
        <v>0.875678376745919</v>
      </c>
      <c r="F32" s="54">
        <f t="shared" si="1"/>
        <v>0.9500950163403576</v>
      </c>
      <c r="G32" s="138">
        <f>SUM(G33:G34)</f>
        <v>8277696</v>
      </c>
      <c r="H32" s="142" t="s">
        <v>197</v>
      </c>
      <c r="I32" s="139">
        <f>SUM(I33:I34)</f>
        <v>97841</v>
      </c>
      <c r="J32" s="139">
        <f>SUM(J33:J34)</f>
        <v>90177</v>
      </c>
      <c r="K32" s="139">
        <f>SUM(K33:K34)</f>
        <v>85678</v>
      </c>
      <c r="L32" s="140">
        <f t="shared" si="2"/>
        <v>0.875686062080314</v>
      </c>
      <c r="M32" s="140">
        <f t="shared" si="3"/>
        <v>0.9501092296261796</v>
      </c>
      <c r="N32" s="139">
        <f>SUM(N33:N34)</f>
        <v>8278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0" customFormat="1" ht="12.75">
      <c r="A33" s="113" t="s">
        <v>188</v>
      </c>
      <c r="B33" s="141">
        <v>84005258</v>
      </c>
      <c r="C33" s="141">
        <v>77297233</v>
      </c>
      <c r="D33" s="141">
        <f>85677333-D34</f>
        <v>75750726</v>
      </c>
      <c r="E33" s="62">
        <f t="shared" si="0"/>
        <v>0.9017379126435158</v>
      </c>
      <c r="F33" s="62">
        <f t="shared" si="1"/>
        <v>0.9799927249659764</v>
      </c>
      <c r="G33" s="141">
        <f>D33-'[7]Oktobris'!D33</f>
        <v>6869983</v>
      </c>
      <c r="H33" s="113" t="s">
        <v>188</v>
      </c>
      <c r="I33" s="141">
        <f aca="true" t="shared" si="11" ref="I33:K34">ROUND(B33/1000,0)</f>
        <v>84005</v>
      </c>
      <c r="J33" s="141">
        <f t="shared" si="11"/>
        <v>77297</v>
      </c>
      <c r="K33" s="141">
        <f t="shared" si="11"/>
        <v>75751</v>
      </c>
      <c r="L33" s="137">
        <f t="shared" si="2"/>
        <v>0.9017439438128683</v>
      </c>
      <c r="M33" s="137">
        <f t="shared" si="3"/>
        <v>0.9799992237732383</v>
      </c>
      <c r="N33" s="141">
        <f>K33-'[7]Oktobris'!K33</f>
        <v>6870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60" customFormat="1" ht="12.75">
      <c r="A34" s="113" t="s">
        <v>189</v>
      </c>
      <c r="B34" s="141">
        <v>13835839</v>
      </c>
      <c r="C34" s="141">
        <v>12880414</v>
      </c>
      <c r="D34" s="141">
        <f>1496295+23417+446158+11186+7949551</f>
        <v>9926607</v>
      </c>
      <c r="E34" s="62">
        <f t="shared" si="0"/>
        <v>0.717456093555295</v>
      </c>
      <c r="F34" s="62">
        <f t="shared" si="1"/>
        <v>0.7706745295609287</v>
      </c>
      <c r="G34" s="141">
        <f>D34-'[7]Oktobris'!D34</f>
        <v>1407713</v>
      </c>
      <c r="H34" s="113" t="s">
        <v>189</v>
      </c>
      <c r="I34" s="141">
        <f t="shared" si="11"/>
        <v>13836</v>
      </c>
      <c r="J34" s="141">
        <f>ROUND(C34/1000,0)</f>
        <v>12880</v>
      </c>
      <c r="K34" s="141">
        <f>ROUND(D34/1000,0)</f>
        <v>9927</v>
      </c>
      <c r="L34" s="137">
        <f t="shared" si="2"/>
        <v>0.7174761491760624</v>
      </c>
      <c r="M34" s="137">
        <f t="shared" si="3"/>
        <v>0.7707298136645963</v>
      </c>
      <c r="N34" s="141">
        <f>K34-'[7]Oktobris'!K34</f>
        <v>1408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 customHeight="1">
      <c r="A35" s="74" t="s">
        <v>198</v>
      </c>
      <c r="B35" s="138">
        <f>SUM(B36:B37)</f>
        <v>61645357</v>
      </c>
      <c r="C35" s="138">
        <f>SUM(C36:C37)</f>
        <v>56823125</v>
      </c>
      <c r="D35" s="138">
        <f>SUM(D36:D37)</f>
        <v>52671444</v>
      </c>
      <c r="E35" s="54">
        <f t="shared" si="0"/>
        <v>0.8544267818904837</v>
      </c>
      <c r="F35" s="54">
        <f t="shared" si="1"/>
        <v>0.9269367709009316</v>
      </c>
      <c r="G35" s="138">
        <f>SUM(G36:G37)</f>
        <v>5263564</v>
      </c>
      <c r="H35" s="74" t="s">
        <v>198</v>
      </c>
      <c r="I35" s="139">
        <f>SUM(I36:I37)</f>
        <v>61645</v>
      </c>
      <c r="J35" s="139">
        <f>SUM(J36:J37)</f>
        <v>56823</v>
      </c>
      <c r="K35" s="139">
        <f>SUM(K36:K37)</f>
        <v>52671</v>
      </c>
      <c r="L35" s="140">
        <f t="shared" si="2"/>
        <v>0.8544245275367021</v>
      </c>
      <c r="M35" s="140">
        <f t="shared" si="3"/>
        <v>0.9269309962515179</v>
      </c>
      <c r="N35" s="139">
        <f>SUM(N36:N37)</f>
        <v>5263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60" customFormat="1" ht="14.25" customHeight="1">
      <c r="A36" s="113" t="s">
        <v>188</v>
      </c>
      <c r="B36" s="141">
        <v>56665152</v>
      </c>
      <c r="C36" s="141">
        <v>51916658</v>
      </c>
      <c r="D36" s="141">
        <f>52646548+24896-4171402</f>
        <v>48500042</v>
      </c>
      <c r="E36" s="62">
        <f t="shared" si="0"/>
        <v>0.855905971980804</v>
      </c>
      <c r="F36" s="62">
        <f t="shared" si="1"/>
        <v>0.9341903710365949</v>
      </c>
      <c r="G36" s="141">
        <f>D36-'[7]Oktobris'!D36</f>
        <v>4766611</v>
      </c>
      <c r="H36" s="113" t="s">
        <v>188</v>
      </c>
      <c r="I36" s="141">
        <f aca="true" t="shared" si="12" ref="I36:K37">ROUND(B36/1000,0)</f>
        <v>56665</v>
      </c>
      <c r="J36" s="141">
        <f t="shared" si="12"/>
        <v>51917</v>
      </c>
      <c r="K36" s="141">
        <f t="shared" si="12"/>
        <v>48500</v>
      </c>
      <c r="L36" s="137">
        <f t="shared" si="2"/>
        <v>0.8559075266919616</v>
      </c>
      <c r="M36" s="137">
        <f t="shared" si="3"/>
        <v>0.934183408132211</v>
      </c>
      <c r="N36" s="141">
        <f>K36-'[7]Oktobris'!K36</f>
        <v>4767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60" customFormat="1" ht="12.75" customHeight="1">
      <c r="A37" s="113" t="s">
        <v>189</v>
      </c>
      <c r="B37" s="141">
        <v>4980205</v>
      </c>
      <c r="C37" s="141">
        <v>4906467</v>
      </c>
      <c r="D37" s="141">
        <f>1082194+142321+2946887</f>
        <v>4171402</v>
      </c>
      <c r="E37" s="62">
        <f t="shared" si="0"/>
        <v>0.837596444323075</v>
      </c>
      <c r="F37" s="62">
        <f t="shared" si="1"/>
        <v>0.8501844606312444</v>
      </c>
      <c r="G37" s="141">
        <f>D37-'[7]Oktobris'!D37</f>
        <v>496953</v>
      </c>
      <c r="H37" s="113" t="s">
        <v>189</v>
      </c>
      <c r="I37" s="141">
        <f t="shared" si="12"/>
        <v>4980</v>
      </c>
      <c r="J37" s="141">
        <f t="shared" si="12"/>
        <v>4906</v>
      </c>
      <c r="K37" s="141">
        <f t="shared" si="12"/>
        <v>4171</v>
      </c>
      <c r="L37" s="137">
        <f t="shared" si="2"/>
        <v>0.8375502008032129</v>
      </c>
      <c r="M37" s="137">
        <f t="shared" si="3"/>
        <v>0.8501834488381573</v>
      </c>
      <c r="N37" s="141">
        <f>K37-'[7]Oktobris'!K37</f>
        <v>496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4" ht="15" customHeight="1">
      <c r="A38" s="142" t="s">
        <v>199</v>
      </c>
      <c r="B38" s="138">
        <f>SUM(B39:B40)</f>
        <v>47975916</v>
      </c>
      <c r="C38" s="138">
        <f>SUM(C39:C40)</f>
        <v>43802529</v>
      </c>
      <c r="D38" s="138">
        <f>SUM(D39:D40)</f>
        <v>42410616</v>
      </c>
      <c r="E38" s="54">
        <f t="shared" si="0"/>
        <v>0.8839980460195903</v>
      </c>
      <c r="F38" s="54">
        <f t="shared" si="1"/>
        <v>0.968222999178883</v>
      </c>
      <c r="G38" s="138">
        <f>SUM(G39:G40)</f>
        <v>4217659</v>
      </c>
      <c r="H38" s="142" t="s">
        <v>199</v>
      </c>
      <c r="I38" s="139">
        <f>SUM(I39:I40)</f>
        <v>47976</v>
      </c>
      <c r="J38" s="139">
        <f>SUM(J39:J40)</f>
        <v>43803</v>
      </c>
      <c r="K38" s="139">
        <f>SUM(K39:K40)</f>
        <v>42411</v>
      </c>
      <c r="L38" s="140">
        <f t="shared" si="2"/>
        <v>0.8840045022511256</v>
      </c>
      <c r="M38" s="140">
        <f t="shared" si="3"/>
        <v>0.9682213547017328</v>
      </c>
      <c r="N38" s="139">
        <f>SUM(N39:N40)</f>
        <v>4218</v>
      </c>
    </row>
    <row r="39" spans="1:14" ht="12.75">
      <c r="A39" s="113" t="s">
        <v>188</v>
      </c>
      <c r="B39" s="141">
        <v>44560798</v>
      </c>
      <c r="C39" s="141">
        <v>40489669</v>
      </c>
      <c r="D39" s="141">
        <f>42410616-D40</f>
        <v>39392858</v>
      </c>
      <c r="E39" s="62">
        <f t="shared" si="0"/>
        <v>0.8840249674164273</v>
      </c>
      <c r="F39" s="62">
        <f t="shared" si="1"/>
        <v>0.9729113369635104</v>
      </c>
      <c r="G39" s="141">
        <f>D39-'[7]Oktobris'!D39</f>
        <v>4091893</v>
      </c>
      <c r="H39" s="113" t="s">
        <v>188</v>
      </c>
      <c r="I39" s="141">
        <f aca="true" t="shared" si="13" ref="I39:K40">ROUND(B39/1000,0)</f>
        <v>44561</v>
      </c>
      <c r="J39" s="141">
        <f t="shared" si="13"/>
        <v>40490</v>
      </c>
      <c r="K39" s="141">
        <f t="shared" si="13"/>
        <v>39393</v>
      </c>
      <c r="L39" s="137">
        <f t="shared" si="2"/>
        <v>0.8840241466753439</v>
      </c>
      <c r="M39" s="137">
        <f t="shared" si="3"/>
        <v>0.9729068905902692</v>
      </c>
      <c r="N39" s="141">
        <f>K39-'[7]Oktobris'!K39</f>
        <v>4092</v>
      </c>
    </row>
    <row r="40" spans="1:14" ht="12.75">
      <c r="A40" s="113" t="s">
        <v>189</v>
      </c>
      <c r="B40" s="141">
        <v>3415118</v>
      </c>
      <c r="C40" s="141">
        <v>3312860</v>
      </c>
      <c r="D40" s="141">
        <f>787870+466+328633+4955+3501+1892333</f>
        <v>3017758</v>
      </c>
      <c r="E40" s="62">
        <f t="shared" si="0"/>
        <v>0.8836467729665564</v>
      </c>
      <c r="F40" s="62">
        <f t="shared" si="1"/>
        <v>0.9109222846724583</v>
      </c>
      <c r="G40" s="141">
        <f>D40-'[7]Oktobris'!D40</f>
        <v>125766</v>
      </c>
      <c r="H40" s="113" t="s">
        <v>189</v>
      </c>
      <c r="I40" s="141">
        <f t="shared" si="13"/>
        <v>3415</v>
      </c>
      <c r="J40" s="141">
        <f t="shared" si="13"/>
        <v>3313</v>
      </c>
      <c r="K40" s="141">
        <f t="shared" si="13"/>
        <v>3018</v>
      </c>
      <c r="L40" s="137">
        <f t="shared" si="2"/>
        <v>0.8837481698389458</v>
      </c>
      <c r="M40" s="137">
        <f t="shared" si="3"/>
        <v>0.9109568367038937</v>
      </c>
      <c r="N40" s="141">
        <f>K40-'[7]Oktobris'!K40</f>
        <v>126</v>
      </c>
    </row>
    <row r="41" spans="1:14" ht="12.75" customHeight="1">
      <c r="A41" s="142" t="s">
        <v>200</v>
      </c>
      <c r="B41" s="138">
        <f>SUM(B42:B43)</f>
        <v>8175796</v>
      </c>
      <c r="C41" s="138">
        <f>SUM(C42:C43)</f>
        <v>7751136</v>
      </c>
      <c r="D41" s="138">
        <f>SUM(D42:D43)</f>
        <v>7384028</v>
      </c>
      <c r="E41" s="54">
        <f t="shared" si="0"/>
        <v>0.9031570748585214</v>
      </c>
      <c r="F41" s="54">
        <f t="shared" si="1"/>
        <v>0.9526381681343224</v>
      </c>
      <c r="G41" s="138">
        <f>SUM(G42:G43)</f>
        <v>782307</v>
      </c>
      <c r="H41" s="142" t="s">
        <v>200</v>
      </c>
      <c r="I41" s="139">
        <f>SUM(I42:I43)</f>
        <v>8176</v>
      </c>
      <c r="J41" s="139">
        <f>SUM(J42:J43)</f>
        <v>7751</v>
      </c>
      <c r="K41" s="139">
        <f>SUM(K42:K43)</f>
        <v>7384</v>
      </c>
      <c r="L41" s="140">
        <f t="shared" si="2"/>
        <v>0.9031311154598826</v>
      </c>
      <c r="M41" s="140">
        <f t="shared" si="3"/>
        <v>0.9526512708037672</v>
      </c>
      <c r="N41" s="139">
        <f>SUM(N42:N43)</f>
        <v>782</v>
      </c>
    </row>
    <row r="42" spans="1:14" ht="12.75">
      <c r="A42" s="113" t="s">
        <v>188</v>
      </c>
      <c r="B42" s="141">
        <v>4919796</v>
      </c>
      <c r="C42" s="141">
        <v>4517915</v>
      </c>
      <c r="D42" s="141">
        <f>7384028-D43</f>
        <v>4430841</v>
      </c>
      <c r="E42" s="62">
        <f t="shared" si="0"/>
        <v>0.9006147815885049</v>
      </c>
      <c r="F42" s="62">
        <f t="shared" si="1"/>
        <v>0.9807269503742324</v>
      </c>
      <c r="G42" s="141">
        <f>D42-'[7]Oktobris'!D42</f>
        <v>408062</v>
      </c>
      <c r="H42" s="113" t="s">
        <v>188</v>
      </c>
      <c r="I42" s="141">
        <f>ROUND(B42/1000,0)</f>
        <v>4920</v>
      </c>
      <c r="J42" s="141">
        <f aca="true" t="shared" si="14" ref="I42:K43">ROUND(C42/1000,0)</f>
        <v>4518</v>
      </c>
      <c r="K42" s="141">
        <f t="shared" si="14"/>
        <v>4431</v>
      </c>
      <c r="L42" s="137">
        <f t="shared" si="2"/>
        <v>0.900609756097561</v>
      </c>
      <c r="M42" s="137">
        <f t="shared" si="3"/>
        <v>0.9807436918990704</v>
      </c>
      <c r="N42" s="141">
        <f>K42-'[7]Oktobris'!K42</f>
        <v>408</v>
      </c>
    </row>
    <row r="43" spans="1:14" ht="12.75">
      <c r="A43" s="113" t="s">
        <v>189</v>
      </c>
      <c r="B43" s="141">
        <v>3256000</v>
      </c>
      <c r="C43" s="141">
        <v>3233221</v>
      </c>
      <c r="D43" s="141">
        <f>27735+2925452</f>
        <v>2953187</v>
      </c>
      <c r="E43" s="62">
        <f t="shared" si="0"/>
        <v>0.9069984643734643</v>
      </c>
      <c r="F43" s="62">
        <f t="shared" si="1"/>
        <v>0.9133885373131004</v>
      </c>
      <c r="G43" s="141">
        <f>D43-'[7]Oktobris'!D43</f>
        <v>374245</v>
      </c>
      <c r="H43" s="113" t="s">
        <v>189</v>
      </c>
      <c r="I43" s="141">
        <f t="shared" si="14"/>
        <v>3256</v>
      </c>
      <c r="J43" s="141">
        <f t="shared" si="14"/>
        <v>3233</v>
      </c>
      <c r="K43" s="141">
        <f t="shared" si="14"/>
        <v>2953</v>
      </c>
      <c r="L43" s="137">
        <f t="shared" si="2"/>
        <v>0.9069410319410319</v>
      </c>
      <c r="M43" s="137">
        <f t="shared" si="3"/>
        <v>0.9133931333127127</v>
      </c>
      <c r="N43" s="141">
        <f>K43-'[7]Oktobris'!K43</f>
        <v>374</v>
      </c>
    </row>
    <row r="44" spans="1:14" ht="15" customHeight="1">
      <c r="A44" s="142" t="s">
        <v>201</v>
      </c>
      <c r="B44" s="138">
        <f>SUM(B45:B46)</f>
        <v>159539300</v>
      </c>
      <c r="C44" s="138">
        <f>SUM(C45:C46)</f>
        <v>146875733</v>
      </c>
      <c r="D44" s="138">
        <f>SUM(D45:D46)</f>
        <v>145762478</v>
      </c>
      <c r="E44" s="54">
        <f t="shared" si="0"/>
        <v>0.9136462175777379</v>
      </c>
      <c r="F44" s="54">
        <f t="shared" si="1"/>
        <v>0.9924204293162574</v>
      </c>
      <c r="G44" s="138">
        <f>SUM(G45:G46)</f>
        <v>12821145</v>
      </c>
      <c r="H44" s="142" t="s">
        <v>201</v>
      </c>
      <c r="I44" s="139">
        <f>SUM(I45:I46)</f>
        <v>159539</v>
      </c>
      <c r="J44" s="139">
        <f>SUM(J45:J46)</f>
        <v>146876</v>
      </c>
      <c r="K44" s="139">
        <f>SUM(K45:K46)</f>
        <v>145763</v>
      </c>
      <c r="L44" s="140">
        <f t="shared" si="2"/>
        <v>0.9136512075417296</v>
      </c>
      <c r="M44" s="140">
        <f t="shared" si="3"/>
        <v>0.9924221792532476</v>
      </c>
      <c r="N44" s="139">
        <f>SUM(N45:N46)</f>
        <v>12821</v>
      </c>
    </row>
    <row r="45" spans="1:14" ht="12.75">
      <c r="A45" s="113" t="s">
        <v>188</v>
      </c>
      <c r="B45" s="141">
        <v>154692378</v>
      </c>
      <c r="C45" s="141">
        <v>142111193</v>
      </c>
      <c r="D45" s="141">
        <f>145736339-4426710</f>
        <v>141309629</v>
      </c>
      <c r="E45" s="62">
        <f t="shared" si="0"/>
        <v>0.9134879871069019</v>
      </c>
      <c r="F45" s="62">
        <f t="shared" si="1"/>
        <v>0.9943595998099882</v>
      </c>
      <c r="G45" s="141">
        <f>D45-'[7]Oktobris'!D45</f>
        <v>12615738</v>
      </c>
      <c r="H45" s="113" t="s">
        <v>188</v>
      </c>
      <c r="I45" s="141">
        <f aca="true" t="shared" si="15" ref="I45:K46">ROUND(B45/1000,0)</f>
        <v>154692</v>
      </c>
      <c r="J45" s="141">
        <f>ROUND(C45/1000,0)</f>
        <v>142111</v>
      </c>
      <c r="K45" s="141">
        <f t="shared" si="15"/>
        <v>141310</v>
      </c>
      <c r="L45" s="137">
        <f t="shared" si="2"/>
        <v>0.9134926175884984</v>
      </c>
      <c r="M45" s="137">
        <f t="shared" si="3"/>
        <v>0.9943635608784682</v>
      </c>
      <c r="N45" s="141">
        <f>K45-'[7]Oktobris'!K45</f>
        <v>12616</v>
      </c>
    </row>
    <row r="46" spans="1:14" ht="12.75">
      <c r="A46" s="113" t="s">
        <v>189</v>
      </c>
      <c r="B46" s="141">
        <v>4846922</v>
      </c>
      <c r="C46" s="141">
        <v>4764540</v>
      </c>
      <c r="D46" s="141">
        <f>741172+1134+372967+30000+3281437+26139</f>
        <v>4452849</v>
      </c>
      <c r="E46" s="62">
        <f t="shared" si="0"/>
        <v>0.9186962364981323</v>
      </c>
      <c r="F46" s="62">
        <f t="shared" si="1"/>
        <v>0.9345810928232317</v>
      </c>
      <c r="G46" s="141">
        <f>D46-'[7]Oktobris'!D46</f>
        <v>205407</v>
      </c>
      <c r="H46" s="113" t="s">
        <v>189</v>
      </c>
      <c r="I46" s="141">
        <f t="shared" si="15"/>
        <v>4847</v>
      </c>
      <c r="J46" s="141">
        <f>ROUND(C46/1000,0)</f>
        <v>4765</v>
      </c>
      <c r="K46" s="141">
        <f>ROUND(D46/1000,0)</f>
        <v>4453</v>
      </c>
      <c r="L46" s="137">
        <f t="shared" si="2"/>
        <v>0.9187126057355065</v>
      </c>
      <c r="M46" s="137">
        <f t="shared" si="3"/>
        <v>0.9345225603357817</v>
      </c>
      <c r="N46" s="141">
        <f>K46-'[7]Oktobris'!K46</f>
        <v>205</v>
      </c>
    </row>
    <row r="47" spans="1:14" ht="15.75" customHeight="1">
      <c r="A47" s="142" t="s">
        <v>202</v>
      </c>
      <c r="B47" s="138">
        <f>SUM(B48:B49)</f>
        <v>14110054</v>
      </c>
      <c r="C47" s="138">
        <f>SUM(C48:C49)</f>
        <v>12810618</v>
      </c>
      <c r="D47" s="138">
        <f>SUM(D48:D49)</f>
        <v>11765065</v>
      </c>
      <c r="E47" s="54">
        <f t="shared" si="0"/>
        <v>0.8338072271020366</v>
      </c>
      <c r="F47" s="54">
        <f t="shared" si="1"/>
        <v>0.9183838750011905</v>
      </c>
      <c r="G47" s="138">
        <f>SUM(G48:G49)</f>
        <v>1528425</v>
      </c>
      <c r="H47" s="142" t="s">
        <v>202</v>
      </c>
      <c r="I47" s="139">
        <f>SUM(I48:I49)</f>
        <v>14110</v>
      </c>
      <c r="J47" s="139">
        <f>SUM(J48:J49)</f>
        <v>12811</v>
      </c>
      <c r="K47" s="139">
        <f>SUM(K48:K49)</f>
        <v>11765</v>
      </c>
      <c r="L47" s="140">
        <f t="shared" si="2"/>
        <v>0.833805811481219</v>
      </c>
      <c r="M47" s="140">
        <f t="shared" si="3"/>
        <v>0.9183514167512294</v>
      </c>
      <c r="N47" s="139">
        <f>SUM(N48:N49)</f>
        <v>1528</v>
      </c>
    </row>
    <row r="48" spans="1:14" ht="12.75">
      <c r="A48" s="113" t="s">
        <v>188</v>
      </c>
      <c r="B48" s="141">
        <v>13047371</v>
      </c>
      <c r="C48" s="141">
        <v>11806517</v>
      </c>
      <c r="D48" s="141">
        <f>11735741+29324-855453</f>
        <v>10909612</v>
      </c>
      <c r="E48" s="62">
        <f t="shared" si="0"/>
        <v>0.836154042067172</v>
      </c>
      <c r="F48" s="62">
        <f t="shared" si="1"/>
        <v>0.9240330573360458</v>
      </c>
      <c r="G48" s="141">
        <f>D48-'[7]Oktobris'!D48</f>
        <v>1379904</v>
      </c>
      <c r="H48" s="113" t="s">
        <v>188</v>
      </c>
      <c r="I48" s="141">
        <f aca="true" t="shared" si="16" ref="I48:K49">ROUND(B48/1000,0)</f>
        <v>13047</v>
      </c>
      <c r="J48" s="141">
        <f t="shared" si="16"/>
        <v>11807</v>
      </c>
      <c r="K48" s="141">
        <f>ROUND(D48/1000,0)</f>
        <v>10910</v>
      </c>
      <c r="L48" s="137">
        <f t="shared" si="2"/>
        <v>0.8362075572928642</v>
      </c>
      <c r="M48" s="137">
        <f t="shared" si="3"/>
        <v>0.9240281189125096</v>
      </c>
      <c r="N48" s="141">
        <f>K48-'[7]Oktobris'!K48</f>
        <v>1380</v>
      </c>
    </row>
    <row r="49" spans="1:14" ht="16.5" customHeight="1">
      <c r="A49" s="113" t="s">
        <v>189</v>
      </c>
      <c r="B49" s="141">
        <v>1062683</v>
      </c>
      <c r="C49" s="141">
        <v>1004101</v>
      </c>
      <c r="D49" s="141">
        <f>332812+20000+15079+487562</f>
        <v>855453</v>
      </c>
      <c r="E49" s="62">
        <f t="shared" si="0"/>
        <v>0.8049935869869002</v>
      </c>
      <c r="F49" s="62">
        <f t="shared" si="1"/>
        <v>0.8519591156666511</v>
      </c>
      <c r="G49" s="141">
        <f>D49-'[7]Oktobris'!D49</f>
        <v>148521</v>
      </c>
      <c r="H49" s="113" t="s">
        <v>189</v>
      </c>
      <c r="I49" s="141">
        <f t="shared" si="16"/>
        <v>1063</v>
      </c>
      <c r="J49" s="141">
        <f t="shared" si="16"/>
        <v>1004</v>
      </c>
      <c r="K49" s="141">
        <f t="shared" si="16"/>
        <v>855</v>
      </c>
      <c r="L49" s="137">
        <f t="shared" si="2"/>
        <v>0.8043273753527752</v>
      </c>
      <c r="M49" s="137">
        <f t="shared" si="3"/>
        <v>0.851593625498008</v>
      </c>
      <c r="N49" s="141">
        <f>K49-'[7]Oktobris'!K49</f>
        <v>148</v>
      </c>
    </row>
    <row r="50" spans="1:14" ht="69.75" customHeight="1" hidden="1">
      <c r="A50" s="4" t="s">
        <v>17</v>
      </c>
      <c r="B50" s="4" t="s">
        <v>62</v>
      </c>
      <c r="C50" s="4" t="s">
        <v>184</v>
      </c>
      <c r="D50" s="4" t="s">
        <v>63</v>
      </c>
      <c r="E50" s="4" t="s">
        <v>185</v>
      </c>
      <c r="F50" s="4" t="s">
        <v>186</v>
      </c>
      <c r="G50" s="4" t="s">
        <v>203</v>
      </c>
      <c r="H50" s="4" t="s">
        <v>17</v>
      </c>
      <c r="I50" s="4" t="s">
        <v>62</v>
      </c>
      <c r="J50" s="4" t="s">
        <v>184</v>
      </c>
      <c r="K50" s="4" t="s">
        <v>63</v>
      </c>
      <c r="L50" s="4" t="s">
        <v>185</v>
      </c>
      <c r="M50" s="4" t="s">
        <v>186</v>
      </c>
      <c r="N50" s="4" t="s">
        <v>203</v>
      </c>
    </row>
    <row r="51" spans="1:14" ht="12.75" hidden="1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132">
        <v>7</v>
      </c>
      <c r="H51" s="4">
        <v>1</v>
      </c>
      <c r="I51" s="4">
        <v>2</v>
      </c>
      <c r="J51" s="4">
        <v>3</v>
      </c>
      <c r="K51" s="4">
        <v>4</v>
      </c>
      <c r="L51" s="4">
        <v>5</v>
      </c>
      <c r="M51" s="4">
        <v>6</v>
      </c>
      <c r="N51" s="132">
        <v>7</v>
      </c>
    </row>
    <row r="52" spans="1:14" ht="29.25" customHeight="1">
      <c r="A52" s="74" t="s">
        <v>204</v>
      </c>
      <c r="B52" s="138">
        <f>SUM(B53:B54)</f>
        <v>8075422</v>
      </c>
      <c r="C52" s="138">
        <f>SUM(C53:C54)</f>
        <v>7563658</v>
      </c>
      <c r="D52" s="138">
        <f>SUM(D53:D54)</f>
        <v>6995793</v>
      </c>
      <c r="E52" s="54">
        <f t="shared" si="0"/>
        <v>0.8663068010563411</v>
      </c>
      <c r="F52" s="54">
        <f t="shared" si="1"/>
        <v>0.9249219094781916</v>
      </c>
      <c r="G52" s="138">
        <f>SUM(G53:G54)</f>
        <v>698143</v>
      </c>
      <c r="H52" s="74" t="s">
        <v>204</v>
      </c>
      <c r="I52" s="139">
        <f>SUM(I53:I54)</f>
        <v>8075</v>
      </c>
      <c r="J52" s="139">
        <f>SUM(J53:J54)</f>
        <v>7563</v>
      </c>
      <c r="K52" s="139">
        <f>SUM(K53:K54)</f>
        <v>6996</v>
      </c>
      <c r="L52" s="140">
        <f aca="true" t="shared" si="17" ref="L52:L95">IF(ISERROR(ROUND(K52,0)/ROUND(I52,0))," ",(ROUND(K52,)/ROUND(I52,)))</f>
        <v>0.8663777089783282</v>
      </c>
      <c r="M52" s="140">
        <f aca="true" t="shared" si="18" ref="M52:M95">IF(ISERROR(ROUND(K52,0)/ROUND(J52,0))," ",(ROUND(K52,)/ROUND(J52,)))</f>
        <v>0.925029750099167</v>
      </c>
      <c r="N52" s="139">
        <f>SUM(N53:N54)</f>
        <v>699</v>
      </c>
    </row>
    <row r="53" spans="1:14" ht="12.75">
      <c r="A53" s="113" t="s">
        <v>188</v>
      </c>
      <c r="B53" s="141">
        <v>6838251</v>
      </c>
      <c r="C53" s="141">
        <v>6331487</v>
      </c>
      <c r="D53" s="141">
        <f>6995793-D54</f>
        <v>5875837</v>
      </c>
      <c r="E53" s="54">
        <f t="shared" si="0"/>
        <v>0.8592602114195574</v>
      </c>
      <c r="F53" s="54">
        <f t="shared" si="1"/>
        <v>0.9280342832576297</v>
      </c>
      <c r="G53" s="141">
        <f>D53-'[7]Oktobris'!D53</f>
        <v>669639</v>
      </c>
      <c r="H53" s="113" t="s">
        <v>188</v>
      </c>
      <c r="I53" s="141">
        <f aca="true" t="shared" si="19" ref="I53:K54">ROUND(B53/1000,0)</f>
        <v>6838</v>
      </c>
      <c r="J53" s="141">
        <f>ROUND(C53/1000,0)</f>
        <v>6331</v>
      </c>
      <c r="K53" s="141">
        <f>ROUND(D53/1000,0)</f>
        <v>5876</v>
      </c>
      <c r="L53" s="137">
        <f t="shared" si="17"/>
        <v>0.8593155893536122</v>
      </c>
      <c r="M53" s="137">
        <f t="shared" si="18"/>
        <v>0.9281314168377823</v>
      </c>
      <c r="N53" s="141">
        <f>K53-'[7]Oktobris'!K53</f>
        <v>670</v>
      </c>
    </row>
    <row r="54" spans="1:14" ht="12.75" customHeight="1">
      <c r="A54" s="143" t="s">
        <v>189</v>
      </c>
      <c r="B54" s="141">
        <v>1237171</v>
      </c>
      <c r="C54" s="141">
        <v>1232171</v>
      </c>
      <c r="D54" s="141">
        <f>173671+946285</f>
        <v>1119956</v>
      </c>
      <c r="E54" s="54">
        <f t="shared" si="0"/>
        <v>0.9052556194737833</v>
      </c>
      <c r="F54" s="54">
        <f t="shared" si="1"/>
        <v>0.9089290366353372</v>
      </c>
      <c r="G54" s="141">
        <f>D54-'[7]Oktobris'!D54</f>
        <v>28504</v>
      </c>
      <c r="H54" s="143" t="s">
        <v>189</v>
      </c>
      <c r="I54" s="141">
        <f t="shared" si="19"/>
        <v>1237</v>
      </c>
      <c r="J54" s="141">
        <f t="shared" si="19"/>
        <v>1232</v>
      </c>
      <c r="K54" s="141">
        <f t="shared" si="19"/>
        <v>1120</v>
      </c>
      <c r="L54" s="137">
        <f t="shared" si="17"/>
        <v>0.9054163298302345</v>
      </c>
      <c r="M54" s="137">
        <f t="shared" si="18"/>
        <v>0.9090909090909091</v>
      </c>
      <c r="N54" s="141">
        <f>K54-'[7]Oktobris'!K54</f>
        <v>29</v>
      </c>
    </row>
    <row r="55" spans="1:14" ht="13.5" customHeight="1">
      <c r="A55" s="142" t="s">
        <v>205</v>
      </c>
      <c r="B55" s="138">
        <f>SUM(B56:B57)</f>
        <v>16805497</v>
      </c>
      <c r="C55" s="138">
        <f>SUM(C56:C57)</f>
        <v>15467868</v>
      </c>
      <c r="D55" s="138">
        <f>SUM(D56:D57)</f>
        <v>14876411</v>
      </c>
      <c r="E55" s="54">
        <f t="shared" si="0"/>
        <v>0.8852110116112603</v>
      </c>
      <c r="F55" s="54">
        <f t="shared" si="1"/>
        <v>0.961762215710659</v>
      </c>
      <c r="G55" s="138">
        <f>SUM(G56:G57)</f>
        <v>1452843</v>
      </c>
      <c r="H55" s="142" t="s">
        <v>205</v>
      </c>
      <c r="I55" s="139">
        <f>SUM(I56:I57)</f>
        <v>16806</v>
      </c>
      <c r="J55" s="139">
        <f>SUM(J56:J57)</f>
        <v>15467</v>
      </c>
      <c r="K55" s="139">
        <f>SUM(K56:K57)</f>
        <v>14876</v>
      </c>
      <c r="L55" s="140">
        <f t="shared" si="17"/>
        <v>0.8851600618826609</v>
      </c>
      <c r="M55" s="140">
        <f t="shared" si="18"/>
        <v>0.9617896166030905</v>
      </c>
      <c r="N55" s="139">
        <f>SUM(N56:N57)</f>
        <v>1453</v>
      </c>
    </row>
    <row r="56" spans="1:14" ht="12.75">
      <c r="A56" s="113" t="s">
        <v>188</v>
      </c>
      <c r="B56" s="141">
        <v>14257768</v>
      </c>
      <c r="C56" s="141">
        <v>13069394</v>
      </c>
      <c r="D56" s="141">
        <f>14876224+188-2286945</f>
        <v>12589467</v>
      </c>
      <c r="E56" s="62">
        <f t="shared" si="0"/>
        <v>0.8829900304171031</v>
      </c>
      <c r="F56" s="62">
        <f t="shared" si="1"/>
        <v>0.9632785575214887</v>
      </c>
      <c r="G56" s="141">
        <f>D56-'[7]Oktobris'!D56</f>
        <v>1150138</v>
      </c>
      <c r="H56" s="113" t="s">
        <v>188</v>
      </c>
      <c r="I56" s="141">
        <f aca="true" t="shared" si="20" ref="I56:K57">ROUND(B56/1000,0)</f>
        <v>14258</v>
      </c>
      <c r="J56" s="141">
        <f>ROUND(C56/1000,0)</f>
        <v>13069</v>
      </c>
      <c r="K56" s="141">
        <f t="shared" si="20"/>
        <v>12589</v>
      </c>
      <c r="L56" s="137">
        <f t="shared" si="17"/>
        <v>0.8829429092439333</v>
      </c>
      <c r="M56" s="137">
        <f t="shared" si="18"/>
        <v>0.963271864718035</v>
      </c>
      <c r="N56" s="141">
        <f>K56-'[7]Oktobris'!K56</f>
        <v>1150</v>
      </c>
    </row>
    <row r="57" spans="1:14" ht="12.75">
      <c r="A57" s="113" t="s">
        <v>189</v>
      </c>
      <c r="B57" s="141">
        <v>2547729</v>
      </c>
      <c r="C57" s="141">
        <v>2398474</v>
      </c>
      <c r="D57" s="141">
        <f>188426+39315+486488+68000+1504715</f>
        <v>2286944</v>
      </c>
      <c r="E57" s="62">
        <f t="shared" si="0"/>
        <v>0.897640212126172</v>
      </c>
      <c r="F57" s="62">
        <f t="shared" si="1"/>
        <v>0.9534996001624366</v>
      </c>
      <c r="G57" s="141">
        <f>D57-'[7]Oktobris'!D57</f>
        <v>302705</v>
      </c>
      <c r="H57" s="113" t="s">
        <v>189</v>
      </c>
      <c r="I57" s="141">
        <f t="shared" si="20"/>
        <v>2548</v>
      </c>
      <c r="J57" s="141">
        <f>ROUND(C57/1000,0)</f>
        <v>2398</v>
      </c>
      <c r="K57" s="141">
        <f>ROUND(D57/1000,0)</f>
        <v>2287</v>
      </c>
      <c r="L57" s="137">
        <f t="shared" si="17"/>
        <v>0.8975667189952904</v>
      </c>
      <c r="M57" s="137">
        <f t="shared" si="18"/>
        <v>0.9537114261884904</v>
      </c>
      <c r="N57" s="141">
        <f>K57-'[7]Oktobris'!K57</f>
        <v>303</v>
      </c>
    </row>
    <row r="58" spans="1:14" ht="12.75">
      <c r="A58" s="142" t="s">
        <v>206</v>
      </c>
      <c r="B58" s="138">
        <f>SUM(B59:B60)</f>
        <v>13854081</v>
      </c>
      <c r="C58" s="138">
        <f>SUM(C59:C60)</f>
        <v>12981504</v>
      </c>
      <c r="D58" s="138">
        <f>SUM(D59:D60)</f>
        <v>11978045</v>
      </c>
      <c r="E58" s="54">
        <f t="shared" si="0"/>
        <v>0.8645860378613348</v>
      </c>
      <c r="F58" s="54">
        <f t="shared" si="1"/>
        <v>0.9227008673263128</v>
      </c>
      <c r="G58" s="138">
        <f>SUM(G59:G60)</f>
        <v>1245770</v>
      </c>
      <c r="H58" s="142" t="s">
        <v>206</v>
      </c>
      <c r="I58" s="139">
        <f>SUM(I59:I60)</f>
        <v>13854</v>
      </c>
      <c r="J58" s="139">
        <f>SUM(J59:J60)</f>
        <v>12982</v>
      </c>
      <c r="K58" s="139">
        <f>SUM(K59:K60)</f>
        <v>11978</v>
      </c>
      <c r="L58" s="140">
        <f t="shared" si="17"/>
        <v>0.8645878446658005</v>
      </c>
      <c r="M58" s="140">
        <f t="shared" si="18"/>
        <v>0.9226621475889694</v>
      </c>
      <c r="N58" s="139">
        <f>SUM(N59:N60)</f>
        <v>1246</v>
      </c>
    </row>
    <row r="59" spans="1:14" ht="12.75">
      <c r="A59" s="113" t="s">
        <v>188</v>
      </c>
      <c r="B59" s="141">
        <v>12328283</v>
      </c>
      <c r="C59" s="141">
        <v>11455706</v>
      </c>
      <c r="D59" s="141">
        <f>11978045-D60</f>
        <v>10670416</v>
      </c>
      <c r="E59" s="62">
        <f t="shared" si="0"/>
        <v>0.8655232849537928</v>
      </c>
      <c r="F59" s="62">
        <f t="shared" si="1"/>
        <v>0.9314498818318138</v>
      </c>
      <c r="G59" s="141">
        <f>D59-'[7]Oktobris'!D59</f>
        <v>1112619</v>
      </c>
      <c r="H59" s="113" t="s">
        <v>188</v>
      </c>
      <c r="I59" s="141">
        <f aca="true" t="shared" si="21" ref="I59:K60">ROUND(B59/1000,0)</f>
        <v>12328</v>
      </c>
      <c r="J59" s="141">
        <f t="shared" si="21"/>
        <v>11456</v>
      </c>
      <c r="K59" s="141">
        <f t="shared" si="21"/>
        <v>10670</v>
      </c>
      <c r="L59" s="137">
        <f t="shared" si="17"/>
        <v>0.8655094094743673</v>
      </c>
      <c r="M59" s="137">
        <f t="shared" si="18"/>
        <v>0.9313896648044693</v>
      </c>
      <c r="N59" s="141">
        <f>K59-'[7]Oktobris'!K59</f>
        <v>1112</v>
      </c>
    </row>
    <row r="60" spans="1:14" ht="12.75">
      <c r="A60" s="113" t="s">
        <v>189</v>
      </c>
      <c r="B60" s="141">
        <v>1525798</v>
      </c>
      <c r="C60" s="141">
        <v>1525798</v>
      </c>
      <c r="D60" s="141">
        <f>792238+45391+470000</f>
        <v>1307629</v>
      </c>
      <c r="E60" s="62">
        <f t="shared" si="0"/>
        <v>0.8570131826100178</v>
      </c>
      <c r="F60" s="62">
        <f t="shared" si="1"/>
        <v>0.8570131826100178</v>
      </c>
      <c r="G60" s="141">
        <f>D60-'[7]Oktobris'!D60</f>
        <v>133151</v>
      </c>
      <c r="H60" s="113" t="s">
        <v>189</v>
      </c>
      <c r="I60" s="141">
        <f t="shared" si="21"/>
        <v>1526</v>
      </c>
      <c r="J60" s="141">
        <f t="shared" si="21"/>
        <v>1526</v>
      </c>
      <c r="K60" s="141">
        <f t="shared" si="21"/>
        <v>1308</v>
      </c>
      <c r="L60" s="137">
        <f t="shared" si="17"/>
        <v>0.8571428571428571</v>
      </c>
      <c r="M60" s="137">
        <f t="shared" si="18"/>
        <v>0.8571428571428571</v>
      </c>
      <c r="N60" s="141">
        <f>K60-'[7]Oktobris'!K60</f>
        <v>134</v>
      </c>
    </row>
    <row r="61" spans="1:14" ht="12.75">
      <c r="A61" s="142" t="s">
        <v>207</v>
      </c>
      <c r="B61" s="138">
        <f>SUM(B62:B63)</f>
        <v>1254628</v>
      </c>
      <c r="C61" s="138">
        <f>SUM(C62:C63)</f>
        <v>1149678</v>
      </c>
      <c r="D61" s="138">
        <f>SUM(D62:D63)</f>
        <v>1040518</v>
      </c>
      <c r="E61" s="54">
        <f t="shared" si="0"/>
        <v>0.8293438373764973</v>
      </c>
      <c r="F61" s="54">
        <f t="shared" si="1"/>
        <v>0.90505167533866</v>
      </c>
      <c r="G61" s="138">
        <f>SUM(G62:G63)</f>
        <v>94730</v>
      </c>
      <c r="H61" s="142" t="s">
        <v>207</v>
      </c>
      <c r="I61" s="139">
        <f>SUM(I62:I63)</f>
        <v>1255</v>
      </c>
      <c r="J61" s="139">
        <f>SUM(J62:J63)</f>
        <v>1150</v>
      </c>
      <c r="K61" s="139">
        <f>SUM(K62:K63)</f>
        <v>1041</v>
      </c>
      <c r="L61" s="140">
        <f t="shared" si="17"/>
        <v>0.8294820717131474</v>
      </c>
      <c r="M61" s="140">
        <f t="shared" si="18"/>
        <v>0.9052173913043479</v>
      </c>
      <c r="N61" s="139">
        <f>SUM(N62:N63)</f>
        <v>95</v>
      </c>
    </row>
    <row r="62" spans="1:14" ht="12.75">
      <c r="A62" s="113" t="s">
        <v>188</v>
      </c>
      <c r="B62" s="141">
        <v>1212470</v>
      </c>
      <c r="C62" s="141">
        <v>1107520</v>
      </c>
      <c r="D62" s="141">
        <f>1040518-D63</f>
        <v>999648</v>
      </c>
      <c r="E62" s="62">
        <f t="shared" si="0"/>
        <v>0.8244723580789628</v>
      </c>
      <c r="F62" s="62">
        <f t="shared" si="1"/>
        <v>0.9026004045073678</v>
      </c>
      <c r="G62" s="141">
        <f>D62-'[7]Oktobris'!D62</f>
        <v>92833</v>
      </c>
      <c r="H62" s="113" t="s">
        <v>188</v>
      </c>
      <c r="I62" s="141">
        <f>ROUND(B62/1000,0)+1</f>
        <v>1213</v>
      </c>
      <c r="J62" s="141">
        <f>ROUND(C62/1000,0)</f>
        <v>1108</v>
      </c>
      <c r="K62" s="141">
        <f aca="true" t="shared" si="22" ref="I62:K63">ROUND(D62/1000,0)</f>
        <v>1000</v>
      </c>
      <c r="L62" s="137">
        <f t="shared" si="17"/>
        <v>0.8244023083264633</v>
      </c>
      <c r="M62" s="137">
        <f t="shared" si="18"/>
        <v>0.9025270758122743</v>
      </c>
      <c r="N62" s="141">
        <f>K62-'[7]Oktobris'!K62</f>
        <v>93</v>
      </c>
    </row>
    <row r="63" spans="1:14" ht="12.75">
      <c r="A63" s="113" t="s">
        <v>189</v>
      </c>
      <c r="B63" s="141">
        <v>42158</v>
      </c>
      <c r="C63" s="141">
        <v>42158</v>
      </c>
      <c r="D63" s="141">
        <v>40870</v>
      </c>
      <c r="E63" s="62">
        <f t="shared" si="0"/>
        <v>0.9694482660467764</v>
      </c>
      <c r="F63" s="62">
        <f t="shared" si="1"/>
        <v>0.9694482660467764</v>
      </c>
      <c r="G63" s="141">
        <f>D63-'[7]Oktobris'!D63</f>
        <v>1897</v>
      </c>
      <c r="H63" s="113" t="s">
        <v>189</v>
      </c>
      <c r="I63" s="141">
        <f t="shared" si="22"/>
        <v>42</v>
      </c>
      <c r="J63" s="141">
        <f t="shared" si="22"/>
        <v>42</v>
      </c>
      <c r="K63" s="141">
        <f t="shared" si="22"/>
        <v>41</v>
      </c>
      <c r="L63" s="137">
        <f t="shared" si="17"/>
        <v>0.9761904761904762</v>
      </c>
      <c r="M63" s="137">
        <f t="shared" si="18"/>
        <v>0.9761904761904762</v>
      </c>
      <c r="N63" s="141">
        <f>K63-'[7]Oktobris'!K63</f>
        <v>2</v>
      </c>
    </row>
    <row r="64" spans="1:14" ht="12.75">
      <c r="A64" s="142" t="s">
        <v>208</v>
      </c>
      <c r="B64" s="138">
        <f>SUM(B65:B66)</f>
        <v>741295</v>
      </c>
      <c r="C64" s="138">
        <f>SUM(C65:C66)</f>
        <v>676999</v>
      </c>
      <c r="D64" s="138">
        <f>SUM(D65:D66)</f>
        <v>676944</v>
      </c>
      <c r="E64" s="54">
        <f t="shared" si="0"/>
        <v>0.9131911047558664</v>
      </c>
      <c r="F64" s="54">
        <f t="shared" si="1"/>
        <v>0.9999187591119042</v>
      </c>
      <c r="G64" s="138">
        <f>SUM(G65:G66)</f>
        <v>68697</v>
      </c>
      <c r="H64" s="142" t="s">
        <v>208</v>
      </c>
      <c r="I64" s="139">
        <f>SUM(I65:I66)</f>
        <v>741</v>
      </c>
      <c r="J64" s="139">
        <f>SUM(J65:J66)</f>
        <v>677</v>
      </c>
      <c r="K64" s="139">
        <f>SUM(K65:K66)</f>
        <v>677</v>
      </c>
      <c r="L64" s="140">
        <f t="shared" si="17"/>
        <v>0.9136302294197031</v>
      </c>
      <c r="M64" s="140">
        <f t="shared" si="18"/>
        <v>1</v>
      </c>
      <c r="N64" s="139">
        <f>SUM(N65:N66)</f>
        <v>69</v>
      </c>
    </row>
    <row r="65" spans="1:14" ht="12.75">
      <c r="A65" s="113" t="s">
        <v>188</v>
      </c>
      <c r="B65" s="141">
        <v>737095</v>
      </c>
      <c r="C65" s="141">
        <v>672799</v>
      </c>
      <c r="D65" s="141">
        <f>676944-D66</f>
        <v>672746</v>
      </c>
      <c r="E65" s="62">
        <f t="shared" si="0"/>
        <v>0.9126991771752624</v>
      </c>
      <c r="F65" s="62">
        <f t="shared" si="1"/>
        <v>0.9999212246153755</v>
      </c>
      <c r="G65" s="141">
        <f>D65-'[7]Oktobris'!D65</f>
        <v>68697</v>
      </c>
      <c r="H65" s="113" t="s">
        <v>188</v>
      </c>
      <c r="I65" s="141">
        <f aca="true" t="shared" si="23" ref="I65:K66">ROUND(B65/1000,0)</f>
        <v>737</v>
      </c>
      <c r="J65" s="141">
        <f t="shared" si="23"/>
        <v>673</v>
      </c>
      <c r="K65" s="141">
        <f t="shared" si="23"/>
        <v>673</v>
      </c>
      <c r="L65" s="137">
        <f t="shared" si="17"/>
        <v>0.9131614654002713</v>
      </c>
      <c r="M65" s="137">
        <f t="shared" si="18"/>
        <v>1</v>
      </c>
      <c r="N65" s="141">
        <f>K65-'[7]Oktobris'!K65</f>
        <v>69</v>
      </c>
    </row>
    <row r="66" spans="1:14" ht="12.75">
      <c r="A66" s="113" t="s">
        <v>189</v>
      </c>
      <c r="B66" s="141">
        <v>4200</v>
      </c>
      <c r="C66" s="141">
        <v>4200</v>
      </c>
      <c r="D66" s="141">
        <v>4198</v>
      </c>
      <c r="E66" s="62">
        <f t="shared" si="0"/>
        <v>0.9995238095238095</v>
      </c>
      <c r="F66" s="62">
        <f t="shared" si="1"/>
        <v>0.9995238095238095</v>
      </c>
      <c r="G66" s="141">
        <f>D66-'[7]Oktobris'!D66</f>
        <v>0</v>
      </c>
      <c r="H66" s="113" t="s">
        <v>189</v>
      </c>
      <c r="I66" s="141">
        <f t="shared" si="23"/>
        <v>4</v>
      </c>
      <c r="J66" s="141">
        <f t="shared" si="23"/>
        <v>4</v>
      </c>
      <c r="K66" s="141">
        <f t="shared" si="23"/>
        <v>4</v>
      </c>
      <c r="L66" s="137">
        <f t="shared" si="17"/>
        <v>1</v>
      </c>
      <c r="M66" s="137">
        <f t="shared" si="18"/>
        <v>1</v>
      </c>
      <c r="N66" s="141">
        <f>K66-'[7]Oktobris'!K66</f>
        <v>0</v>
      </c>
    </row>
    <row r="67" spans="1:14" ht="12.75">
      <c r="A67" s="142" t="s">
        <v>209</v>
      </c>
      <c r="B67" s="138">
        <f>SUM(B68:B69)</f>
        <v>348641</v>
      </c>
      <c r="C67" s="138">
        <f>SUM(C68:C69)</f>
        <v>322241</v>
      </c>
      <c r="D67" s="138">
        <f>SUM(D68:D69)</f>
        <v>311696</v>
      </c>
      <c r="E67" s="54">
        <f t="shared" si="0"/>
        <v>0.8940313961926452</v>
      </c>
      <c r="F67" s="54">
        <f t="shared" si="1"/>
        <v>0.9672760449477255</v>
      </c>
      <c r="G67" s="138">
        <f>SUM(G68:G69)</f>
        <v>22551</v>
      </c>
      <c r="H67" s="142" t="s">
        <v>209</v>
      </c>
      <c r="I67" s="139">
        <f>SUM(I68:I69)</f>
        <v>349</v>
      </c>
      <c r="J67" s="139">
        <f>SUM(J68:J69)</f>
        <v>323</v>
      </c>
      <c r="K67" s="139">
        <f>SUM(K68:K69)</f>
        <v>311</v>
      </c>
      <c r="L67" s="140">
        <f t="shared" si="17"/>
        <v>0.8911174785100286</v>
      </c>
      <c r="M67" s="140">
        <f t="shared" si="18"/>
        <v>0.9628482972136223</v>
      </c>
      <c r="N67" s="139">
        <f>SUM(N68:N69)</f>
        <v>22</v>
      </c>
    </row>
    <row r="68" spans="1:14" ht="12.75">
      <c r="A68" s="113" t="s">
        <v>188</v>
      </c>
      <c r="B68" s="141">
        <v>305141</v>
      </c>
      <c r="C68" s="141">
        <v>278741</v>
      </c>
      <c r="D68" s="141">
        <f>311696-D69</f>
        <v>268281</v>
      </c>
      <c r="E68" s="62">
        <f t="shared" si="0"/>
        <v>0.8792033846647943</v>
      </c>
      <c r="F68" s="62">
        <f t="shared" si="1"/>
        <v>0.9624741247251032</v>
      </c>
      <c r="G68" s="141">
        <f>D68-'[7]Oktobris'!D68</f>
        <v>22326</v>
      </c>
      <c r="H68" s="113" t="s">
        <v>188</v>
      </c>
      <c r="I68" s="141">
        <f aca="true" t="shared" si="24" ref="I68:K69">ROUND(B68/1000,0)</f>
        <v>305</v>
      </c>
      <c r="J68" s="141">
        <f t="shared" si="24"/>
        <v>279</v>
      </c>
      <c r="K68" s="141">
        <f t="shared" si="24"/>
        <v>268</v>
      </c>
      <c r="L68" s="137">
        <f t="shared" si="17"/>
        <v>0.8786885245901639</v>
      </c>
      <c r="M68" s="137">
        <f t="shared" si="18"/>
        <v>0.9605734767025089</v>
      </c>
      <c r="N68" s="141">
        <f>K68-'[7]Oktobris'!K68</f>
        <v>22</v>
      </c>
    </row>
    <row r="69" spans="1:14" ht="12.75">
      <c r="A69" s="113" t="s">
        <v>189</v>
      </c>
      <c r="B69" s="141">
        <v>43500</v>
      </c>
      <c r="C69" s="141">
        <v>43500</v>
      </c>
      <c r="D69" s="141">
        <f>8825+34590</f>
        <v>43415</v>
      </c>
      <c r="E69" s="62">
        <f t="shared" si="0"/>
        <v>0.9980459770114942</v>
      </c>
      <c r="F69" s="62">
        <f t="shared" si="1"/>
        <v>0.9980459770114942</v>
      </c>
      <c r="G69" s="141">
        <f>D69-'[7]Oktobris'!D69</f>
        <v>225</v>
      </c>
      <c r="H69" s="113" t="s">
        <v>189</v>
      </c>
      <c r="I69" s="141">
        <f t="shared" si="24"/>
        <v>44</v>
      </c>
      <c r="J69" s="141">
        <f>ROUND(C69/1000,0)</f>
        <v>44</v>
      </c>
      <c r="K69" s="141">
        <f t="shared" si="24"/>
        <v>43</v>
      </c>
      <c r="L69" s="137">
        <f t="shared" si="17"/>
        <v>0.9772727272727273</v>
      </c>
      <c r="M69" s="137">
        <f t="shared" si="18"/>
        <v>0.9772727272727273</v>
      </c>
      <c r="N69" s="141">
        <f>K69-'[7]Oktobris'!K69</f>
        <v>0</v>
      </c>
    </row>
    <row r="70" spans="1:14" ht="12.75">
      <c r="A70" s="142" t="s">
        <v>210</v>
      </c>
      <c r="B70" s="138">
        <f>SUM(B71:B72)</f>
        <v>6453639</v>
      </c>
      <c r="C70" s="138">
        <f>SUM(C71:C72)</f>
        <v>5967542</v>
      </c>
      <c r="D70" s="138">
        <f>SUM(D71:D72)</f>
        <v>5920157</v>
      </c>
      <c r="E70" s="54">
        <f t="shared" si="0"/>
        <v>0.9173362501373257</v>
      </c>
      <c r="F70" s="54">
        <f t="shared" si="1"/>
        <v>0.9920595447841004</v>
      </c>
      <c r="G70" s="138">
        <f>SUM(G71:G72)</f>
        <v>501256</v>
      </c>
      <c r="H70" s="142" t="s">
        <v>210</v>
      </c>
      <c r="I70" s="139">
        <f>SUM(I71:I72)</f>
        <v>6453</v>
      </c>
      <c r="J70" s="139">
        <f>SUM(J71:J72)</f>
        <v>5967</v>
      </c>
      <c r="K70" s="139">
        <f>SUM(K71:K72)</f>
        <v>5920</v>
      </c>
      <c r="L70" s="140">
        <f t="shared" si="17"/>
        <v>0.9174027584069425</v>
      </c>
      <c r="M70" s="140">
        <f t="shared" si="18"/>
        <v>0.9921233450645215</v>
      </c>
      <c r="N70" s="139">
        <f>SUM(N71:N72)</f>
        <v>501</v>
      </c>
    </row>
    <row r="71" spans="1:14" ht="12.75">
      <c r="A71" s="113" t="s">
        <v>188</v>
      </c>
      <c r="B71" s="141">
        <v>5920337</v>
      </c>
      <c r="C71" s="141">
        <v>5457482</v>
      </c>
      <c r="D71" s="141">
        <f>5920157-D72</f>
        <v>5450410</v>
      </c>
      <c r="E71" s="62">
        <f t="shared" si="0"/>
        <v>0.9206249576671057</v>
      </c>
      <c r="F71" s="62">
        <f t="shared" si="1"/>
        <v>0.9987041643014123</v>
      </c>
      <c r="G71" s="141">
        <f>D71-'[7]Oktobris'!D71</f>
        <v>475752</v>
      </c>
      <c r="H71" s="113" t="s">
        <v>188</v>
      </c>
      <c r="I71" s="141">
        <f aca="true" t="shared" si="25" ref="I71:K72">ROUND(B71/1000,0)</f>
        <v>5920</v>
      </c>
      <c r="J71" s="141">
        <f t="shared" si="25"/>
        <v>5457</v>
      </c>
      <c r="K71" s="141">
        <f t="shared" si="25"/>
        <v>5450</v>
      </c>
      <c r="L71" s="137">
        <f t="shared" si="17"/>
        <v>0.9206081081081081</v>
      </c>
      <c r="M71" s="137">
        <f t="shared" si="18"/>
        <v>0.9987172439069085</v>
      </c>
      <c r="N71" s="141">
        <f>K71-'[7]Oktobris'!K71</f>
        <v>475</v>
      </c>
    </row>
    <row r="72" spans="1:14" ht="12.75">
      <c r="A72" s="113" t="s">
        <v>189</v>
      </c>
      <c r="B72" s="141">
        <v>533302</v>
      </c>
      <c r="C72" s="141">
        <v>510060</v>
      </c>
      <c r="D72" s="141">
        <f>154747+315000</f>
        <v>469747</v>
      </c>
      <c r="E72" s="62">
        <f t="shared" si="0"/>
        <v>0.8808273736081995</v>
      </c>
      <c r="F72" s="62">
        <f t="shared" si="1"/>
        <v>0.9209642002901619</v>
      </c>
      <c r="G72" s="141">
        <f>D72-'[7]Oktobris'!D72</f>
        <v>25504</v>
      </c>
      <c r="H72" s="113" t="s">
        <v>189</v>
      </c>
      <c r="I72" s="141">
        <f t="shared" si="25"/>
        <v>533</v>
      </c>
      <c r="J72" s="141">
        <f t="shared" si="25"/>
        <v>510</v>
      </c>
      <c r="K72" s="141">
        <f t="shared" si="25"/>
        <v>470</v>
      </c>
      <c r="L72" s="137">
        <f t="shared" si="17"/>
        <v>0.8818011257035647</v>
      </c>
      <c r="M72" s="137">
        <f t="shared" si="18"/>
        <v>0.9215686274509803</v>
      </c>
      <c r="N72" s="141">
        <f>K72-'[7]Oktobris'!K72</f>
        <v>26</v>
      </c>
    </row>
    <row r="73" spans="1:14" ht="12.75" customHeight="1">
      <c r="A73" s="144" t="s">
        <v>211</v>
      </c>
      <c r="B73" s="138">
        <f>SUM(B74:B75)</f>
        <v>898295</v>
      </c>
      <c r="C73" s="138">
        <f>SUM(C74:C75)</f>
        <v>892380</v>
      </c>
      <c r="D73" s="138">
        <f>SUM(D74:D75)</f>
        <v>793482</v>
      </c>
      <c r="E73" s="54">
        <f aca="true" t="shared" si="26" ref="E73:E95">IF(ISERROR(D73/B73)," ",(D73/B73))</f>
        <v>0.8833200674611347</v>
      </c>
      <c r="F73" s="54">
        <f aca="true" t="shared" si="27" ref="F73:F90">IF(ISERROR(D73/C73)," ",(D73/C73))</f>
        <v>0.8891750151280845</v>
      </c>
      <c r="G73" s="138">
        <f>SUM(G74:G75)</f>
        <v>732998</v>
      </c>
      <c r="H73" s="144" t="s">
        <v>211</v>
      </c>
      <c r="I73" s="139">
        <f>SUM(I74:I75)</f>
        <v>899</v>
      </c>
      <c r="J73" s="139">
        <f>SUM(J74:J75)</f>
        <v>893</v>
      </c>
      <c r="K73" s="139">
        <f>SUM(K74:K75)</f>
        <v>794</v>
      </c>
      <c r="L73" s="140">
        <f t="shared" si="17"/>
        <v>0.8832035595105673</v>
      </c>
      <c r="M73" s="140">
        <f t="shared" si="18"/>
        <v>0.8891377379619261</v>
      </c>
      <c r="N73" s="139">
        <f>SUM(N74:N75)</f>
        <v>734</v>
      </c>
    </row>
    <row r="74" spans="1:14" ht="12.75">
      <c r="A74" s="113" t="s">
        <v>188</v>
      </c>
      <c r="B74" s="141">
        <v>895795</v>
      </c>
      <c r="C74" s="141">
        <v>889880</v>
      </c>
      <c r="D74" s="141">
        <f>793482-D75</f>
        <v>790691</v>
      </c>
      <c r="E74" s="62">
        <f t="shared" si="26"/>
        <v>0.8826695840008038</v>
      </c>
      <c r="F74" s="62">
        <f t="shared" si="27"/>
        <v>0.88853665662786</v>
      </c>
      <c r="G74" s="141">
        <f>D74-'[7]Oktobris'!D74</f>
        <v>732619</v>
      </c>
      <c r="H74" s="113" t="s">
        <v>188</v>
      </c>
      <c r="I74" s="141">
        <f aca="true" t="shared" si="28" ref="I74:K75">ROUND(B74/1000,0)</f>
        <v>896</v>
      </c>
      <c r="J74" s="141">
        <f t="shared" si="28"/>
        <v>890</v>
      </c>
      <c r="K74" s="141">
        <f t="shared" si="28"/>
        <v>791</v>
      </c>
      <c r="L74" s="137">
        <f t="shared" si="17"/>
        <v>0.8828125</v>
      </c>
      <c r="M74" s="137">
        <f t="shared" si="18"/>
        <v>0.8887640449438202</v>
      </c>
      <c r="N74" s="141">
        <f>K74-'[7]Oktobris'!K74</f>
        <v>733</v>
      </c>
    </row>
    <row r="75" spans="1:14" ht="12.75">
      <c r="A75" s="113" t="s">
        <v>189</v>
      </c>
      <c r="B75" s="141">
        <v>2500</v>
      </c>
      <c r="C75" s="141">
        <v>2500</v>
      </c>
      <c r="D75" s="141">
        <v>2791</v>
      </c>
      <c r="E75" s="62">
        <f t="shared" si="26"/>
        <v>1.1164</v>
      </c>
      <c r="F75" s="62">
        <f t="shared" si="27"/>
        <v>1.1164</v>
      </c>
      <c r="G75" s="141">
        <f>D75-'[7]Oktobris'!D75</f>
        <v>379</v>
      </c>
      <c r="H75" s="113" t="s">
        <v>189</v>
      </c>
      <c r="I75" s="141">
        <f t="shared" si="28"/>
        <v>3</v>
      </c>
      <c r="J75" s="141">
        <f t="shared" si="28"/>
        <v>3</v>
      </c>
      <c r="K75" s="141">
        <f t="shared" si="28"/>
        <v>3</v>
      </c>
      <c r="L75" s="137">
        <f t="shared" si="17"/>
        <v>1</v>
      </c>
      <c r="M75" s="137">
        <f t="shared" si="18"/>
        <v>1</v>
      </c>
      <c r="N75" s="141">
        <f>K75-'[7]Oktobris'!K75</f>
        <v>1</v>
      </c>
    </row>
    <row r="76" spans="1:14" ht="13.5" customHeight="1">
      <c r="A76" s="74" t="s">
        <v>212</v>
      </c>
      <c r="B76" s="138">
        <f>SUM(B77)</f>
        <v>50953</v>
      </c>
      <c r="C76" s="138">
        <f>SUM(C77)</f>
        <v>46200</v>
      </c>
      <c r="D76" s="138">
        <f>SUM(D77)</f>
        <v>43701</v>
      </c>
      <c r="E76" s="54">
        <f t="shared" si="26"/>
        <v>0.8576727572468745</v>
      </c>
      <c r="F76" s="54">
        <f t="shared" si="27"/>
        <v>0.9459090909090909</v>
      </c>
      <c r="G76" s="138">
        <f>SUM(G77)</f>
        <v>4383</v>
      </c>
      <c r="H76" s="74" t="s">
        <v>212</v>
      </c>
      <c r="I76" s="139">
        <f>SUM(I77)</f>
        <v>51</v>
      </c>
      <c r="J76" s="139">
        <f>SUM(J77)</f>
        <v>46</v>
      </c>
      <c r="K76" s="139">
        <f>SUM(K77)</f>
        <v>44</v>
      </c>
      <c r="L76" s="140">
        <f t="shared" si="17"/>
        <v>0.8627450980392157</v>
      </c>
      <c r="M76" s="140">
        <f t="shared" si="18"/>
        <v>0.9565217391304348</v>
      </c>
      <c r="N76" s="139">
        <f>SUM(N77)</f>
        <v>5</v>
      </c>
    </row>
    <row r="77" spans="1:14" ht="12.75">
      <c r="A77" s="113" t="s">
        <v>188</v>
      </c>
      <c r="B77" s="141">
        <v>50953</v>
      </c>
      <c r="C77" s="141">
        <v>46200</v>
      </c>
      <c r="D77" s="141">
        <v>43701</v>
      </c>
      <c r="E77" s="62">
        <f t="shared" si="26"/>
        <v>0.8576727572468745</v>
      </c>
      <c r="F77" s="62">
        <f t="shared" si="27"/>
        <v>0.9459090909090909</v>
      </c>
      <c r="G77" s="141">
        <f>D77-'[7]Oktobris'!D77</f>
        <v>4383</v>
      </c>
      <c r="H77" s="113" t="s">
        <v>188</v>
      </c>
      <c r="I77" s="141">
        <f>ROUND(B77/1000,0)</f>
        <v>51</v>
      </c>
      <c r="J77" s="141">
        <f>ROUND(C77/1000,0)</f>
        <v>46</v>
      </c>
      <c r="K77" s="141">
        <f>ROUND(D77/1000,0)</f>
        <v>44</v>
      </c>
      <c r="L77" s="137">
        <f t="shared" si="17"/>
        <v>0.8627450980392157</v>
      </c>
      <c r="M77" s="137">
        <f t="shared" si="18"/>
        <v>0.9565217391304348</v>
      </c>
      <c r="N77" s="141">
        <f>K77-'[7]Oktobris'!K77</f>
        <v>5</v>
      </c>
    </row>
    <row r="78" spans="1:14" ht="27" customHeight="1">
      <c r="A78" s="74" t="s">
        <v>213</v>
      </c>
      <c r="B78" s="138">
        <f>SUM(B79)</f>
        <v>781673</v>
      </c>
      <c r="C78" s="138">
        <f>SUM(C79)</f>
        <v>715673</v>
      </c>
      <c r="D78" s="138">
        <f>SUM(D79)</f>
        <v>715673</v>
      </c>
      <c r="E78" s="54">
        <f t="shared" si="26"/>
        <v>0.9155657160986755</v>
      </c>
      <c r="F78" s="54">
        <f t="shared" si="27"/>
        <v>1</v>
      </c>
      <c r="G78" s="138">
        <f>SUM(G79)</f>
        <v>62866</v>
      </c>
      <c r="H78" s="74" t="s">
        <v>213</v>
      </c>
      <c r="I78" s="139">
        <f>SUM(I79)</f>
        <v>782</v>
      </c>
      <c r="J78" s="139">
        <f>SUM(J79)</f>
        <v>716</v>
      </c>
      <c r="K78" s="139">
        <f>SUM(K79)</f>
        <v>716</v>
      </c>
      <c r="L78" s="140">
        <f t="shared" si="17"/>
        <v>0.9156010230179028</v>
      </c>
      <c r="M78" s="140">
        <f t="shared" si="18"/>
        <v>1</v>
      </c>
      <c r="N78" s="139">
        <f>SUM(N79)</f>
        <v>63</v>
      </c>
    </row>
    <row r="79" spans="1:14" ht="12.75">
      <c r="A79" s="113" t="s">
        <v>188</v>
      </c>
      <c r="B79" s="141">
        <v>781673</v>
      </c>
      <c r="C79" s="141">
        <v>715673</v>
      </c>
      <c r="D79" s="141">
        <v>715673</v>
      </c>
      <c r="E79" s="62">
        <f t="shared" si="26"/>
        <v>0.9155657160986755</v>
      </c>
      <c r="F79" s="62">
        <f t="shared" si="27"/>
        <v>1</v>
      </c>
      <c r="G79" s="141">
        <f>D79-'[7]Oktobris'!D79</f>
        <v>62866</v>
      </c>
      <c r="H79" s="113" t="s">
        <v>188</v>
      </c>
      <c r="I79" s="141">
        <f>ROUND(B79/1000,0)</f>
        <v>782</v>
      </c>
      <c r="J79" s="141">
        <f>ROUND(C79/1000,0)</f>
        <v>716</v>
      </c>
      <c r="K79" s="141">
        <f>ROUND(D79/1000,0)</f>
        <v>716</v>
      </c>
      <c r="L79" s="137">
        <f t="shared" si="17"/>
        <v>0.9156010230179028</v>
      </c>
      <c r="M79" s="137">
        <f t="shared" si="18"/>
        <v>1</v>
      </c>
      <c r="N79" s="141">
        <f>K79-'[7]Oktobris'!K79</f>
        <v>63</v>
      </c>
    </row>
    <row r="80" spans="1:14" ht="12.75">
      <c r="A80" s="142" t="s">
        <v>214</v>
      </c>
      <c r="B80" s="138">
        <f>SUM(B81:B82)</f>
        <v>6486604</v>
      </c>
      <c r="C80" s="138">
        <f>SUM(C81:C82)</f>
        <v>5942445</v>
      </c>
      <c r="D80" s="138">
        <f>SUM(D81:D82)</f>
        <v>5933174</v>
      </c>
      <c r="E80" s="54">
        <f t="shared" si="26"/>
        <v>0.9146810873609673</v>
      </c>
      <c r="F80" s="54">
        <f t="shared" si="27"/>
        <v>0.9984398677648678</v>
      </c>
      <c r="G80" s="138">
        <f>SUM(G81:G82)</f>
        <v>537816</v>
      </c>
      <c r="H80" s="142" t="s">
        <v>214</v>
      </c>
      <c r="I80" s="139">
        <f>SUM(I81:I82)</f>
        <v>6486</v>
      </c>
      <c r="J80" s="139">
        <f>SUM(J81:J82)</f>
        <v>5943</v>
      </c>
      <c r="K80" s="139">
        <f>SUM(K81:K82)</f>
        <v>5933</v>
      </c>
      <c r="L80" s="140">
        <f t="shared" si="17"/>
        <v>0.9147394387912426</v>
      </c>
      <c r="M80" s="140">
        <f t="shared" si="18"/>
        <v>0.9983173481406697</v>
      </c>
      <c r="N80" s="139">
        <f>SUM(N81:N82)</f>
        <v>538</v>
      </c>
    </row>
    <row r="81" spans="1:14" ht="12.75">
      <c r="A81" s="113" t="s">
        <v>188</v>
      </c>
      <c r="B81" s="141">
        <v>6481104</v>
      </c>
      <c r="C81" s="141">
        <v>5936945</v>
      </c>
      <c r="D81" s="141">
        <f>5933174-D82</f>
        <v>5928474</v>
      </c>
      <c r="E81" s="62">
        <f t="shared" si="26"/>
        <v>0.9147321197129378</v>
      </c>
      <c r="F81" s="62">
        <f t="shared" si="27"/>
        <v>0.9985731718922779</v>
      </c>
      <c r="G81" s="141">
        <f>D81-'[7]Oktobris'!D81</f>
        <v>537454</v>
      </c>
      <c r="H81" s="113" t="s">
        <v>188</v>
      </c>
      <c r="I81" s="141">
        <f aca="true" t="shared" si="29" ref="I81:K82">ROUND(B81/1000,0)</f>
        <v>6481</v>
      </c>
      <c r="J81" s="141">
        <f t="shared" si="29"/>
        <v>5937</v>
      </c>
      <c r="K81" s="141">
        <f t="shared" si="29"/>
        <v>5928</v>
      </c>
      <c r="L81" s="137">
        <f t="shared" si="17"/>
        <v>0.914673661471995</v>
      </c>
      <c r="M81" s="137">
        <f t="shared" si="18"/>
        <v>0.9984840828701365</v>
      </c>
      <c r="N81" s="141">
        <f>K81-'[7]Oktobris'!K81</f>
        <v>537</v>
      </c>
    </row>
    <row r="82" spans="1:14" ht="12.75">
      <c r="A82" s="113" t="s">
        <v>189</v>
      </c>
      <c r="B82" s="141">
        <v>5500</v>
      </c>
      <c r="C82" s="141">
        <v>5500</v>
      </c>
      <c r="D82" s="141">
        <v>4700</v>
      </c>
      <c r="E82" s="62">
        <f t="shared" si="26"/>
        <v>0.8545454545454545</v>
      </c>
      <c r="F82" s="62">
        <f t="shared" si="27"/>
        <v>0.8545454545454545</v>
      </c>
      <c r="G82" s="141">
        <f>D82-'[7]Oktobris'!D82</f>
        <v>362</v>
      </c>
      <c r="H82" s="113" t="s">
        <v>189</v>
      </c>
      <c r="I82" s="141">
        <f>ROUND(B82/1000,0)-1</f>
        <v>5</v>
      </c>
      <c r="J82" s="141">
        <f t="shared" si="29"/>
        <v>6</v>
      </c>
      <c r="K82" s="141">
        <f t="shared" si="29"/>
        <v>5</v>
      </c>
      <c r="L82" s="137">
        <f t="shared" si="17"/>
        <v>1</v>
      </c>
      <c r="M82" s="137">
        <f t="shared" si="18"/>
        <v>0.8333333333333334</v>
      </c>
      <c r="N82" s="141">
        <f>K82-'[7]Oktobris'!K82</f>
        <v>1</v>
      </c>
    </row>
    <row r="83" spans="1:14" ht="13.5" customHeight="1">
      <c r="A83" s="74" t="s">
        <v>215</v>
      </c>
      <c r="B83" s="138">
        <f>SUM(B84)</f>
        <v>97907</v>
      </c>
      <c r="C83" s="138">
        <f>SUM(C84)</f>
        <v>82550</v>
      </c>
      <c r="D83" s="138">
        <f>SUM(D84)</f>
        <v>82550</v>
      </c>
      <c r="E83" s="54">
        <f t="shared" si="26"/>
        <v>0.8431470681360883</v>
      </c>
      <c r="F83" s="54">
        <f t="shared" si="27"/>
        <v>1</v>
      </c>
      <c r="G83" s="138">
        <f>SUM(G84)</f>
        <v>8331</v>
      </c>
      <c r="H83" s="74" t="s">
        <v>215</v>
      </c>
      <c r="I83" s="139">
        <f>SUM(I84)</f>
        <v>98</v>
      </c>
      <c r="J83" s="139">
        <f>SUM(J84)</f>
        <v>83</v>
      </c>
      <c r="K83" s="139">
        <f>SUM(K84)</f>
        <v>83</v>
      </c>
      <c r="L83" s="140">
        <f t="shared" si="17"/>
        <v>0.8469387755102041</v>
      </c>
      <c r="M83" s="140">
        <f t="shared" si="18"/>
        <v>1</v>
      </c>
      <c r="N83" s="139">
        <f>SUM(N84)</f>
        <v>9</v>
      </c>
    </row>
    <row r="84" spans="1:14" ht="12.75">
      <c r="A84" s="113" t="s">
        <v>188</v>
      </c>
      <c r="B84" s="141">
        <v>97907</v>
      </c>
      <c r="C84" s="141">
        <v>82550</v>
      </c>
      <c r="D84" s="141">
        <v>82550</v>
      </c>
      <c r="E84" s="62">
        <f t="shared" si="26"/>
        <v>0.8431470681360883</v>
      </c>
      <c r="F84" s="62">
        <f t="shared" si="27"/>
        <v>1</v>
      </c>
      <c r="G84" s="141">
        <f>D84-'[7]Oktobris'!D84</f>
        <v>8331</v>
      </c>
      <c r="H84" s="113" t="s">
        <v>188</v>
      </c>
      <c r="I84" s="141">
        <f>ROUND(B84/1000,0)</f>
        <v>98</v>
      </c>
      <c r="J84" s="141">
        <f>ROUND(C84/1000,0)</f>
        <v>83</v>
      </c>
      <c r="K84" s="141">
        <f>ROUND(D84/1000,0)</f>
        <v>83</v>
      </c>
      <c r="L84" s="137">
        <f t="shared" si="17"/>
        <v>0.8469387755102041</v>
      </c>
      <c r="M84" s="137">
        <f t="shared" si="18"/>
        <v>1</v>
      </c>
      <c r="N84" s="141">
        <f>K84-'[7]Oktobris'!K84</f>
        <v>9</v>
      </c>
    </row>
    <row r="85" spans="1:14" ht="39.75" customHeight="1">
      <c r="A85" s="119" t="s">
        <v>216</v>
      </c>
      <c r="B85" s="138">
        <f>SUM(B86:B87)</f>
        <v>616209</v>
      </c>
      <c r="C85" s="138">
        <f>SUM(C86:C87)</f>
        <v>557959</v>
      </c>
      <c r="D85" s="138">
        <f>SUM(D86:D87)</f>
        <v>544282</v>
      </c>
      <c r="E85" s="54">
        <f t="shared" si="26"/>
        <v>0.8832749927378536</v>
      </c>
      <c r="F85" s="54">
        <f t="shared" si="27"/>
        <v>0.9754874462102054</v>
      </c>
      <c r="G85" s="138">
        <f>SUM(G86:G87)</f>
        <v>58971</v>
      </c>
      <c r="H85" s="119" t="s">
        <v>216</v>
      </c>
      <c r="I85" s="139">
        <f>SUM(I86:I87)</f>
        <v>616</v>
      </c>
      <c r="J85" s="139">
        <f>SUM(J86:J87)</f>
        <v>557</v>
      </c>
      <c r="K85" s="139">
        <f>SUM(K86:K87)</f>
        <v>545</v>
      </c>
      <c r="L85" s="140">
        <f t="shared" si="17"/>
        <v>0.8847402597402597</v>
      </c>
      <c r="M85" s="140">
        <f t="shared" si="18"/>
        <v>0.9784560143626571</v>
      </c>
      <c r="N85" s="139">
        <f>SUM(N86:N87)</f>
        <v>59</v>
      </c>
    </row>
    <row r="86" spans="1:14" ht="12.75">
      <c r="A86" s="113" t="s">
        <v>188</v>
      </c>
      <c r="B86" s="141">
        <v>607740</v>
      </c>
      <c r="C86" s="141">
        <v>549490</v>
      </c>
      <c r="D86" s="141">
        <f>544282-D87</f>
        <v>536688</v>
      </c>
      <c r="E86" s="54">
        <f t="shared" si="26"/>
        <v>0.8830881627011551</v>
      </c>
      <c r="F86" s="54">
        <f t="shared" si="27"/>
        <v>0.9767020327940454</v>
      </c>
      <c r="G86" s="141">
        <f>D86-'[7]Oktobris'!D86</f>
        <v>58971</v>
      </c>
      <c r="H86" s="113" t="s">
        <v>188</v>
      </c>
      <c r="I86" s="141">
        <f aca="true" t="shared" si="30" ref="I86:K87">ROUND(B86/1000,0)</f>
        <v>608</v>
      </c>
      <c r="J86" s="141">
        <f t="shared" si="30"/>
        <v>549</v>
      </c>
      <c r="K86" s="141">
        <f t="shared" si="30"/>
        <v>537</v>
      </c>
      <c r="L86" s="137">
        <f t="shared" si="17"/>
        <v>0.8832236842105263</v>
      </c>
      <c r="M86" s="137">
        <f t="shared" si="18"/>
        <v>0.9781420765027322</v>
      </c>
      <c r="N86" s="141">
        <f>K86-'[7]Oktobris'!K86</f>
        <v>59</v>
      </c>
    </row>
    <row r="87" spans="1:14" ht="12.75">
      <c r="A87" s="113" t="s">
        <v>189</v>
      </c>
      <c r="B87" s="141">
        <v>8469</v>
      </c>
      <c r="C87" s="141">
        <v>8469</v>
      </c>
      <c r="D87" s="141">
        <v>7594</v>
      </c>
      <c r="E87" s="54">
        <f t="shared" si="26"/>
        <v>0.8966820167670327</v>
      </c>
      <c r="F87" s="54">
        <f t="shared" si="27"/>
        <v>0.8966820167670327</v>
      </c>
      <c r="G87" s="141">
        <f>D87-'[7]Oktobris'!D87</f>
        <v>0</v>
      </c>
      <c r="H87" s="113" t="s">
        <v>189</v>
      </c>
      <c r="I87" s="141">
        <f t="shared" si="30"/>
        <v>8</v>
      </c>
      <c r="J87" s="141">
        <f t="shared" si="30"/>
        <v>8</v>
      </c>
      <c r="K87" s="141">
        <f>ROUND(D87/1000,0)</f>
        <v>8</v>
      </c>
      <c r="L87" s="137">
        <f t="shared" si="17"/>
        <v>1</v>
      </c>
      <c r="M87" s="137">
        <f t="shared" si="18"/>
        <v>1</v>
      </c>
      <c r="N87" s="141">
        <f>K87-'[7]Oktobris'!K87</f>
        <v>0</v>
      </c>
    </row>
    <row r="88" spans="1:14" ht="51">
      <c r="A88" s="119" t="s">
        <v>217</v>
      </c>
      <c r="B88" s="138">
        <f>SUM(B89:B90)</f>
        <v>535443</v>
      </c>
      <c r="C88" s="138">
        <f>SUM(C89:C90)</f>
        <v>430923</v>
      </c>
      <c r="D88" s="138">
        <f>SUM(D89:D90)</f>
        <v>361987</v>
      </c>
      <c r="E88" s="54">
        <f t="shared" si="26"/>
        <v>0.6760514191053016</v>
      </c>
      <c r="F88" s="54">
        <f t="shared" si="27"/>
        <v>0.8400271046103365</v>
      </c>
      <c r="G88" s="138">
        <f>SUM(G89:G90)</f>
        <v>98696</v>
      </c>
      <c r="H88" s="119" t="s">
        <v>217</v>
      </c>
      <c r="I88" s="139">
        <f>SUM(I89:I90)</f>
        <v>536</v>
      </c>
      <c r="J88" s="139">
        <f>SUM(J89:J90)</f>
        <v>431</v>
      </c>
      <c r="K88" s="139">
        <f>SUM(K89:K90)</f>
        <v>362</v>
      </c>
      <c r="L88" s="140">
        <f t="shared" si="17"/>
        <v>0.6753731343283582</v>
      </c>
      <c r="M88" s="140">
        <f t="shared" si="18"/>
        <v>0.839907192575406</v>
      </c>
      <c r="N88" s="139">
        <f>SUM(N89:N90)</f>
        <v>98</v>
      </c>
    </row>
    <row r="89" spans="1:14" ht="12.75">
      <c r="A89" s="113" t="s">
        <v>188</v>
      </c>
      <c r="B89" s="141">
        <v>501789</v>
      </c>
      <c r="C89" s="141">
        <v>397269</v>
      </c>
      <c r="D89" s="141">
        <f>361987-D90</f>
        <v>341178</v>
      </c>
      <c r="E89" s="54">
        <f t="shared" si="26"/>
        <v>0.6799232346663637</v>
      </c>
      <c r="F89" s="54">
        <f t="shared" si="27"/>
        <v>0.8588085151370985</v>
      </c>
      <c r="G89" s="141">
        <f>D89-'[7]Oktobris'!D89</f>
        <v>93499</v>
      </c>
      <c r="H89" s="113" t="s">
        <v>188</v>
      </c>
      <c r="I89" s="141">
        <f aca="true" t="shared" si="31" ref="I89:K90">ROUND(B89/1000,0)</f>
        <v>502</v>
      </c>
      <c r="J89" s="141">
        <f t="shared" si="31"/>
        <v>397</v>
      </c>
      <c r="K89" s="141">
        <f t="shared" si="31"/>
        <v>341</v>
      </c>
      <c r="L89" s="137">
        <f t="shared" si="17"/>
        <v>0.6792828685258964</v>
      </c>
      <c r="M89" s="137">
        <f t="shared" si="18"/>
        <v>0.8589420654911839</v>
      </c>
      <c r="N89" s="141">
        <f>K89-'[7]Oktobris'!K89</f>
        <v>93</v>
      </c>
    </row>
    <row r="90" spans="1:14" ht="12.75">
      <c r="A90" s="113" t="s">
        <v>189</v>
      </c>
      <c r="B90" s="141">
        <v>33654</v>
      </c>
      <c r="C90" s="141">
        <v>33654</v>
      </c>
      <c r="D90" s="141">
        <f>20464+345</f>
        <v>20809</v>
      </c>
      <c r="E90" s="54">
        <f t="shared" si="26"/>
        <v>0.6183217448148809</v>
      </c>
      <c r="F90" s="54">
        <f t="shared" si="27"/>
        <v>0.6183217448148809</v>
      </c>
      <c r="G90" s="141">
        <f>D90-'[7]Oktobris'!D90</f>
        <v>5197</v>
      </c>
      <c r="H90" s="113" t="s">
        <v>189</v>
      </c>
      <c r="I90" s="141">
        <f t="shared" si="31"/>
        <v>34</v>
      </c>
      <c r="J90" s="141">
        <f t="shared" si="31"/>
        <v>34</v>
      </c>
      <c r="K90" s="141">
        <f t="shared" si="31"/>
        <v>21</v>
      </c>
      <c r="L90" s="137">
        <f t="shared" si="17"/>
        <v>0.6176470588235294</v>
      </c>
      <c r="M90" s="137">
        <f t="shared" si="18"/>
        <v>0.6176470588235294</v>
      </c>
      <c r="N90" s="141">
        <f>K90-'[7]Oktobris'!K90</f>
        <v>5</v>
      </c>
    </row>
    <row r="91" spans="1:14" ht="12.75" customHeight="1">
      <c r="A91" s="74" t="s">
        <v>218</v>
      </c>
      <c r="B91" s="138">
        <f>SUM(B92:B93)</f>
        <v>92888374</v>
      </c>
      <c r="C91" s="138">
        <f>SUM(C92:C93)</f>
        <v>85659949</v>
      </c>
      <c r="D91" s="138">
        <f>SUM(D92:D93)</f>
        <v>85571250</v>
      </c>
      <c r="E91" s="54">
        <f t="shared" si="26"/>
        <v>0.9212266973259754</v>
      </c>
      <c r="F91" s="54">
        <f>IF(ISERROR(D91/C91)," ",(D91/C91))</f>
        <v>0.9989645219144363</v>
      </c>
      <c r="G91" s="138">
        <f>SUM(G92:G93)</f>
        <v>7776901</v>
      </c>
      <c r="H91" s="74" t="s">
        <v>218</v>
      </c>
      <c r="I91" s="139">
        <f>SUM(I92:I93)</f>
        <v>92888</v>
      </c>
      <c r="J91" s="139">
        <f>SUM(J92:J93)</f>
        <v>85660</v>
      </c>
      <c r="K91" s="139">
        <f>SUM(K92:K93)</f>
        <v>85571</v>
      </c>
      <c r="L91" s="140">
        <f t="shared" si="17"/>
        <v>0.9212277150977521</v>
      </c>
      <c r="M91" s="140">
        <f t="shared" si="18"/>
        <v>0.9989610086388045</v>
      </c>
      <c r="N91" s="139">
        <f>SUM(N92:N93)</f>
        <v>7777</v>
      </c>
    </row>
    <row r="92" spans="1:14" ht="12.75">
      <c r="A92" s="113" t="s">
        <v>188</v>
      </c>
      <c r="B92" s="141">
        <v>83765374</v>
      </c>
      <c r="C92" s="141">
        <v>76735949</v>
      </c>
      <c r="D92" s="141">
        <f>85571250-D93</f>
        <v>76647250</v>
      </c>
      <c r="E92" s="62">
        <f t="shared" si="26"/>
        <v>0.9150230738538815</v>
      </c>
      <c r="F92" s="62">
        <f>IF(ISERROR(D92/C92)," ",(D92/C92))</f>
        <v>0.9988441010874838</v>
      </c>
      <c r="G92" s="141">
        <f>D92-'[7]Oktobris'!D92</f>
        <v>7016901</v>
      </c>
      <c r="H92" s="113" t="s">
        <v>188</v>
      </c>
      <c r="I92" s="141">
        <f aca="true" t="shared" si="32" ref="I92:K93">ROUND(B92/1000,0)</f>
        <v>83765</v>
      </c>
      <c r="J92" s="141">
        <f t="shared" si="32"/>
        <v>76736</v>
      </c>
      <c r="K92" s="141">
        <f t="shared" si="32"/>
        <v>76647</v>
      </c>
      <c r="L92" s="137">
        <f t="shared" si="17"/>
        <v>0.9150241747746672</v>
      </c>
      <c r="M92" s="137">
        <f t="shared" si="18"/>
        <v>0.9988401793160967</v>
      </c>
      <c r="N92" s="141">
        <f>K92-'[7]Oktobris'!K92</f>
        <v>7017</v>
      </c>
    </row>
    <row r="93" spans="1:14" ht="12.75">
      <c r="A93" s="113" t="s">
        <v>189</v>
      </c>
      <c r="B93" s="141">
        <v>9123000</v>
      </c>
      <c r="C93" s="141">
        <v>8924000</v>
      </c>
      <c r="D93" s="141">
        <v>8924000</v>
      </c>
      <c r="E93" s="62">
        <f t="shared" si="26"/>
        <v>0.9781869998903869</v>
      </c>
      <c r="F93" s="62">
        <f>IF(ISERROR(D93/C93)," ",(D93/C93))</f>
        <v>1</v>
      </c>
      <c r="G93" s="141">
        <f>D93-'[7]Oktobris'!D93</f>
        <v>760000</v>
      </c>
      <c r="H93" s="113" t="s">
        <v>189</v>
      </c>
      <c r="I93" s="141">
        <f t="shared" si="32"/>
        <v>9123</v>
      </c>
      <c r="J93" s="141">
        <f t="shared" si="32"/>
        <v>8924</v>
      </c>
      <c r="K93" s="141">
        <f t="shared" si="32"/>
        <v>8924</v>
      </c>
      <c r="L93" s="137">
        <f t="shared" si="17"/>
        <v>0.9781869998903869</v>
      </c>
      <c r="M93" s="137">
        <f t="shared" si="18"/>
        <v>1</v>
      </c>
      <c r="N93" s="141">
        <f>K93-'[7]Oktobris'!K93</f>
        <v>760</v>
      </c>
    </row>
    <row r="94" spans="1:14" ht="12.75" customHeight="1">
      <c r="A94" s="74" t="s">
        <v>219</v>
      </c>
      <c r="B94" s="138">
        <f>SUM(B95)</f>
        <v>9123010</v>
      </c>
      <c r="C94" s="138">
        <f>SUM(C95)</f>
        <v>8599426</v>
      </c>
      <c r="D94" s="138">
        <f>SUM(D95)</f>
        <v>8560109</v>
      </c>
      <c r="E94" s="54">
        <f t="shared" si="26"/>
        <v>0.9382987632371333</v>
      </c>
      <c r="F94" s="54">
        <f>IF(ISERROR(D94/C94)," ",(D94/C94))</f>
        <v>0.9954279506562415</v>
      </c>
      <c r="G94" s="138">
        <f>SUM(G95)</f>
        <v>3474267</v>
      </c>
      <c r="H94" s="74" t="s">
        <v>219</v>
      </c>
      <c r="I94" s="139">
        <f>SUM(I95)</f>
        <v>9123</v>
      </c>
      <c r="J94" s="139">
        <f>SUM(J95)</f>
        <v>8599</v>
      </c>
      <c r="K94" s="139">
        <f>SUM(K95)</f>
        <v>8560</v>
      </c>
      <c r="L94" s="140">
        <f t="shared" si="17"/>
        <v>0.9382878439109942</v>
      </c>
      <c r="M94" s="140">
        <f t="shared" si="18"/>
        <v>0.9954645889056867</v>
      </c>
      <c r="N94" s="139">
        <f>SUM(N95)</f>
        <v>3474</v>
      </c>
    </row>
    <row r="95" spans="1:14" ht="12.75">
      <c r="A95" s="115" t="s">
        <v>188</v>
      </c>
      <c r="B95" s="141">
        <v>9123010</v>
      </c>
      <c r="C95" s="141">
        <v>8599426</v>
      </c>
      <c r="D95" s="141">
        <v>8560109</v>
      </c>
      <c r="E95" s="62">
        <f t="shared" si="26"/>
        <v>0.9382987632371333</v>
      </c>
      <c r="F95" s="62">
        <f>IF(ISERROR(D95/C95)," ",(D95/C95))</f>
        <v>0.9954279506562415</v>
      </c>
      <c r="G95" s="141">
        <f>D95-'[7]Oktobris'!D95</f>
        <v>3474267</v>
      </c>
      <c r="H95" s="115" t="s">
        <v>188</v>
      </c>
      <c r="I95" s="141">
        <f>ROUND(B95/1000,0)</f>
        <v>9123</v>
      </c>
      <c r="J95" s="141">
        <f>ROUND(C95/1000,0)</f>
        <v>8599</v>
      </c>
      <c r="K95" s="141">
        <f>ROUND(D95/1000,0)</f>
        <v>8560</v>
      </c>
      <c r="L95" s="137">
        <f t="shared" si="17"/>
        <v>0.9382878439109942</v>
      </c>
      <c r="M95" s="137">
        <f t="shared" si="18"/>
        <v>0.9954645889056867</v>
      </c>
      <c r="N95" s="141">
        <f>K95-'[7]Oktobris'!K95</f>
        <v>3474</v>
      </c>
    </row>
    <row r="96" spans="1:14" ht="12.75">
      <c r="A96" s="145"/>
      <c r="B96" s="146"/>
      <c r="C96" s="146"/>
      <c r="D96" s="146"/>
      <c r="E96" s="147"/>
      <c r="F96" s="147"/>
      <c r="G96" s="2"/>
      <c r="H96" s="145"/>
      <c r="I96" s="146"/>
      <c r="J96" s="146"/>
      <c r="K96" s="146"/>
      <c r="L96" s="147"/>
      <c r="M96" s="147"/>
      <c r="N96" s="2"/>
    </row>
    <row r="97" spans="1:14" ht="14.25">
      <c r="A97" s="148"/>
      <c r="B97" s="149"/>
      <c r="C97" s="149"/>
      <c r="D97" s="149"/>
      <c r="E97" s="150"/>
      <c r="F97" s="151"/>
      <c r="G97" s="2"/>
      <c r="H97" s="84"/>
      <c r="I97" s="152"/>
      <c r="J97" s="127"/>
      <c r="K97" s="153"/>
      <c r="L97" s="153"/>
      <c r="M97" s="154"/>
      <c r="N97" s="2"/>
    </row>
    <row r="98" spans="1:14" ht="12.75">
      <c r="A98" s="84" t="s">
        <v>220</v>
      </c>
      <c r="B98" s="152"/>
      <c r="C98" s="127"/>
      <c r="D98" s="153"/>
      <c r="E98" s="153"/>
      <c r="F98" s="154"/>
      <c r="G98" s="2"/>
      <c r="H98" s="84"/>
      <c r="I98" s="152"/>
      <c r="J98" s="127"/>
      <c r="K98" s="153"/>
      <c r="L98" s="153"/>
      <c r="M98" s="154"/>
      <c r="N98" s="2"/>
    </row>
    <row r="99" spans="1:14" ht="12.75">
      <c r="A99" s="43"/>
      <c r="B99" s="47"/>
      <c r="C99" s="131" t="s">
        <v>221</v>
      </c>
      <c r="D99" s="155"/>
      <c r="E99" s="124"/>
      <c r="F99" s="156"/>
      <c r="G99" s="2"/>
      <c r="H99" s="43"/>
      <c r="I99" s="47"/>
      <c r="J99" s="131"/>
      <c r="K99" s="155"/>
      <c r="L99" s="124"/>
      <c r="M99" s="156"/>
      <c r="N99" s="2"/>
    </row>
    <row r="100" spans="1:14" ht="12.75">
      <c r="A100" s="2"/>
      <c r="B100" s="157"/>
      <c r="C100" s="131"/>
      <c r="D100" s="131"/>
      <c r="E100" s="158"/>
      <c r="F100" s="159"/>
      <c r="G100" s="2"/>
      <c r="H100" s="84"/>
      <c r="I100" s="152"/>
      <c r="J100" s="127"/>
      <c r="K100" s="153"/>
      <c r="L100" s="153"/>
      <c r="M100" s="154"/>
      <c r="N100" s="2"/>
    </row>
    <row r="101" spans="1:14" ht="12.75">
      <c r="A101" s="2" t="s">
        <v>144</v>
      </c>
      <c r="B101" s="157"/>
      <c r="C101" s="131"/>
      <c r="D101" s="131"/>
      <c r="E101" s="158"/>
      <c r="F101" s="159"/>
      <c r="G101" s="2"/>
      <c r="H101" s="2"/>
      <c r="I101" s="157"/>
      <c r="J101" s="131"/>
      <c r="K101" s="131"/>
      <c r="L101" s="158"/>
      <c r="M101" s="159"/>
      <c r="N101" s="2"/>
    </row>
    <row r="102" spans="1:14" ht="12.75">
      <c r="A102" s="2" t="s">
        <v>401</v>
      </c>
      <c r="B102" s="47"/>
      <c r="C102" s="131"/>
      <c r="D102" s="155"/>
      <c r="E102" s="124"/>
      <c r="F102" s="156"/>
      <c r="G102" s="2"/>
      <c r="H102" s="2"/>
      <c r="I102" s="47"/>
      <c r="J102" s="131"/>
      <c r="K102" s="155"/>
      <c r="L102" s="124"/>
      <c r="M102" s="156"/>
      <c r="N102" s="2"/>
    </row>
    <row r="103" ht="12.75">
      <c r="H103" s="2"/>
    </row>
    <row r="104" spans="1:14" ht="12.75">
      <c r="A104" s="2"/>
      <c r="B104" s="43"/>
      <c r="C104" s="155"/>
      <c r="D104" s="155"/>
      <c r="E104" s="43"/>
      <c r="F104" s="43"/>
      <c r="G104" s="2"/>
      <c r="H104" s="84" t="s">
        <v>220</v>
      </c>
      <c r="I104" s="152"/>
      <c r="J104" s="127"/>
      <c r="K104" s="153"/>
      <c r="L104" s="153"/>
      <c r="M104" s="154"/>
      <c r="N104" s="2"/>
    </row>
    <row r="105" spans="7:14" ht="12.75">
      <c r="G105" s="2"/>
      <c r="H105" s="2"/>
      <c r="N105" s="2"/>
    </row>
    <row r="106" spans="7:14" ht="12.75">
      <c r="G106" s="2"/>
      <c r="H106" s="2"/>
      <c r="I106" s="2"/>
      <c r="J106" s="2"/>
      <c r="K106" s="2"/>
      <c r="L106" s="2"/>
      <c r="M106" s="2"/>
      <c r="N106" s="2"/>
    </row>
    <row r="107" spans="7:14" ht="12.75">
      <c r="G107" s="2"/>
      <c r="H107" s="2"/>
      <c r="I107" s="2"/>
      <c r="J107" s="2"/>
      <c r="K107" s="2"/>
      <c r="L107" s="2"/>
      <c r="M107" s="2"/>
      <c r="N107" s="2"/>
    </row>
    <row r="108" spans="7:14" ht="12.75">
      <c r="G108" s="2"/>
      <c r="H108" s="2"/>
      <c r="I108" s="2"/>
      <c r="J108" s="2"/>
      <c r="K108" s="2"/>
      <c r="L108" s="2"/>
      <c r="M108" s="2"/>
      <c r="N108" s="2"/>
    </row>
    <row r="109" spans="7:14" ht="12.75">
      <c r="G109" s="2"/>
      <c r="H109" s="2"/>
      <c r="I109" s="2"/>
      <c r="J109" s="2"/>
      <c r="K109" s="2"/>
      <c r="L109" s="2"/>
      <c r="M109" s="2"/>
      <c r="N109" s="2"/>
    </row>
    <row r="110" spans="7:14" ht="12.75">
      <c r="G110" s="2"/>
      <c r="H110" s="2"/>
      <c r="I110" s="2"/>
      <c r="J110" s="2"/>
      <c r="K110" s="2"/>
      <c r="L110" s="2"/>
      <c r="M110" s="2"/>
      <c r="N110" s="2"/>
    </row>
    <row r="111" spans="7:14" ht="12.75">
      <c r="G111" s="2"/>
      <c r="H111" s="2"/>
      <c r="I111" s="2"/>
      <c r="J111" s="2"/>
      <c r="K111" s="2"/>
      <c r="L111" s="2"/>
      <c r="M111" s="2"/>
      <c r="N111" s="2"/>
    </row>
    <row r="112" spans="7:14" ht="12.75"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43"/>
      <c r="C113" s="155"/>
      <c r="D113" s="155"/>
      <c r="E113" s="43"/>
      <c r="F113" s="43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43"/>
      <c r="C114" s="155"/>
      <c r="D114" s="155"/>
      <c r="E114" s="43"/>
      <c r="F114" s="43"/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H117" s="2"/>
      <c r="I117" s="2"/>
      <c r="J117" s="2"/>
      <c r="K117" s="2"/>
      <c r="L117" s="2"/>
      <c r="M117" s="2"/>
      <c r="N117" s="2"/>
    </row>
    <row r="118" spans="7:14" ht="12.75">
      <c r="G118" s="2"/>
      <c r="H118" s="2"/>
      <c r="I118" s="2"/>
      <c r="J118" s="2"/>
      <c r="K118" s="2"/>
      <c r="L118" s="2"/>
      <c r="M118" s="2"/>
      <c r="N118" s="2"/>
    </row>
    <row r="119" spans="7:14" ht="12.75">
      <c r="G119" s="2"/>
      <c r="H119" s="2"/>
      <c r="I119" s="2"/>
      <c r="J119" s="2"/>
      <c r="K119" s="2"/>
      <c r="L119" s="2"/>
      <c r="M119" s="2"/>
      <c r="N119" s="2"/>
    </row>
    <row r="120" spans="7:14" ht="12.75">
      <c r="G120" s="2"/>
      <c r="H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H123" s="2"/>
      <c r="I123" s="2"/>
      <c r="J123" s="2"/>
      <c r="K123" s="2"/>
      <c r="L123" s="2"/>
      <c r="M123" s="2"/>
      <c r="N123" s="2"/>
    </row>
    <row r="124" spans="7:14" ht="12.75">
      <c r="G124" s="2"/>
      <c r="H124" s="2"/>
      <c r="I124" s="2"/>
      <c r="J124" s="2"/>
      <c r="K124" s="2"/>
      <c r="L124" s="2"/>
      <c r="M124" s="2"/>
      <c r="N124" s="2"/>
    </row>
    <row r="125" spans="7:14" ht="12.75">
      <c r="G125" s="2"/>
      <c r="H125" s="2"/>
      <c r="I125" s="2"/>
      <c r="J125" s="2"/>
      <c r="K125" s="2"/>
      <c r="L125" s="2"/>
      <c r="M125" s="2"/>
      <c r="N125" s="2"/>
    </row>
    <row r="126" spans="7:14" ht="12.75">
      <c r="G126" s="2"/>
      <c r="H126" s="2"/>
      <c r="I126" s="2"/>
      <c r="J126" s="2"/>
      <c r="K126" s="2"/>
      <c r="L126" s="2"/>
      <c r="M126" s="2"/>
      <c r="N126" s="2"/>
    </row>
    <row r="127" spans="7:14" ht="12.75">
      <c r="G127" s="2"/>
      <c r="H127" s="2" t="s">
        <v>144</v>
      </c>
      <c r="I127" s="2"/>
      <c r="J127" s="2"/>
      <c r="K127" s="2"/>
      <c r="L127" s="2"/>
      <c r="M127" s="2"/>
      <c r="N127" s="2"/>
    </row>
    <row r="128" spans="7:14" ht="12.75">
      <c r="G128" s="2"/>
      <c r="H128" s="2" t="s">
        <v>401</v>
      </c>
      <c r="I128" s="2"/>
      <c r="J128" s="2"/>
      <c r="K128" s="2"/>
      <c r="L128" s="2"/>
      <c r="M128" s="2"/>
      <c r="N128" s="2"/>
    </row>
    <row r="129" spans="7:14" ht="12.75">
      <c r="G129" s="2"/>
      <c r="H129" s="2"/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 customHeight="1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H133" s="2"/>
      <c r="I133" s="2"/>
      <c r="J133" s="2"/>
      <c r="K133" s="2"/>
      <c r="L133" s="2"/>
      <c r="M133" s="2"/>
      <c r="N133" s="2"/>
    </row>
    <row r="134" spans="7:14" ht="12.75">
      <c r="G134" s="2"/>
      <c r="H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7:14" ht="12.75">
      <c r="G191" s="2"/>
      <c r="H191" s="2"/>
      <c r="I191" s="2"/>
      <c r="J191" s="2"/>
      <c r="K191" s="2"/>
      <c r="L191" s="2"/>
      <c r="M191" s="2"/>
      <c r="N191" s="2"/>
    </row>
    <row r="192" spans="7:14" ht="12.75">
      <c r="G192" s="2"/>
      <c r="H192" s="2"/>
      <c r="I192" s="2"/>
      <c r="J192" s="2"/>
      <c r="K192" s="2"/>
      <c r="L192" s="2"/>
      <c r="M192" s="2"/>
      <c r="N192" s="2"/>
    </row>
    <row r="193" spans="7:14" ht="12.75">
      <c r="G193" s="2"/>
      <c r="H193" s="2"/>
      <c r="I193" s="2"/>
      <c r="J193" s="2"/>
      <c r="K193" s="2"/>
      <c r="L193" s="2"/>
      <c r="M193" s="2"/>
      <c r="N193" s="2"/>
    </row>
    <row r="194" spans="7:14" ht="12.75">
      <c r="G194" s="2"/>
      <c r="H194" s="2"/>
      <c r="I194" s="2"/>
      <c r="J194" s="2"/>
      <c r="K194" s="2"/>
      <c r="L194" s="2"/>
      <c r="M194" s="2"/>
      <c r="N194" s="2"/>
    </row>
    <row r="195" spans="7:14" ht="12.75">
      <c r="G195" s="2"/>
      <c r="H195" s="2"/>
      <c r="I195" s="2"/>
      <c r="J195" s="2"/>
      <c r="K195" s="2"/>
      <c r="L195" s="2"/>
      <c r="M195" s="2"/>
      <c r="N195" s="2"/>
    </row>
    <row r="196" spans="7:14" ht="12.75">
      <c r="G196" s="2"/>
      <c r="H196" s="2"/>
      <c r="I196" s="2"/>
      <c r="J196" s="2"/>
      <c r="K196" s="2"/>
      <c r="L196" s="2"/>
      <c r="M196" s="2"/>
      <c r="N196" s="2"/>
    </row>
    <row r="197" spans="7:14" ht="12.75">
      <c r="G197" s="2"/>
      <c r="H197" s="2"/>
      <c r="I197" s="2"/>
      <c r="J197" s="2"/>
      <c r="K197" s="2"/>
      <c r="L197" s="2"/>
      <c r="M197" s="2"/>
      <c r="N197" s="2"/>
    </row>
    <row r="198" spans="7:14" ht="12.75"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8"/>
  <sheetViews>
    <sheetView workbookViewId="0" topLeftCell="H15">
      <selection activeCell="A21" sqref="A21"/>
    </sheetView>
  </sheetViews>
  <sheetFormatPr defaultColWidth="9.140625" defaultRowHeight="12.75"/>
  <cols>
    <col min="1" max="1" width="35.57421875" style="48" hidden="1" customWidth="1"/>
    <col min="2" max="2" width="13.00390625" style="48" hidden="1" customWidth="1"/>
    <col min="3" max="3" width="12.57421875" style="48" hidden="1" customWidth="1"/>
    <col min="4" max="4" width="12.7109375" style="48" hidden="1" customWidth="1"/>
    <col min="5" max="5" width="13.421875" style="48" hidden="1" customWidth="1"/>
    <col min="6" max="6" width="14.28125" style="48" hidden="1" customWidth="1"/>
    <col min="7" max="7" width="15.57421875" style="48" hidden="1" customWidth="1"/>
    <col min="8" max="8" width="27.28125" style="48" customWidth="1"/>
    <col min="9" max="9" width="8.140625" style="48" customWidth="1"/>
    <col min="10" max="10" width="8.421875" style="48" customWidth="1"/>
    <col min="11" max="11" width="7.140625" style="48" customWidth="1"/>
    <col min="12" max="12" width="5.57421875" style="48" customWidth="1"/>
    <col min="13" max="13" width="6.8515625" style="48" customWidth="1"/>
    <col min="14" max="14" width="7.7109375" style="48" customWidth="1"/>
    <col min="15" max="16384" width="7.8515625" style="48" customWidth="1"/>
  </cols>
  <sheetData>
    <row r="1" spans="7:14" ht="12.75">
      <c r="G1" s="48" t="s">
        <v>222</v>
      </c>
      <c r="N1" s="48" t="s">
        <v>222</v>
      </c>
    </row>
    <row r="2" spans="1:14" ht="16.5" customHeight="1">
      <c r="A2" s="36" t="s">
        <v>223</v>
      </c>
      <c r="B2" s="36"/>
      <c r="C2" s="84"/>
      <c r="D2" s="84"/>
      <c r="E2" s="36"/>
      <c r="F2" s="84"/>
      <c r="G2" s="2"/>
      <c r="H2" s="36" t="s">
        <v>223</v>
      </c>
      <c r="I2" s="36"/>
      <c r="J2" s="84"/>
      <c r="K2" s="84"/>
      <c r="L2" s="36"/>
      <c r="M2" s="84"/>
      <c r="N2" s="2"/>
    </row>
    <row r="3" spans="1:14" ht="4.5" customHeight="1" hidden="1">
      <c r="A3" s="160"/>
      <c r="B3" s="2"/>
      <c r="C3" s="2"/>
      <c r="D3" s="2"/>
      <c r="E3" s="2"/>
      <c r="F3" s="2"/>
      <c r="G3" s="2"/>
      <c r="H3" s="160"/>
      <c r="I3" s="2"/>
      <c r="J3" s="2"/>
      <c r="K3" s="2"/>
      <c r="L3" s="2"/>
      <c r="M3" s="2"/>
      <c r="N3" s="2"/>
    </row>
    <row r="4" spans="1:14" ht="12" customHeight="1">
      <c r="A4" s="160"/>
      <c r="B4" s="2"/>
      <c r="C4" s="2"/>
      <c r="D4" s="2"/>
      <c r="E4" s="2"/>
      <c r="F4" s="2"/>
      <c r="G4" s="2"/>
      <c r="H4" s="160"/>
      <c r="I4" s="2"/>
      <c r="J4" s="2"/>
      <c r="K4" s="2"/>
      <c r="L4" s="2"/>
      <c r="M4" s="2"/>
      <c r="N4" s="2"/>
    </row>
    <row r="5" spans="1:14" ht="15.75">
      <c r="A5" s="89" t="s">
        <v>224</v>
      </c>
      <c r="B5" s="84"/>
      <c r="C5" s="84"/>
      <c r="D5" s="84"/>
      <c r="E5" s="84"/>
      <c r="F5" s="84"/>
      <c r="G5" s="2"/>
      <c r="H5" s="89" t="s">
        <v>224</v>
      </c>
      <c r="I5" s="84"/>
      <c r="J5" s="84"/>
      <c r="K5" s="84"/>
      <c r="L5" s="84"/>
      <c r="M5" s="84"/>
      <c r="N5" s="2"/>
    </row>
    <row r="6" spans="1:14" ht="15.75">
      <c r="A6" s="89" t="s">
        <v>225</v>
      </c>
      <c r="B6" s="84"/>
      <c r="C6" s="84"/>
      <c r="D6" s="84"/>
      <c r="E6" s="84"/>
      <c r="F6" s="84"/>
      <c r="G6" s="2"/>
      <c r="H6" s="89" t="s">
        <v>225</v>
      </c>
      <c r="I6" s="84"/>
      <c r="J6" s="84"/>
      <c r="K6" s="84"/>
      <c r="L6" s="84"/>
      <c r="M6" s="84"/>
      <c r="N6" s="2"/>
    </row>
    <row r="7" spans="1:14" ht="19.5" customHeight="1">
      <c r="A7" s="89" t="s">
        <v>402</v>
      </c>
      <c r="B7" s="84"/>
      <c r="C7" s="84"/>
      <c r="D7" s="84"/>
      <c r="E7" s="84"/>
      <c r="F7" s="84"/>
      <c r="G7" s="2"/>
      <c r="H7" s="89" t="s">
        <v>402</v>
      </c>
      <c r="I7" s="84"/>
      <c r="J7" s="84"/>
      <c r="K7" s="84"/>
      <c r="L7" s="84"/>
      <c r="M7" s="84"/>
      <c r="N7" s="2"/>
    </row>
    <row r="8" spans="1:14" s="135" customFormat="1" ht="18.75" customHeight="1">
      <c r="A8" s="2"/>
      <c r="B8" s="2"/>
      <c r="C8" s="2"/>
      <c r="D8" s="2"/>
      <c r="E8" s="48"/>
      <c r="F8" s="2"/>
      <c r="G8" s="43" t="s">
        <v>149</v>
      </c>
      <c r="H8" s="2"/>
      <c r="I8" s="2"/>
      <c r="J8" s="2"/>
      <c r="K8" s="2"/>
      <c r="L8" s="48"/>
      <c r="M8" s="2"/>
      <c r="N8" s="43" t="s">
        <v>149</v>
      </c>
    </row>
    <row r="9" spans="1:14" s="60" customFormat="1" ht="78.75" customHeight="1">
      <c r="A9" s="4" t="s">
        <v>17</v>
      </c>
      <c r="B9" s="4" t="s">
        <v>62</v>
      </c>
      <c r="C9" s="4" t="s">
        <v>226</v>
      </c>
      <c r="D9" s="4" t="s">
        <v>63</v>
      </c>
      <c r="E9" s="4" t="s">
        <v>227</v>
      </c>
      <c r="F9" s="4" t="s">
        <v>228</v>
      </c>
      <c r="G9" s="4" t="s">
        <v>387</v>
      </c>
      <c r="H9" s="4" t="s">
        <v>17</v>
      </c>
      <c r="I9" s="4" t="s">
        <v>62</v>
      </c>
      <c r="J9" s="4" t="s">
        <v>226</v>
      </c>
      <c r="K9" s="4" t="s">
        <v>63</v>
      </c>
      <c r="L9" s="4" t="s">
        <v>227</v>
      </c>
      <c r="M9" s="4" t="s">
        <v>228</v>
      </c>
      <c r="N9" s="4" t="s">
        <v>387</v>
      </c>
    </row>
    <row r="10" spans="1:14" s="60" customFormat="1" ht="9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1</v>
      </c>
      <c r="I10" s="4">
        <v>2</v>
      </c>
      <c r="J10" s="4">
        <v>3</v>
      </c>
      <c r="K10" s="4">
        <v>4</v>
      </c>
      <c r="L10" s="4">
        <v>5</v>
      </c>
      <c r="M10" s="4">
        <v>6</v>
      </c>
      <c r="N10" s="4">
        <v>7</v>
      </c>
    </row>
    <row r="11" spans="1:14" s="60" customFormat="1" ht="21.75" customHeight="1">
      <c r="A11" s="74" t="s">
        <v>229</v>
      </c>
      <c r="B11" s="30">
        <f>SUM(B12:B14)</f>
        <v>703581849</v>
      </c>
      <c r="C11" s="30">
        <f>SUM(C12:C14)</f>
        <v>649074654</v>
      </c>
      <c r="D11" s="30">
        <f>SUM(D12:D14)</f>
        <v>641128989</v>
      </c>
      <c r="E11" s="54">
        <f>IF(ISERROR(D11/B11)," ",(D11/B11))</f>
        <v>0.9112358283705525</v>
      </c>
      <c r="F11" s="54">
        <f>IF(ISERROR(D11/C11)," ",(D11/C11))</f>
        <v>0.987758472848949</v>
      </c>
      <c r="G11" s="30">
        <f>SUM(G12:G14)</f>
        <v>60748284</v>
      </c>
      <c r="H11" s="74" t="s">
        <v>229</v>
      </c>
      <c r="I11" s="161">
        <f>SUM(I12:I14)</f>
        <v>703581</v>
      </c>
      <c r="J11" s="161">
        <f>SUM(J12:J14)</f>
        <v>649074</v>
      </c>
      <c r="K11" s="161">
        <f>SUM(K12:K14)</f>
        <v>641129</v>
      </c>
      <c r="L11" s="140">
        <f>IF(ISERROR(ROUND(K11,0)/ROUND(I11,0))," ",(ROUND(K11,)/ROUND(I11,)))</f>
        <v>0.9112369435786356</v>
      </c>
      <c r="M11" s="140">
        <f aca="true" t="shared" si="0" ref="M11:M18">IF(ISERROR(ROUND(K11,0)/ROUND(J11,0))," ",(ROUND(K11,)/ROUND(J11,)))</f>
        <v>0.9877594850510112</v>
      </c>
      <c r="N11" s="162">
        <f>SUM(N12:N14)</f>
        <v>60748</v>
      </c>
    </row>
    <row r="12" spans="1:14" s="60" customFormat="1" ht="23.25" customHeight="1">
      <c r="A12" s="115" t="s">
        <v>230</v>
      </c>
      <c r="B12" s="163">
        <v>635128438</v>
      </c>
      <c r="C12" s="163">
        <v>585889261</v>
      </c>
      <c r="D12" s="283">
        <v>585889261</v>
      </c>
      <c r="E12" s="54">
        <f aca="true" t="shared" si="1" ref="E12:E18">IF(ISERROR(D12/B12)," ",(D12/B12))</f>
        <v>0.9224736698059802</v>
      </c>
      <c r="F12" s="54">
        <f aca="true" t="shared" si="2" ref="F12:F18">IF(ISERROR(D12/C12)," ",(D12/C12))</f>
        <v>1</v>
      </c>
      <c r="G12" s="141">
        <f>D12-'[5]Oktobris'!D12</f>
        <v>55756268</v>
      </c>
      <c r="H12" s="115" t="s">
        <v>230</v>
      </c>
      <c r="I12" s="164">
        <f aca="true" t="shared" si="3" ref="I12:K14">ROUND(B12/1000,0)</f>
        <v>635128</v>
      </c>
      <c r="J12" s="164">
        <f t="shared" si="3"/>
        <v>585889</v>
      </c>
      <c r="K12" s="164">
        <f t="shared" si="3"/>
        <v>585889</v>
      </c>
      <c r="L12" s="137">
        <f aca="true" t="shared" si="4" ref="L12:L18">IF(ISERROR(ROUND(K12,0)/ROUND(I12,0))," ",(ROUND(K12,)/ROUND(I12,)))</f>
        <v>0.9224738950258845</v>
      </c>
      <c r="M12" s="137">
        <f t="shared" si="0"/>
        <v>1</v>
      </c>
      <c r="N12" s="141">
        <f>K12-'[5]Oktobris'!K12</f>
        <v>55756</v>
      </c>
    </row>
    <row r="13" spans="1:14" s="60" customFormat="1" ht="19.5" customHeight="1">
      <c r="A13" s="115" t="s">
        <v>231</v>
      </c>
      <c r="B13" s="163">
        <v>1092020</v>
      </c>
      <c r="C13" s="163">
        <v>969336</v>
      </c>
      <c r="D13" s="163">
        <f>26139+121481</f>
        <v>147620</v>
      </c>
      <c r="E13" s="54">
        <f t="shared" si="1"/>
        <v>0.13518067434662367</v>
      </c>
      <c r="F13" s="54">
        <f t="shared" si="2"/>
        <v>0.15228981488359042</v>
      </c>
      <c r="G13" s="141">
        <f>D13-'[5]Oktobris'!D13</f>
        <v>16621</v>
      </c>
      <c r="H13" s="115" t="s">
        <v>231</v>
      </c>
      <c r="I13" s="164">
        <f t="shared" si="3"/>
        <v>1092</v>
      </c>
      <c r="J13" s="164">
        <f t="shared" si="3"/>
        <v>969</v>
      </c>
      <c r="K13" s="164">
        <f t="shared" si="3"/>
        <v>148</v>
      </c>
      <c r="L13" s="137">
        <f t="shared" si="4"/>
        <v>0.13553113553113552</v>
      </c>
      <c r="M13" s="137">
        <f t="shared" si="0"/>
        <v>0.15273477812177502</v>
      </c>
      <c r="N13" s="141">
        <f>K13-'[5]Oktobris'!K13</f>
        <v>17</v>
      </c>
    </row>
    <row r="14" spans="1:14" s="60" customFormat="1" ht="24" customHeight="1">
      <c r="A14" s="115" t="s">
        <v>232</v>
      </c>
      <c r="B14" s="163">
        <v>67361391</v>
      </c>
      <c r="C14" s="163">
        <v>62216057</v>
      </c>
      <c r="D14" s="163">
        <f>55092108</f>
        <v>55092108</v>
      </c>
      <c r="E14" s="54">
        <f t="shared" si="1"/>
        <v>0.8178588236101003</v>
      </c>
      <c r="F14" s="54">
        <f t="shared" si="2"/>
        <v>0.8854966170549831</v>
      </c>
      <c r="G14" s="141">
        <f>D14-'[5]Oktobris'!D14</f>
        <v>4975395</v>
      </c>
      <c r="H14" s="115" t="s">
        <v>232</v>
      </c>
      <c r="I14" s="164">
        <f t="shared" si="3"/>
        <v>67361</v>
      </c>
      <c r="J14" s="164">
        <f>ROUND(C14/1000,0)</f>
        <v>62216</v>
      </c>
      <c r="K14" s="164">
        <f>ROUND(D14/1000,0)</f>
        <v>55092</v>
      </c>
      <c r="L14" s="137">
        <f t="shared" si="4"/>
        <v>0.8178619676073693</v>
      </c>
      <c r="M14" s="137">
        <f t="shared" si="0"/>
        <v>0.8854956924263855</v>
      </c>
      <c r="N14" s="141">
        <f>K14-'[5]Oktobris'!K14</f>
        <v>4975</v>
      </c>
    </row>
    <row r="15" spans="1:14" s="60" customFormat="1" ht="24" customHeight="1">
      <c r="A15" s="74" t="s">
        <v>233</v>
      </c>
      <c r="B15" s="6">
        <f>SUM(B16,B41)</f>
        <v>704860897</v>
      </c>
      <c r="C15" s="6">
        <f>SUM(C16,C41)</f>
        <v>649968833</v>
      </c>
      <c r="D15" s="6">
        <f>SUM(D16,D41)</f>
        <v>621609882.25</v>
      </c>
      <c r="E15" s="54">
        <f t="shared" si="1"/>
        <v>0.8818901500929764</v>
      </c>
      <c r="F15" s="54">
        <f t="shared" si="2"/>
        <v>0.9563687529152648</v>
      </c>
      <c r="G15" s="6">
        <f>SUM(G16,G41)</f>
        <v>64488540.24999998</v>
      </c>
      <c r="H15" s="74" t="s">
        <v>233</v>
      </c>
      <c r="I15" s="162">
        <f>SUM(I16,I41)</f>
        <v>704861</v>
      </c>
      <c r="J15" s="162">
        <f>SUM(J16,J41)</f>
        <v>649969</v>
      </c>
      <c r="K15" s="162">
        <f>SUM(K16,K41)</f>
        <v>621612</v>
      </c>
      <c r="L15" s="140">
        <f t="shared" si="4"/>
        <v>0.8818930257171272</v>
      </c>
      <c r="M15" s="140">
        <f t="shared" si="0"/>
        <v>0.9563717654226587</v>
      </c>
      <c r="N15" s="162">
        <f>SUM(N16,N41)</f>
        <v>64489</v>
      </c>
    </row>
    <row r="16" spans="1:14" s="60" customFormat="1" ht="18.75" customHeight="1">
      <c r="A16" s="165" t="s">
        <v>234</v>
      </c>
      <c r="B16" s="138">
        <v>640293526</v>
      </c>
      <c r="C16" s="138">
        <v>589956006</v>
      </c>
      <c r="D16" s="138">
        <f>SUM(D17,D24,D28)</f>
        <v>569691152.25</v>
      </c>
      <c r="E16" s="54">
        <f t="shared" si="1"/>
        <v>0.8897343626273054</v>
      </c>
      <c r="F16" s="54">
        <f t="shared" si="2"/>
        <v>0.9656502289257142</v>
      </c>
      <c r="G16" s="138">
        <f>SUM(G17,G24,G28)</f>
        <v>58884883.24999998</v>
      </c>
      <c r="H16" s="165" t="s">
        <v>234</v>
      </c>
      <c r="I16" s="161">
        <f aca="true" t="shared" si="5" ref="I16:J18">ROUND(B16/1000,0)</f>
        <v>640294</v>
      </c>
      <c r="J16" s="161">
        <f t="shared" si="5"/>
        <v>589956</v>
      </c>
      <c r="K16" s="55">
        <f>SUM(K17,K24,K28)</f>
        <v>569693</v>
      </c>
      <c r="L16" s="140">
        <f t="shared" si="4"/>
        <v>0.8897365897540818</v>
      </c>
      <c r="M16" s="140">
        <f t="shared" si="0"/>
        <v>0.9656533707598532</v>
      </c>
      <c r="N16" s="55">
        <f>SUM(N17,N24,N28)</f>
        <v>58885</v>
      </c>
    </row>
    <row r="17" spans="1:14" s="60" customFormat="1" ht="22.5" customHeight="1">
      <c r="A17" s="106" t="s">
        <v>235</v>
      </c>
      <c r="B17" s="166">
        <v>320315455</v>
      </c>
      <c r="C17" s="166">
        <v>293818742</v>
      </c>
      <c r="D17" s="166">
        <f>SUM(D18,D19,D20,D23)</f>
        <v>278733224.15999997</v>
      </c>
      <c r="E17" s="54">
        <f t="shared" si="1"/>
        <v>0.8701835013237185</v>
      </c>
      <c r="F17" s="54">
        <f t="shared" si="2"/>
        <v>0.9486570606853935</v>
      </c>
      <c r="G17" s="166">
        <f>SUM(G18,G19,G20,G23)</f>
        <v>28468094.15999998</v>
      </c>
      <c r="H17" s="106" t="s">
        <v>235</v>
      </c>
      <c r="I17" s="167">
        <f t="shared" si="5"/>
        <v>320315</v>
      </c>
      <c r="J17" s="167">
        <f t="shared" si="5"/>
        <v>293819</v>
      </c>
      <c r="K17" s="58">
        <f>SUM(K18,K19,K20,K23)</f>
        <v>278734</v>
      </c>
      <c r="L17" s="168">
        <f t="shared" si="4"/>
        <v>0.8701871595148526</v>
      </c>
      <c r="M17" s="168">
        <f t="shared" si="0"/>
        <v>0.9486588682147853</v>
      </c>
      <c r="N17" s="58">
        <f>SUM(N18,N19,N20,N23)</f>
        <v>28466</v>
      </c>
    </row>
    <row r="18" spans="1:14" s="60" customFormat="1" ht="18" customHeight="1">
      <c r="A18" s="64" t="s">
        <v>236</v>
      </c>
      <c r="B18" s="141">
        <v>150033458</v>
      </c>
      <c r="C18" s="141">
        <v>137071280</v>
      </c>
      <c r="D18" s="193">
        <f>132827679+76429</f>
        <v>132904108</v>
      </c>
      <c r="E18" s="62">
        <f t="shared" si="1"/>
        <v>0.8858297993771496</v>
      </c>
      <c r="F18" s="62">
        <f t="shared" si="2"/>
        <v>0.9695985037857675</v>
      </c>
      <c r="G18" s="141">
        <f>D18-'[5]Oktobris'!D18</f>
        <v>14243297</v>
      </c>
      <c r="H18" s="64" t="s">
        <v>236</v>
      </c>
      <c r="I18" s="164">
        <f t="shared" si="5"/>
        <v>150033</v>
      </c>
      <c r="J18" s="164">
        <f t="shared" si="5"/>
        <v>137071</v>
      </c>
      <c r="K18" s="164">
        <f>ROUND(D18/1000,0)</f>
        <v>132904</v>
      </c>
      <c r="L18" s="137">
        <f t="shared" si="4"/>
        <v>0.8858317836742583</v>
      </c>
      <c r="M18" s="137">
        <f t="shared" si="0"/>
        <v>0.9695996965076493</v>
      </c>
      <c r="N18" s="141">
        <f>K18-'[5]Oktobris'!K18</f>
        <v>14242</v>
      </c>
    </row>
    <row r="19" spans="1:14" s="60" customFormat="1" ht="24" customHeight="1">
      <c r="A19" s="115" t="s">
        <v>237</v>
      </c>
      <c r="B19" s="21" t="s">
        <v>23</v>
      </c>
      <c r="C19" s="21" t="s">
        <v>23</v>
      </c>
      <c r="D19" s="193">
        <f>35296781+36326</f>
        <v>35333107</v>
      </c>
      <c r="E19" s="169" t="s">
        <v>23</v>
      </c>
      <c r="F19" s="170" t="s">
        <v>23</v>
      </c>
      <c r="G19" s="141">
        <f>D19-'[5]Oktobris'!D19</f>
        <v>3417527</v>
      </c>
      <c r="H19" s="115" t="s">
        <v>237</v>
      </c>
      <c r="I19" s="171" t="s">
        <v>23</v>
      </c>
      <c r="J19" s="171" t="s">
        <v>23</v>
      </c>
      <c r="K19" s="164">
        <f>ROUND(D19/1000,0)</f>
        <v>35333</v>
      </c>
      <c r="L19" s="169" t="s">
        <v>23</v>
      </c>
      <c r="M19" s="170" t="s">
        <v>23</v>
      </c>
      <c r="N19" s="141">
        <f>K19-'[5]Oktobris'!K19</f>
        <v>3417</v>
      </c>
    </row>
    <row r="20" spans="1:14" s="60" customFormat="1" ht="19.5" customHeight="1">
      <c r="A20" s="115" t="s">
        <v>238</v>
      </c>
      <c r="B20" s="21" t="s">
        <v>23</v>
      </c>
      <c r="C20" s="21" t="s">
        <v>23</v>
      </c>
      <c r="D20" s="193">
        <f>5069530.47+4487613.89+47315974.64+51783064.73+1250866.17-27558.85-6217.89+217272.4-86.9+43611.5+955.6+49615.19+504.21+42171+181191+132352-337575+121481</f>
        <v>110324765.15999998</v>
      </c>
      <c r="E20" s="169" t="s">
        <v>23</v>
      </c>
      <c r="F20" s="170" t="s">
        <v>23</v>
      </c>
      <c r="G20" s="141">
        <f>SUM(G21:G22)</f>
        <v>10824903.159999982</v>
      </c>
      <c r="H20" s="115" t="s">
        <v>238</v>
      </c>
      <c r="I20" s="171" t="s">
        <v>23</v>
      </c>
      <c r="J20" s="171" t="s">
        <v>23</v>
      </c>
      <c r="K20" s="61">
        <f>SUM(K21:K22)+1</f>
        <v>110326</v>
      </c>
      <c r="L20" s="169" t="s">
        <v>23</v>
      </c>
      <c r="M20" s="170" t="s">
        <v>23</v>
      </c>
      <c r="N20" s="61">
        <f>SUM(N21:N22)</f>
        <v>10825</v>
      </c>
    </row>
    <row r="21" spans="1:14" s="177" customFormat="1" ht="22.5" customHeight="1">
      <c r="A21" s="116" t="s">
        <v>239</v>
      </c>
      <c r="B21" s="11" t="s">
        <v>23</v>
      </c>
      <c r="C21" s="11" t="s">
        <v>23</v>
      </c>
      <c r="D21" s="172">
        <f>47315974.64+51783064.73+49615.19+504.21+181191+132352+955.6</f>
        <v>99463657.36999999</v>
      </c>
      <c r="E21" s="173" t="s">
        <v>23</v>
      </c>
      <c r="F21" s="174" t="s">
        <v>23</v>
      </c>
      <c r="G21" s="141">
        <f>D21-'[5]Oktobris'!D21</f>
        <v>10195597.36999999</v>
      </c>
      <c r="H21" s="116" t="s">
        <v>240</v>
      </c>
      <c r="I21" s="175" t="s">
        <v>23</v>
      </c>
      <c r="J21" s="175" t="s">
        <v>23</v>
      </c>
      <c r="K21" s="176">
        <f>ROUND(D21/1000,0)</f>
        <v>99464</v>
      </c>
      <c r="L21" s="173" t="s">
        <v>23</v>
      </c>
      <c r="M21" s="174" t="s">
        <v>23</v>
      </c>
      <c r="N21" s="172">
        <f>K21-'[5]Oktobris'!K21</f>
        <v>10196</v>
      </c>
    </row>
    <row r="22" spans="1:14" s="177" customFormat="1" ht="17.25" customHeight="1">
      <c r="A22" s="116" t="s">
        <v>241</v>
      </c>
      <c r="B22" s="11" t="s">
        <v>23</v>
      </c>
      <c r="C22" s="11" t="s">
        <v>23</v>
      </c>
      <c r="D22" s="183">
        <f>D20-D21</f>
        <v>10861107.789999992</v>
      </c>
      <c r="E22" s="173" t="s">
        <v>23</v>
      </c>
      <c r="F22" s="174" t="s">
        <v>23</v>
      </c>
      <c r="G22" s="141">
        <f>D22-'[5]Oktobris'!D22</f>
        <v>629305.7899999917</v>
      </c>
      <c r="H22" s="178" t="s">
        <v>242</v>
      </c>
      <c r="I22" s="175" t="s">
        <v>23</v>
      </c>
      <c r="J22" s="175" t="s">
        <v>23</v>
      </c>
      <c r="K22" s="176">
        <f>ROUND(D22/1000,0)</f>
        <v>10861</v>
      </c>
      <c r="L22" s="173" t="s">
        <v>23</v>
      </c>
      <c r="M22" s="174" t="s">
        <v>23</v>
      </c>
      <c r="N22" s="172">
        <f>K22-'[5]Oktobris'!K22</f>
        <v>629</v>
      </c>
    </row>
    <row r="23" spans="1:14" s="60" customFormat="1" ht="20.25" customHeight="1">
      <c r="A23" s="115" t="s">
        <v>243</v>
      </c>
      <c r="B23" s="21" t="s">
        <v>23</v>
      </c>
      <c r="C23" s="21" t="s">
        <v>23</v>
      </c>
      <c r="D23" s="141">
        <f>171244</f>
        <v>171244</v>
      </c>
      <c r="E23" s="169" t="s">
        <v>23</v>
      </c>
      <c r="F23" s="170" t="s">
        <v>23</v>
      </c>
      <c r="G23" s="141">
        <f>D23-'[5]Oktobris'!D23</f>
        <v>-17633</v>
      </c>
      <c r="H23" s="115" t="s">
        <v>243</v>
      </c>
      <c r="I23" s="171" t="s">
        <v>23</v>
      </c>
      <c r="J23" s="171" t="s">
        <v>23</v>
      </c>
      <c r="K23" s="164">
        <f>ROUND(D23/1000,0)</f>
        <v>171</v>
      </c>
      <c r="L23" s="169" t="s">
        <v>23</v>
      </c>
      <c r="M23" s="170" t="s">
        <v>23</v>
      </c>
      <c r="N23" s="141">
        <f>K23-'[5]Oktobris'!K23</f>
        <v>-18</v>
      </c>
    </row>
    <row r="24" spans="1:14" s="60" customFormat="1" ht="26.25" customHeight="1">
      <c r="A24" s="114" t="s">
        <v>244</v>
      </c>
      <c r="B24" s="166">
        <v>28871289</v>
      </c>
      <c r="C24" s="166">
        <v>28439225</v>
      </c>
      <c r="D24" s="166">
        <f>SUM(D25,D26,D27)</f>
        <v>25215807</v>
      </c>
      <c r="E24" s="54">
        <f>IF(ISERROR(D24/B24)," ",(D24/B24))</f>
        <v>0.8733869485356196</v>
      </c>
      <c r="F24" s="54">
        <f>IF(ISERROR(D24/C24)," ",(D24/C24))</f>
        <v>0.8866559127402381</v>
      </c>
      <c r="G24" s="166">
        <f>SUM(G25,G26,G27)</f>
        <v>3280104</v>
      </c>
      <c r="H24" s="114" t="s">
        <v>244</v>
      </c>
      <c r="I24" s="179">
        <f>ROUND(B24/1000,0)</f>
        <v>28871</v>
      </c>
      <c r="J24" s="179">
        <f>ROUND(C24/1000,0)</f>
        <v>28439</v>
      </c>
      <c r="K24" s="58">
        <f>SUM(K25,K26,K27)</f>
        <v>25216</v>
      </c>
      <c r="L24" s="168">
        <f>IF(ISERROR(ROUND(K24,0)/ROUND(I24,0))," ",(ROUND(K24,)/ROUND(I24,)))</f>
        <v>0.8734023760867307</v>
      </c>
      <c r="M24" s="168">
        <f>IF(ISERROR(ROUND(K24,0)/ROUND(J24,0))," ",(ROUND(K24,)/ROUND(J24,)))</f>
        <v>0.8866697141249692</v>
      </c>
      <c r="N24" s="58">
        <f>SUM(N25,N26,N27)</f>
        <v>3281</v>
      </c>
    </row>
    <row r="25" spans="1:14" s="60" customFormat="1" ht="21.75" customHeight="1">
      <c r="A25" s="115" t="s">
        <v>245</v>
      </c>
      <c r="B25" s="21" t="s">
        <v>23</v>
      </c>
      <c r="C25" s="21" t="s">
        <v>23</v>
      </c>
      <c r="D25" s="141">
        <v>13481646</v>
      </c>
      <c r="E25" s="169" t="s">
        <v>23</v>
      </c>
      <c r="F25" s="170" t="s">
        <v>23</v>
      </c>
      <c r="G25" s="141">
        <f>D25-'[5]Oktobris'!D25</f>
        <v>1996846</v>
      </c>
      <c r="H25" s="115" t="s">
        <v>245</v>
      </c>
      <c r="I25" s="171" t="s">
        <v>23</v>
      </c>
      <c r="J25" s="171" t="s">
        <v>23</v>
      </c>
      <c r="K25" s="164">
        <f>ROUND(D25/1000,0)</f>
        <v>13482</v>
      </c>
      <c r="L25" s="169" t="s">
        <v>23</v>
      </c>
      <c r="M25" s="170" t="s">
        <v>23</v>
      </c>
      <c r="N25" s="141">
        <f>K25-'[5]Oktobris'!K25</f>
        <v>1997</v>
      </c>
    </row>
    <row r="26" spans="1:14" s="60" customFormat="1" ht="17.25" customHeight="1">
      <c r="A26" s="115" t="s">
        <v>246</v>
      </c>
      <c r="B26" s="21" t="s">
        <v>23</v>
      </c>
      <c r="C26" s="21" t="s">
        <v>23</v>
      </c>
      <c r="D26" s="141">
        <v>11607940</v>
      </c>
      <c r="E26" s="169" t="s">
        <v>23</v>
      </c>
      <c r="F26" s="170" t="s">
        <v>23</v>
      </c>
      <c r="G26" s="141">
        <f>D26-'[5]Oktobris'!D26</f>
        <v>1763420</v>
      </c>
      <c r="H26" s="115" t="s">
        <v>246</v>
      </c>
      <c r="I26" s="171" t="s">
        <v>23</v>
      </c>
      <c r="J26" s="171" t="s">
        <v>23</v>
      </c>
      <c r="K26" s="164">
        <f>ROUND(D26/1000,0)</f>
        <v>11608</v>
      </c>
      <c r="L26" s="169" t="s">
        <v>23</v>
      </c>
      <c r="M26" s="170" t="s">
        <v>23</v>
      </c>
      <c r="N26" s="141">
        <f>K26-'[5]Oktobris'!K26</f>
        <v>1764</v>
      </c>
    </row>
    <row r="27" spans="1:14" s="60" customFormat="1" ht="24" customHeight="1">
      <c r="A27" s="115" t="s">
        <v>247</v>
      </c>
      <c r="B27" s="21" t="s">
        <v>23</v>
      </c>
      <c r="C27" s="21" t="s">
        <v>23</v>
      </c>
      <c r="D27" s="141">
        <v>126221</v>
      </c>
      <c r="E27" s="169" t="s">
        <v>23</v>
      </c>
      <c r="F27" s="170" t="s">
        <v>23</v>
      </c>
      <c r="G27" s="141">
        <f>D27-'[5]Oktobris'!D27</f>
        <v>-480162</v>
      </c>
      <c r="H27" s="115" t="s">
        <v>247</v>
      </c>
      <c r="I27" s="171" t="s">
        <v>23</v>
      </c>
      <c r="J27" s="171" t="s">
        <v>23</v>
      </c>
      <c r="K27" s="164">
        <f>ROUND(D27/1000,0)</f>
        <v>126</v>
      </c>
      <c r="L27" s="169" t="s">
        <v>23</v>
      </c>
      <c r="M27" s="170" t="s">
        <v>23</v>
      </c>
      <c r="N27" s="141">
        <f>K27-'[5]Oktobris'!K27</f>
        <v>-480</v>
      </c>
    </row>
    <row r="28" spans="1:14" s="60" customFormat="1" ht="21" customHeight="1">
      <c r="A28" s="180" t="s">
        <v>248</v>
      </c>
      <c r="B28" s="166">
        <v>291106782</v>
      </c>
      <c r="C28" s="166">
        <v>267698039</v>
      </c>
      <c r="D28" s="166">
        <f>SUM(D29,D30,D31,D32,D35,D40)</f>
        <v>265742121.08999997</v>
      </c>
      <c r="E28" s="54">
        <f>IF(ISERROR(D28/B28)," ",(D28/B28))</f>
        <v>0.912868189687178</v>
      </c>
      <c r="F28" s="54">
        <f>IF(ISERROR(D28/C28)," ",(D28/C28))</f>
        <v>0.9926935665374821</v>
      </c>
      <c r="G28" s="166">
        <f>SUM(G29,G30,G31,G32,G35,G40)</f>
        <v>27136685.089999996</v>
      </c>
      <c r="H28" s="180" t="s">
        <v>248</v>
      </c>
      <c r="I28" s="179">
        <f>ROUND(B28/1000,0)</f>
        <v>291107</v>
      </c>
      <c r="J28" s="179">
        <f>ROUND(C28/1000,0)</f>
        <v>267698</v>
      </c>
      <c r="K28" s="58">
        <f>SUM(K29,K30,K31,K32,K35,K40)</f>
        <v>265743</v>
      </c>
      <c r="L28" s="168">
        <f>IF(ISERROR(ROUND(K28,0)/ROUND(I28,0))," ",(ROUND(K28,)/ROUND(I28,)))</f>
        <v>0.9128705252707767</v>
      </c>
      <c r="M28" s="168">
        <f>IF(ISERROR(ROUND(K28,0)/ROUND(J28,0))," ",(ROUND(K28,)/ROUND(J28,)))</f>
        <v>0.9926969943742575</v>
      </c>
      <c r="N28" s="58">
        <f>SUM(N29,N30,N31,N32,N35,N40)</f>
        <v>27138</v>
      </c>
    </row>
    <row r="29" spans="1:14" s="60" customFormat="1" ht="12.75">
      <c r="A29" s="64" t="s">
        <v>249</v>
      </c>
      <c r="B29" s="21" t="s">
        <v>23</v>
      </c>
      <c r="C29" s="21" t="s">
        <v>23</v>
      </c>
      <c r="D29" s="193">
        <f>17337889+11850.57</f>
        <v>17349739.57</v>
      </c>
      <c r="E29" s="169" t="s">
        <v>23</v>
      </c>
      <c r="F29" s="170" t="s">
        <v>23</v>
      </c>
      <c r="G29" s="141">
        <f>D29-'[5]Oktobris'!D29</f>
        <v>2032637.5700000003</v>
      </c>
      <c r="H29" s="64" t="s">
        <v>249</v>
      </c>
      <c r="I29" s="171" t="s">
        <v>23</v>
      </c>
      <c r="J29" s="171" t="s">
        <v>23</v>
      </c>
      <c r="K29" s="181">
        <f>ROUND(D29/1000,0)</f>
        <v>17350</v>
      </c>
      <c r="L29" s="169" t="s">
        <v>23</v>
      </c>
      <c r="M29" s="170" t="s">
        <v>23</v>
      </c>
      <c r="N29" s="141">
        <f>K29-'[5]Oktobris'!K29</f>
        <v>2033</v>
      </c>
    </row>
    <row r="30" spans="1:14" s="60" customFormat="1" ht="15.75" customHeight="1">
      <c r="A30" s="115" t="s">
        <v>250</v>
      </c>
      <c r="B30" s="21" t="s">
        <v>23</v>
      </c>
      <c r="C30" s="21" t="s">
        <v>23</v>
      </c>
      <c r="D30" s="141">
        <v>76647250</v>
      </c>
      <c r="E30" s="169" t="s">
        <v>23</v>
      </c>
      <c r="F30" s="170" t="s">
        <v>23</v>
      </c>
      <c r="G30" s="141">
        <f>D30-'[5]Oktobris'!D30</f>
        <v>7016901</v>
      </c>
      <c r="H30" s="115" t="s">
        <v>250</v>
      </c>
      <c r="I30" s="171" t="s">
        <v>23</v>
      </c>
      <c r="J30" s="171" t="s">
        <v>23</v>
      </c>
      <c r="K30" s="164">
        <f>ROUND(D30/1000,0)</f>
        <v>76647</v>
      </c>
      <c r="L30" s="169" t="s">
        <v>23</v>
      </c>
      <c r="M30" s="170" t="s">
        <v>23</v>
      </c>
      <c r="N30" s="141">
        <f>K30-'[5]Oktobris'!K30</f>
        <v>7017</v>
      </c>
    </row>
    <row r="31" spans="1:14" s="60" customFormat="1" ht="16.5" customHeight="1">
      <c r="A31" s="115" t="s">
        <v>251</v>
      </c>
      <c r="B31" s="21" t="s">
        <v>23</v>
      </c>
      <c r="C31" s="21" t="s">
        <v>23</v>
      </c>
      <c r="D31" s="141">
        <v>8560109</v>
      </c>
      <c r="E31" s="169" t="s">
        <v>23</v>
      </c>
      <c r="F31" s="170" t="s">
        <v>23</v>
      </c>
      <c r="G31" s="141">
        <f>D31-'[5]Oktobris'!D31</f>
        <v>3474267</v>
      </c>
      <c r="H31" s="115" t="s">
        <v>251</v>
      </c>
      <c r="I31" s="171" t="s">
        <v>23</v>
      </c>
      <c r="J31" s="171" t="s">
        <v>23</v>
      </c>
      <c r="K31" s="164">
        <f>ROUND(D31/1000,0)</f>
        <v>8560</v>
      </c>
      <c r="L31" s="169" t="s">
        <v>23</v>
      </c>
      <c r="M31" s="170" t="s">
        <v>23</v>
      </c>
      <c r="N31" s="141">
        <f>K31-'[5]Oktobris'!K31</f>
        <v>3474</v>
      </c>
    </row>
    <row r="32" spans="1:14" s="60" customFormat="1" ht="15" customHeight="1">
      <c r="A32" s="115" t="s">
        <v>252</v>
      </c>
      <c r="B32" s="21" t="s">
        <v>23</v>
      </c>
      <c r="C32" s="21" t="s">
        <v>23</v>
      </c>
      <c r="D32" s="141">
        <f>89598367.52+217298</f>
        <v>89815665.52</v>
      </c>
      <c r="E32" s="169" t="s">
        <v>23</v>
      </c>
      <c r="F32" s="170" t="s">
        <v>23</v>
      </c>
      <c r="G32" s="141">
        <f>SUM(G33,G34)</f>
        <v>7436397.519999996</v>
      </c>
      <c r="H32" s="115" t="s">
        <v>252</v>
      </c>
      <c r="I32" s="171" t="s">
        <v>23</v>
      </c>
      <c r="J32" s="171" t="s">
        <v>23</v>
      </c>
      <c r="K32" s="182">
        <f>SUM(K33,K34)</f>
        <v>89816</v>
      </c>
      <c r="L32" s="169" t="s">
        <v>23</v>
      </c>
      <c r="M32" s="170" t="s">
        <v>23</v>
      </c>
      <c r="N32" s="61">
        <f>SUM(N33,N34)</f>
        <v>7437</v>
      </c>
    </row>
    <row r="33" spans="1:14" s="184" customFormat="1" ht="14.25" customHeight="1">
      <c r="A33" s="116" t="s">
        <v>253</v>
      </c>
      <c r="B33" s="11" t="s">
        <v>23</v>
      </c>
      <c r="C33" s="11" t="s">
        <v>23</v>
      </c>
      <c r="D33" s="183">
        <f>57167696</f>
        <v>57167696</v>
      </c>
      <c r="E33" s="173" t="s">
        <v>23</v>
      </c>
      <c r="F33" s="174" t="s">
        <v>23</v>
      </c>
      <c r="G33" s="141">
        <f>D33-'[5]Oktobris'!D33</f>
        <v>5628567</v>
      </c>
      <c r="H33" s="178" t="s">
        <v>254</v>
      </c>
      <c r="I33" s="175" t="s">
        <v>23</v>
      </c>
      <c r="J33" s="175" t="s">
        <v>23</v>
      </c>
      <c r="K33" s="176">
        <f>ROUND(D33/1000,0)</f>
        <v>57168</v>
      </c>
      <c r="L33" s="173" t="s">
        <v>23</v>
      </c>
      <c r="M33" s="174" t="s">
        <v>23</v>
      </c>
      <c r="N33" s="172">
        <f>K33-'[5]Oktobris'!K33</f>
        <v>5629</v>
      </c>
    </row>
    <row r="34" spans="1:14" s="184" customFormat="1" ht="15" customHeight="1">
      <c r="A34" s="116" t="s">
        <v>255</v>
      </c>
      <c r="B34" s="11" t="s">
        <v>23</v>
      </c>
      <c r="C34" s="11" t="s">
        <v>23</v>
      </c>
      <c r="D34" s="183">
        <f>D32-D33</f>
        <v>32647969.519999996</v>
      </c>
      <c r="E34" s="173" t="s">
        <v>23</v>
      </c>
      <c r="F34" s="174" t="s">
        <v>23</v>
      </c>
      <c r="G34" s="141">
        <f>D34-'[5]Oktobris'!D34</f>
        <v>1807830.5199999958</v>
      </c>
      <c r="H34" s="116" t="s">
        <v>256</v>
      </c>
      <c r="I34" s="175" t="s">
        <v>23</v>
      </c>
      <c r="J34" s="175" t="s">
        <v>23</v>
      </c>
      <c r="K34" s="176">
        <f>ROUND(D34/1000,0)</f>
        <v>32648</v>
      </c>
      <c r="L34" s="173" t="s">
        <v>23</v>
      </c>
      <c r="M34" s="174" t="s">
        <v>23</v>
      </c>
      <c r="N34" s="172">
        <f>K34-'[5]Oktobris'!K34</f>
        <v>1808</v>
      </c>
    </row>
    <row r="35" spans="1:14" ht="15" customHeight="1">
      <c r="A35" s="115" t="s">
        <v>257</v>
      </c>
      <c r="B35" s="21" t="s">
        <v>23</v>
      </c>
      <c r="C35" s="21" t="s">
        <v>23</v>
      </c>
      <c r="D35" s="141">
        <f>SUM(D36,D37,D38,D39)</f>
        <v>70086578</v>
      </c>
      <c r="E35" s="169" t="s">
        <v>23</v>
      </c>
      <c r="F35" s="170" t="s">
        <v>23</v>
      </c>
      <c r="G35" s="141">
        <f>SUM(G36,G37,G38,G39)</f>
        <v>6692054</v>
      </c>
      <c r="H35" s="115" t="s">
        <v>257</v>
      </c>
      <c r="I35" s="171" t="s">
        <v>23</v>
      </c>
      <c r="J35" s="171" t="s">
        <v>23</v>
      </c>
      <c r="K35" s="182">
        <f>SUM(K36,K37,K38,K39)</f>
        <v>70087</v>
      </c>
      <c r="L35" s="169" t="s">
        <v>23</v>
      </c>
      <c r="M35" s="170" t="s">
        <v>23</v>
      </c>
      <c r="N35" s="61">
        <f>SUM(N36,N37,N38,N39)</f>
        <v>6692</v>
      </c>
    </row>
    <row r="36" spans="1:14" s="185" customFormat="1" ht="15" customHeight="1">
      <c r="A36" s="178" t="s">
        <v>258</v>
      </c>
      <c r="B36" s="11" t="s">
        <v>23</v>
      </c>
      <c r="C36" s="11" t="s">
        <v>23</v>
      </c>
      <c r="D36" s="172">
        <v>3495369</v>
      </c>
      <c r="E36" s="173" t="s">
        <v>23</v>
      </c>
      <c r="F36" s="174" t="s">
        <v>23</v>
      </c>
      <c r="G36" s="141">
        <f>D36-'[5]Oktobris'!D36</f>
        <v>422817</v>
      </c>
      <c r="H36" s="178" t="s">
        <v>259</v>
      </c>
      <c r="I36" s="175" t="s">
        <v>23</v>
      </c>
      <c r="J36" s="175" t="s">
        <v>23</v>
      </c>
      <c r="K36" s="176">
        <f>ROUND(D36/1000,0)</f>
        <v>3495</v>
      </c>
      <c r="L36" s="173" t="s">
        <v>23</v>
      </c>
      <c r="M36" s="174" t="s">
        <v>23</v>
      </c>
      <c r="N36" s="172">
        <f>K36-'[5]Oktobris'!K36</f>
        <v>422</v>
      </c>
    </row>
    <row r="37" spans="1:14" s="185" customFormat="1" ht="15" customHeight="1">
      <c r="A37" s="116" t="s">
        <v>260</v>
      </c>
      <c r="B37" s="11" t="s">
        <v>23</v>
      </c>
      <c r="C37" s="11" t="s">
        <v>23</v>
      </c>
      <c r="D37" s="172">
        <v>55398715</v>
      </c>
      <c r="E37" s="173" t="s">
        <v>23</v>
      </c>
      <c r="F37" s="174" t="s">
        <v>23</v>
      </c>
      <c r="G37" s="141">
        <f>D37-'[5]Oktobris'!D37</f>
        <v>5054023</v>
      </c>
      <c r="H37" s="116" t="s">
        <v>261</v>
      </c>
      <c r="I37" s="175" t="s">
        <v>23</v>
      </c>
      <c r="J37" s="175" t="s">
        <v>23</v>
      </c>
      <c r="K37" s="176">
        <f>ROUND(D37/1000,0)</f>
        <v>55399</v>
      </c>
      <c r="L37" s="173" t="s">
        <v>23</v>
      </c>
      <c r="M37" s="174" t="s">
        <v>23</v>
      </c>
      <c r="N37" s="172">
        <f>K37-'[5]Oktobris'!K37</f>
        <v>5054</v>
      </c>
    </row>
    <row r="38" spans="1:14" s="185" customFormat="1" ht="15" customHeight="1">
      <c r="A38" s="116" t="s">
        <v>262</v>
      </c>
      <c r="B38" s="11" t="s">
        <v>23</v>
      </c>
      <c r="C38" s="11" t="s">
        <v>23</v>
      </c>
      <c r="D38" s="172">
        <v>6164833</v>
      </c>
      <c r="E38" s="173" t="s">
        <v>23</v>
      </c>
      <c r="F38" s="174" t="s">
        <v>23</v>
      </c>
      <c r="G38" s="141">
        <f>D38-'[5]Oktobris'!D38</f>
        <v>663353</v>
      </c>
      <c r="H38" s="116" t="s">
        <v>263</v>
      </c>
      <c r="I38" s="175" t="s">
        <v>23</v>
      </c>
      <c r="J38" s="175" t="s">
        <v>23</v>
      </c>
      <c r="K38" s="176">
        <f>ROUND(D38/1000,0)</f>
        <v>6165</v>
      </c>
      <c r="L38" s="173" t="s">
        <v>23</v>
      </c>
      <c r="M38" s="174" t="s">
        <v>23</v>
      </c>
      <c r="N38" s="172">
        <f>K38-'[5]Oktobris'!K38</f>
        <v>664</v>
      </c>
    </row>
    <row r="39" spans="1:14" s="185" customFormat="1" ht="15" customHeight="1">
      <c r="A39" s="116" t="s">
        <v>264</v>
      </c>
      <c r="B39" s="11" t="s">
        <v>23</v>
      </c>
      <c r="C39" s="11" t="s">
        <v>23</v>
      </c>
      <c r="D39" s="172">
        <v>5027661</v>
      </c>
      <c r="E39" s="173" t="s">
        <v>23</v>
      </c>
      <c r="F39" s="174" t="s">
        <v>23</v>
      </c>
      <c r="G39" s="141">
        <f>D39-'[5]Oktobris'!D39</f>
        <v>551861</v>
      </c>
      <c r="H39" s="116" t="s">
        <v>265</v>
      </c>
      <c r="I39" s="175" t="s">
        <v>23</v>
      </c>
      <c r="J39" s="175" t="s">
        <v>23</v>
      </c>
      <c r="K39" s="176">
        <f>ROUND(D39/1000,0)</f>
        <v>5028</v>
      </c>
      <c r="L39" s="173" t="s">
        <v>23</v>
      </c>
      <c r="M39" s="174" t="s">
        <v>23</v>
      </c>
      <c r="N39" s="172">
        <f>K39-'[5]Oktobris'!K39</f>
        <v>552</v>
      </c>
    </row>
    <row r="40" spans="1:14" ht="15.75" customHeight="1">
      <c r="A40" s="115" t="s">
        <v>266</v>
      </c>
      <c r="B40" s="141">
        <v>4487134</v>
      </c>
      <c r="C40" s="141">
        <v>4482569</v>
      </c>
      <c r="D40" s="141">
        <v>3282779</v>
      </c>
      <c r="E40" s="54">
        <f>IF(ISERROR(D40/B40)," ",(D40/B40))</f>
        <v>0.7315981648865401</v>
      </c>
      <c r="F40" s="54">
        <f>IF(ISERROR(D40/C40)," ",(D40/C40))</f>
        <v>0.7323432165795998</v>
      </c>
      <c r="G40" s="141">
        <f>D40-'[5]Oktobris'!D40</f>
        <v>484428</v>
      </c>
      <c r="H40" s="115" t="s">
        <v>266</v>
      </c>
      <c r="I40" s="186">
        <f>ROUND(B40/1000,0)</f>
        <v>4487</v>
      </c>
      <c r="J40" s="186">
        <f>ROUND(C40/1000,0)</f>
        <v>4483</v>
      </c>
      <c r="K40" s="164">
        <f>ROUND(D40/1000,0)</f>
        <v>3283</v>
      </c>
      <c r="L40" s="137">
        <f>IF(ISERROR(ROUND(K40,0)/ROUND(I40,0))," ",(ROUND(K40,)/ROUND(I40,)))</f>
        <v>0.7316692667706708</v>
      </c>
      <c r="M40" s="137">
        <f>IF(ISERROR(ROUND(K40,0)/ROUND(J40,0))," ",(ROUND(K40,)/ROUND(J40,)))</f>
        <v>0.7323221057327682</v>
      </c>
      <c r="N40" s="141">
        <f>K40-'[5]Oktobris'!K40</f>
        <v>485</v>
      </c>
    </row>
    <row r="41" spans="1:14" ht="27" customHeight="1">
      <c r="A41" s="187" t="s">
        <v>267</v>
      </c>
      <c r="B41" s="138">
        <f>SUM(B42:B43)</f>
        <v>64567371</v>
      </c>
      <c r="C41" s="138">
        <v>60012827</v>
      </c>
      <c r="D41" s="138">
        <f>SUM(D42:D43)</f>
        <v>51918730</v>
      </c>
      <c r="E41" s="54">
        <f>IF(ISERROR(D41/B41)," ",(D41/B41))</f>
        <v>0.8041016568569905</v>
      </c>
      <c r="F41" s="54">
        <f>IF(ISERROR(D41/C41)," ",(D41/C41))</f>
        <v>0.8651272168864833</v>
      </c>
      <c r="G41" s="138">
        <f>SUM(G42:G43)</f>
        <v>5603657</v>
      </c>
      <c r="H41" s="187" t="s">
        <v>267</v>
      </c>
      <c r="I41" s="55">
        <f>SUM(I42:I43)</f>
        <v>64567</v>
      </c>
      <c r="J41" s="55">
        <f>SUM(J42:J43)</f>
        <v>60013</v>
      </c>
      <c r="K41" s="55">
        <f>SUM(K42:K43)</f>
        <v>51919</v>
      </c>
      <c r="L41" s="140">
        <f>IF(ISERROR(ROUND(K41,0)/ROUND(I41,0))," ",(ROUND(K41,)/ROUND(I41,)))</f>
        <v>0.8041104589031549</v>
      </c>
      <c r="M41" s="140">
        <f>IF(ISERROR(ROUND(K41,0)/ROUND(J41,0))," ",(ROUND(K41,)/ROUND(J41,)))</f>
        <v>0.8651292220018996</v>
      </c>
      <c r="N41" s="55">
        <f>SUM(N42:N43)</f>
        <v>5604</v>
      </c>
    </row>
    <row r="42" spans="1:14" ht="15" customHeight="1">
      <c r="A42" s="188" t="s">
        <v>268</v>
      </c>
      <c r="B42" s="141">
        <v>14642838</v>
      </c>
      <c r="C42" s="141">
        <v>13954294</v>
      </c>
      <c r="D42" s="141">
        <f>11496628+69018</f>
        <v>11565646</v>
      </c>
      <c r="E42" s="54">
        <f>IF(ISERROR(D42/B42)," ",(D42/B42))</f>
        <v>0.7898500277063777</v>
      </c>
      <c r="F42" s="54">
        <f>IF(ISERROR(D42/C42)," ",(D42/C42))</f>
        <v>0.8288234431638032</v>
      </c>
      <c r="G42" s="141">
        <f>D42-'[5]Oktobris'!D42</f>
        <v>1352200</v>
      </c>
      <c r="H42" s="188" t="s">
        <v>268</v>
      </c>
      <c r="I42" s="189">
        <f>ROUND(B42/1000,0)</f>
        <v>14643</v>
      </c>
      <c r="J42" s="189">
        <f>ROUND(C42/1000,0)</f>
        <v>13954</v>
      </c>
      <c r="K42" s="164">
        <f>ROUND(D42/1000,0)</f>
        <v>11566</v>
      </c>
      <c r="L42" s="137">
        <f>IF(ISERROR(ROUND(K42,0)/ROUND(I42,0))," ",(ROUND(K42,)/ROUND(I42,)))</f>
        <v>0.7898654647271733</v>
      </c>
      <c r="M42" s="137">
        <f>IF(ISERROR(ROUND(K42,0)/ROUND(J42,0))," ",(ROUND(K42,)/ROUND(J42,)))</f>
        <v>0.8288662749032536</v>
      </c>
      <c r="N42" s="141">
        <f>K42-'[5]Oktobris'!K42</f>
        <v>1353</v>
      </c>
    </row>
    <row r="43" spans="1:14" ht="14.25" customHeight="1">
      <c r="A43" s="115" t="s">
        <v>269</v>
      </c>
      <c r="B43" s="141">
        <v>49924533</v>
      </c>
      <c r="C43" s="141">
        <v>46058533</v>
      </c>
      <c r="D43" s="172">
        <f>40326945+26139</f>
        <v>40353084</v>
      </c>
      <c r="E43" s="54">
        <f>IF(ISERROR(D43/B43)," ",(D43/B43))</f>
        <v>0.8082816518283706</v>
      </c>
      <c r="F43" s="54">
        <f>IF(ISERROR(D43/C43)," ",(D43/C43))</f>
        <v>0.876126124121235</v>
      </c>
      <c r="G43" s="141">
        <f>D43-'[5]Oktobris'!D43</f>
        <v>4251457</v>
      </c>
      <c r="H43" s="115" t="s">
        <v>269</v>
      </c>
      <c r="I43" s="189">
        <f>ROUND(B43/1000,0)-1</f>
        <v>49924</v>
      </c>
      <c r="J43" s="189">
        <f>ROUND(C43/1000,0)</f>
        <v>46059</v>
      </c>
      <c r="K43" s="164">
        <f>ROUND(D43/1000,0)</f>
        <v>40353</v>
      </c>
      <c r="L43" s="137">
        <f>IF(ISERROR(ROUND(K43,0)/ROUND(I43,0))," ",(ROUND(K43,)/ROUND(I43,)))</f>
        <v>0.8082885986699784</v>
      </c>
      <c r="M43" s="137">
        <f>IF(ISERROR(ROUND(K43,0)/ROUND(J43,0))," ",(ROUND(K43,)/ROUND(J43,)))</f>
        <v>0.8761154171823097</v>
      </c>
      <c r="N43" s="141">
        <f>K43-'[5]Oktobris'!K43</f>
        <v>4251</v>
      </c>
    </row>
    <row r="44" spans="1:14" ht="30" customHeight="1">
      <c r="A44" s="74" t="s">
        <v>270</v>
      </c>
      <c r="B44" s="21">
        <v>89313683</v>
      </c>
      <c r="C44" s="21" t="s">
        <v>23</v>
      </c>
      <c r="D44" s="190">
        <f>SUM(D45-D46)</f>
        <v>68957656</v>
      </c>
      <c r="E44" s="169">
        <v>0</v>
      </c>
      <c r="F44" s="170" t="s">
        <v>23</v>
      </c>
      <c r="G44" s="138">
        <f>SUM(G45-G46)</f>
        <v>6989232</v>
      </c>
      <c r="H44" s="74" t="s">
        <v>270</v>
      </c>
      <c r="I44" s="189">
        <f>ROUND(B44/1000,0)-1</f>
        <v>89313</v>
      </c>
      <c r="J44" s="171" t="s">
        <v>23</v>
      </c>
      <c r="K44" s="55">
        <f>SUM(K45-K46)</f>
        <v>68957</v>
      </c>
      <c r="L44" s="169" t="s">
        <v>23</v>
      </c>
      <c r="M44" s="170" t="s">
        <v>23</v>
      </c>
      <c r="N44" s="55">
        <f>SUM(N45-N46)</f>
        <v>6989</v>
      </c>
    </row>
    <row r="45" spans="1:14" ht="15" customHeight="1">
      <c r="A45" s="64" t="s">
        <v>271</v>
      </c>
      <c r="B45" s="141"/>
      <c r="C45" s="21" t="s">
        <v>23</v>
      </c>
      <c r="D45" s="191">
        <v>105369261</v>
      </c>
      <c r="E45" s="54"/>
      <c r="F45" s="54"/>
      <c r="G45" s="141">
        <f>D45-'[5]Oktobris'!D45</f>
        <v>10442970</v>
      </c>
      <c r="H45" s="64" t="s">
        <v>271</v>
      </c>
      <c r="I45" s="189">
        <f aca="true" t="shared" si="6" ref="I45:K46">ROUND(B45/1000,0)</f>
        <v>0</v>
      </c>
      <c r="J45" s="192" t="s">
        <v>23</v>
      </c>
      <c r="K45" s="164">
        <f>ROUND(D45/1000,0)</f>
        <v>105369</v>
      </c>
      <c r="L45" s="169" t="s">
        <v>23</v>
      </c>
      <c r="M45" s="169" t="s">
        <v>23</v>
      </c>
      <c r="N45" s="141">
        <f>K45-'[5]Oktobris'!K45</f>
        <v>10443</v>
      </c>
    </row>
    <row r="46" spans="1:14" ht="15" customHeight="1">
      <c r="A46" s="143" t="s">
        <v>272</v>
      </c>
      <c r="B46" s="141"/>
      <c r="C46" s="21" t="s">
        <v>23</v>
      </c>
      <c r="D46" s="193">
        <v>36411605</v>
      </c>
      <c r="E46" s="54"/>
      <c r="F46" s="54"/>
      <c r="G46" s="141">
        <f>D46-'[5]Oktobris'!D46</f>
        <v>3453738</v>
      </c>
      <c r="H46" s="143" t="s">
        <v>272</v>
      </c>
      <c r="I46" s="189">
        <f t="shared" si="6"/>
        <v>0</v>
      </c>
      <c r="J46" s="192" t="s">
        <v>23</v>
      </c>
      <c r="K46" s="164">
        <f t="shared" si="6"/>
        <v>36412</v>
      </c>
      <c r="L46" s="169" t="s">
        <v>23</v>
      </c>
      <c r="M46" s="169" t="s">
        <v>23</v>
      </c>
      <c r="N46" s="141">
        <f>K46-'[5]Oktobris'!K46</f>
        <v>3454</v>
      </c>
    </row>
    <row r="47" spans="1:14" s="60" customFormat="1" ht="19.5" customHeight="1" hidden="1">
      <c r="A47" s="119" t="s">
        <v>273</v>
      </c>
      <c r="B47" s="141">
        <v>-96292223</v>
      </c>
      <c r="C47" s="21" t="s">
        <v>23</v>
      </c>
      <c r="D47" s="138">
        <f>SUM(D11-D15-D44)</f>
        <v>-49438549.25</v>
      </c>
      <c r="E47" s="54">
        <f>IF(ISERROR(D47/B47)," ",(D47/B47))</f>
        <v>0.5134220366892973</v>
      </c>
      <c r="F47" s="170" t="s">
        <v>23</v>
      </c>
      <c r="G47" s="138">
        <f>SUM(G11-G15-G44)</f>
        <v>-10729488.249999978</v>
      </c>
      <c r="H47" s="119" t="s">
        <v>273</v>
      </c>
      <c r="I47" s="161">
        <f>ROUND(B47/1000,0)</f>
        <v>-96292</v>
      </c>
      <c r="J47" s="171" t="s">
        <v>23</v>
      </c>
      <c r="K47" s="55">
        <f>SUM(K11-K15-K44)</f>
        <v>-49440</v>
      </c>
      <c r="L47" s="140">
        <f>IF(ISERROR(ROUND(K47,0)/ROUND(I47,0))," ",(ROUND(K47,)/ROUND(I47,)))</f>
        <v>0.5134382918622523</v>
      </c>
      <c r="M47" s="170" t="s">
        <v>23</v>
      </c>
      <c r="N47" s="55">
        <f>SUM(N11-N15-N44)</f>
        <v>-10730</v>
      </c>
    </row>
    <row r="48" spans="1:14" ht="12.75" customHeight="1">
      <c r="A48" s="91"/>
      <c r="B48" s="34"/>
      <c r="C48" s="34"/>
      <c r="D48" s="34"/>
      <c r="E48" s="194"/>
      <c r="F48" s="159"/>
      <c r="G48" s="2"/>
      <c r="H48" s="91"/>
      <c r="I48" s="34"/>
      <c r="J48" s="34"/>
      <c r="K48" s="34"/>
      <c r="L48" s="194"/>
      <c r="M48" s="159"/>
      <c r="N48" s="2"/>
    </row>
    <row r="49" spans="1:14" ht="0.75" customHeight="1" hidden="1">
      <c r="A49" s="84"/>
      <c r="B49" s="127"/>
      <c r="C49" s="127"/>
      <c r="D49" s="127"/>
      <c r="E49" s="153"/>
      <c r="F49" s="195"/>
      <c r="G49" s="2"/>
      <c r="H49" s="84"/>
      <c r="I49" s="127"/>
      <c r="J49" s="127"/>
      <c r="K49" s="127"/>
      <c r="L49" s="153"/>
      <c r="M49" s="195"/>
      <c r="N49" s="2"/>
    </row>
    <row r="50" spans="1:14" ht="12.75">
      <c r="A50" s="43"/>
      <c r="B50" s="131"/>
      <c r="C50" s="157"/>
      <c r="D50" s="155"/>
      <c r="E50" s="43"/>
      <c r="F50" s="156"/>
      <c r="G50" s="2"/>
      <c r="M50" s="156"/>
      <c r="N50" s="2"/>
    </row>
    <row r="51" spans="1:14" ht="12.75">
      <c r="A51" s="81" t="s">
        <v>274</v>
      </c>
      <c r="B51" s="43"/>
      <c r="C51" s="43"/>
      <c r="D51" s="43"/>
      <c r="E51" s="43"/>
      <c r="F51" s="43"/>
      <c r="G51" s="2"/>
      <c r="I51" s="43"/>
      <c r="J51" s="43"/>
      <c r="K51" s="43"/>
      <c r="L51" s="43"/>
      <c r="M51" s="43"/>
      <c r="N51" s="2"/>
    </row>
    <row r="52" spans="1:14" ht="12.75">
      <c r="A52" s="43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M53" s="2"/>
      <c r="N53" s="2"/>
    </row>
    <row r="54" spans="1:14" ht="12.75">
      <c r="A54" s="2" t="s">
        <v>144</v>
      </c>
      <c r="B54" s="2"/>
      <c r="C54" s="2"/>
      <c r="D54" s="2"/>
      <c r="E54" s="2"/>
      <c r="F54" s="2"/>
      <c r="G54" s="2"/>
      <c r="M54" s="2"/>
      <c r="N54" s="2"/>
    </row>
    <row r="55" spans="1:14" ht="12.75">
      <c r="A55" s="2" t="s">
        <v>401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7:14" ht="12.75">
      <c r="G58" s="2"/>
      <c r="N58" s="2"/>
    </row>
    <row r="59" ht="12.75">
      <c r="G59" s="2"/>
    </row>
    <row r="60" ht="12.75">
      <c r="G60" s="2"/>
    </row>
    <row r="61" spans="7:8" ht="12.75">
      <c r="G61" s="2"/>
      <c r="H61" s="81" t="s">
        <v>275</v>
      </c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3.5" customHeight="1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8" ht="12.75">
      <c r="A78" s="2"/>
      <c r="B78" s="2"/>
      <c r="C78" s="2"/>
      <c r="D78" s="2"/>
      <c r="E78" s="2"/>
      <c r="F78" s="2"/>
      <c r="G78" s="2"/>
      <c r="H78" s="43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8" ht="12.75">
      <c r="A86" s="2"/>
      <c r="B86" s="2"/>
      <c r="C86" s="2"/>
      <c r="D86" s="2"/>
      <c r="E86" s="2"/>
      <c r="F86" s="2"/>
      <c r="G86" s="2"/>
      <c r="H86" s="2" t="s">
        <v>144</v>
      </c>
    </row>
    <row r="87" spans="1:8" ht="12.75">
      <c r="A87" s="2"/>
      <c r="B87" s="2"/>
      <c r="C87" s="2"/>
      <c r="D87" s="2"/>
      <c r="E87" s="2"/>
      <c r="F87" s="2"/>
      <c r="G87" s="2"/>
      <c r="H87" s="2" t="s">
        <v>401</v>
      </c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55"/>
  <sheetViews>
    <sheetView workbookViewId="0" topLeftCell="G1">
      <selection activeCell="G4" sqref="G4:L4"/>
    </sheetView>
  </sheetViews>
  <sheetFormatPr defaultColWidth="9.140625" defaultRowHeight="12.75"/>
  <cols>
    <col min="1" max="1" width="44.8515625" style="196" hidden="1" customWidth="1"/>
    <col min="2" max="3" width="12.57421875" style="196" hidden="1" customWidth="1"/>
    <col min="4" max="4" width="11.7109375" style="196" hidden="1" customWidth="1"/>
    <col min="5" max="5" width="9.00390625" style="196" hidden="1" customWidth="1"/>
    <col min="6" max="6" width="12.7109375" style="196" hidden="1" customWidth="1"/>
    <col min="7" max="7" width="48.851562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9.00390625" style="0" customWidth="1"/>
    <col min="34" max="16384" width="9.140625" style="48" customWidth="1"/>
  </cols>
  <sheetData>
    <row r="1" spans="1:12" ht="24" customHeight="1">
      <c r="A1" s="31"/>
      <c r="B1" s="31"/>
      <c r="C1" s="31"/>
      <c r="D1" s="31"/>
      <c r="F1" s="196" t="s">
        <v>276</v>
      </c>
      <c r="L1" s="196" t="s">
        <v>276</v>
      </c>
    </row>
    <row r="2" spans="1:12" ht="12.75">
      <c r="A2" s="36" t="s">
        <v>59</v>
      </c>
      <c r="B2" s="36"/>
      <c r="C2" s="82"/>
      <c r="D2" s="82"/>
      <c r="E2" s="36"/>
      <c r="G2" s="305" t="s">
        <v>59</v>
      </c>
      <c r="H2" s="305"/>
      <c r="I2" s="305"/>
      <c r="J2" s="305"/>
      <c r="K2" s="305"/>
      <c r="L2" s="305"/>
    </row>
    <row r="3" spans="1:5" ht="12.75">
      <c r="A3" s="36"/>
      <c r="B3" s="36"/>
      <c r="C3" s="82"/>
      <c r="D3" s="82"/>
      <c r="E3" s="36"/>
    </row>
    <row r="4" spans="1:12" ht="36.75" customHeight="1">
      <c r="A4" s="306" t="s">
        <v>277</v>
      </c>
      <c r="B4" s="306"/>
      <c r="C4" s="306"/>
      <c r="D4" s="306"/>
      <c r="E4" s="306"/>
      <c r="F4" s="306"/>
      <c r="G4" s="306" t="s">
        <v>277</v>
      </c>
      <c r="H4" s="306"/>
      <c r="I4" s="306"/>
      <c r="J4" s="306"/>
      <c r="K4" s="306"/>
      <c r="L4" s="306"/>
    </row>
    <row r="5" spans="1:12" ht="18" customHeight="1">
      <c r="A5" s="306" t="s">
        <v>403</v>
      </c>
      <c r="B5" s="306"/>
      <c r="C5" s="306"/>
      <c r="D5" s="306"/>
      <c r="E5" s="306"/>
      <c r="F5" s="306"/>
      <c r="G5" s="306" t="s">
        <v>403</v>
      </c>
      <c r="H5" s="306"/>
      <c r="I5" s="306"/>
      <c r="J5" s="306"/>
      <c r="K5" s="306"/>
      <c r="L5" s="306"/>
    </row>
    <row r="6" spans="1:12" ht="29.25" customHeight="1">
      <c r="A6" s="197"/>
      <c r="B6" s="31"/>
      <c r="C6" s="31"/>
      <c r="D6" s="31"/>
      <c r="F6" s="31" t="s">
        <v>278</v>
      </c>
      <c r="L6" s="31" t="s">
        <v>278</v>
      </c>
    </row>
    <row r="7" spans="1:12" ht="45">
      <c r="A7" s="4" t="s">
        <v>17</v>
      </c>
      <c r="B7" s="4" t="s">
        <v>62</v>
      </c>
      <c r="C7" s="4" t="s">
        <v>226</v>
      </c>
      <c r="D7" s="4" t="s">
        <v>63</v>
      </c>
      <c r="E7" s="4" t="s">
        <v>279</v>
      </c>
      <c r="F7" s="198" t="s">
        <v>398</v>
      </c>
      <c r="G7" s="4" t="s">
        <v>17</v>
      </c>
      <c r="H7" s="4" t="s">
        <v>62</v>
      </c>
      <c r="I7" s="4" t="s">
        <v>280</v>
      </c>
      <c r="J7" s="4" t="s">
        <v>63</v>
      </c>
      <c r="K7" s="4" t="s">
        <v>279</v>
      </c>
      <c r="L7" s="4" t="s">
        <v>398</v>
      </c>
    </row>
    <row r="8" spans="1:12" ht="12.75">
      <c r="A8" s="3">
        <v>1</v>
      </c>
      <c r="B8" s="95">
        <v>2</v>
      </c>
      <c r="C8" s="97">
        <v>3</v>
      </c>
      <c r="D8" s="97">
        <v>4</v>
      </c>
      <c r="E8" s="97">
        <v>5</v>
      </c>
      <c r="F8" s="199">
        <v>6</v>
      </c>
      <c r="G8" s="3">
        <v>1</v>
      </c>
      <c r="H8" s="95">
        <v>2</v>
      </c>
      <c r="I8" s="97">
        <v>3</v>
      </c>
      <c r="J8" s="97">
        <v>4</v>
      </c>
      <c r="K8" s="97">
        <v>5</v>
      </c>
      <c r="L8" s="3">
        <v>6</v>
      </c>
    </row>
    <row r="9" spans="1:33" s="196" customFormat="1" ht="21" customHeight="1">
      <c r="A9" s="30" t="s">
        <v>404</v>
      </c>
      <c r="B9" s="162">
        <f>SUM(B19+B24+B30+B36+B42+B47+B55+B61+B72+B79+B87+B97+B104+B111+B116+B173+B184+B192+B198+B204+B211)-2600000</f>
        <v>732871551</v>
      </c>
      <c r="C9" s="6">
        <f>SUM(C19+C24+C30+C36+C42+C47+C55+C61+C72+C79+C87+C97+C104+C111+C116+C173+C184+C192+C198+C204+C211)-2271000</f>
        <v>684608496</v>
      </c>
      <c r="D9" s="6">
        <f>SUM(D19+D24+D30+D36+D42+D47+D55+D61+D72+D79+D87+D97+D104+D111+D116+D173+D184+D192+D198+D204+D211)-1502806</f>
        <v>629915525</v>
      </c>
      <c r="E9" s="54">
        <f>IF(ISERROR(D9/B9)," ",(D9/B9))</f>
        <v>0.8595169564714077</v>
      </c>
      <c r="F9" s="200">
        <f>SUM(F19+F24+F30+F36+F42+F47+F55+F61+F72+F79+F87+F97+F104+F111+F116+F173+F184+F192+F198+F204+F211)-363595</f>
        <v>52972454</v>
      </c>
      <c r="G9" s="30" t="s">
        <v>404</v>
      </c>
      <c r="H9" s="162">
        <f>SUM(H19+H24+H30+H36+H42+H47+H55+H61+H72+H79+H87+H97+H104+H111+H116+H173+H184+H192+H198+H204+H211)-2600-1</f>
        <v>732871</v>
      </c>
      <c r="I9" s="162">
        <f>SUM(I19+I24+I30+I36+I42+I47+I55+I61+I72+I79+I87+I97+I104+I111+I116+I173+I184+I192+I198+I204+I211)-2271</f>
        <v>684608</v>
      </c>
      <c r="J9" s="162">
        <f>SUM(J19+J24+J30+J36+J42+J47+J55+J61+J72+J79+J87+J97+J104+J111+J116+J173+J184+J192+J198+J204+J211)-1503</f>
        <v>629915</v>
      </c>
      <c r="K9" s="56">
        <f>IF(ISERROR(ROUND(J9,0)/ROUND(H9,0))," ",(ROUND(J9,)/ROUND(H9,)))</f>
        <v>0.8595168863278804</v>
      </c>
      <c r="L9" s="162">
        <f>SUM(L19+L24+L30+L36+L42+L47+L55+L61+L72+L79+L87+L97+L104+L111+L116+L173+L184+L192+L198+L204+L211)-363</f>
        <v>52972</v>
      </c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s="196" customFormat="1" ht="28.5" customHeight="1">
      <c r="A10" s="30" t="s">
        <v>281</v>
      </c>
      <c r="B10" s="6">
        <f>B11+B12</f>
        <v>824566386</v>
      </c>
      <c r="C10" s="6">
        <f>C11+C12</f>
        <v>764578922</v>
      </c>
      <c r="D10" s="6">
        <f>D11+D12</f>
        <v>713659914</v>
      </c>
      <c r="E10" s="202">
        <f aca="true" t="shared" si="0" ref="E10:E73">IF(ISERROR(D10/B10)," ",(D10/B10))</f>
        <v>0.8654972190438042</v>
      </c>
      <c r="F10" s="200">
        <f>F11+F12</f>
        <v>63480406</v>
      </c>
      <c r="G10" s="30" t="s">
        <v>281</v>
      </c>
      <c r="H10" s="162">
        <f>H11+H12</f>
        <v>824567</v>
      </c>
      <c r="I10" s="162">
        <f>I11+I12</f>
        <v>764579</v>
      </c>
      <c r="J10" s="162">
        <f>J11+J12</f>
        <v>713660</v>
      </c>
      <c r="K10" s="56">
        <f aca="true" t="shared" si="1" ref="K10:K73">IF(ISERROR(ROUND(J10,0)/ROUND(H10,0))," ",(ROUND(J10,)/ROUND(H10,)))</f>
        <v>0.8654966788629669</v>
      </c>
      <c r="L10" s="162">
        <f>L11+L12</f>
        <v>63480</v>
      </c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12" ht="12.75">
      <c r="A11" s="203" t="s">
        <v>405</v>
      </c>
      <c r="B11" s="23">
        <f>SUM(B21+B26+B34+B40+B45+B51+B58+B64+B76+B83+B92+B101+B108+B121+B178+B189+B194+B202+B208+B214)-2600000</f>
        <v>775772753</v>
      </c>
      <c r="C11" s="23">
        <f>SUM(C21+C26+C34+C40+C45+C51+C58+C64+C76+C83+C92+C101+C108+C121+C178+C189+C194+C202+C208+C214)-2271000</f>
        <v>717201051</v>
      </c>
      <c r="D11" s="23">
        <f>SUM(D21+D26+D34+D40+D45+D51+D58+D64+D76+D83+D92+D101+D108+D121+D178+D189+D194+D202+D208+D214)-1502806</f>
        <v>670333775</v>
      </c>
      <c r="E11" s="204">
        <f t="shared" si="0"/>
        <v>0.8640852265147807</v>
      </c>
      <c r="F11" s="205">
        <f>SUM(F21+F26+F34+F40+F45+F51+F58+F64+F76+F83+F92+F101+F108+F121+F178+F189+F194+F202+F208+F214)-363595</f>
        <v>61384828</v>
      </c>
      <c r="G11" s="203" t="s">
        <v>406</v>
      </c>
      <c r="H11" s="61">
        <f>ROUND(B11/1000,0)</f>
        <v>775773</v>
      </c>
      <c r="I11" s="23">
        <f>SUM(I21+I26+I34+I40+I45+I51+I58+I64+I76+I83+I92+I101+I108+I121+I178+I189+I194+I202+I208+I214)-1-2271</f>
        <v>717201</v>
      </c>
      <c r="J11" s="23">
        <f>SUM(J21+J26+J34+J40+J45+J51+J58+J64+J76+J83+J92+J101+J108+J121+J178+J189+J194+J202+J208+J214)-1503</f>
        <v>670334</v>
      </c>
      <c r="K11" s="63">
        <f t="shared" si="1"/>
        <v>0.8640852414301606</v>
      </c>
      <c r="L11" s="23">
        <f>SUM(L21+L26+L34+L40+L45+L51+L58+L64+L76+L83+L92+L101+L108+L121+L178+L189+L194+L202+L208+L214)-364</f>
        <v>61385</v>
      </c>
    </row>
    <row r="12" spans="1:12" ht="12.75">
      <c r="A12" s="203" t="s">
        <v>283</v>
      </c>
      <c r="B12" s="23">
        <f>SUM(B27+B52+B59+B65+B77+B84+B93+B102+B109+B113+B122+B179+B190+B195+B209+B215)</f>
        <v>48793633</v>
      </c>
      <c r="C12" s="23">
        <f>SUM(C27+C52+C59+C65+C77+C84+C93+C102+C109+C113+C122+C179+C190+C195+C209+C215)</f>
        <v>47377871</v>
      </c>
      <c r="D12" s="23">
        <f>SUM(D27+D52+D59+D65+D77+D84+D93+D102+D109+D113+D122+D179+D190+D195+D209+D215)</f>
        <v>43326139</v>
      </c>
      <c r="E12" s="204">
        <f t="shared" si="0"/>
        <v>0.8879465687664618</v>
      </c>
      <c r="F12" s="205">
        <f>SUM(F27+F52+F59+F65+F77+F84+F93+F102+F109+F113+F122+F179+F190+F195+F209+F215)</f>
        <v>2095578</v>
      </c>
      <c r="G12" s="203" t="s">
        <v>283</v>
      </c>
      <c r="H12" s="61">
        <f>ROUND(B12/1000,0)</f>
        <v>48794</v>
      </c>
      <c r="I12" s="23">
        <f>SUM(I27+I52+I59+I65+I77+I84+I93+I102+I109+I113+I122+I179+I190+I195+I209+I215)</f>
        <v>47378</v>
      </c>
      <c r="J12" s="23">
        <f>SUM(J27+J52+J59+J65+J77+J84+J93+J102+J109+J113+J122+J179+J190+J195+J209+J215)</f>
        <v>43326</v>
      </c>
      <c r="K12" s="63">
        <f t="shared" si="1"/>
        <v>0.8879370414395212</v>
      </c>
      <c r="L12" s="23">
        <f>SUM(L27+L52+L59+L65+L77+L84+L93+L102+L109+L113+L122+L179+L190+L195+L209+L215)</f>
        <v>2095</v>
      </c>
    </row>
    <row r="13" spans="1:33" s="160" customFormat="1" ht="18.75" customHeight="1">
      <c r="A13" s="30" t="s">
        <v>284</v>
      </c>
      <c r="B13" s="6">
        <f aca="true" t="shared" si="2" ref="B13:D14">SUM(B66)</f>
        <v>3756000</v>
      </c>
      <c r="C13" s="6">
        <f t="shared" si="2"/>
        <v>0</v>
      </c>
      <c r="D13" s="6">
        <f t="shared" si="2"/>
        <v>2557031</v>
      </c>
      <c r="E13" s="202">
        <f t="shared" si="0"/>
        <v>0.6807856762513312</v>
      </c>
      <c r="F13" s="200">
        <f>SUM(F66)</f>
        <v>470662</v>
      </c>
      <c r="G13" s="30" t="s">
        <v>284</v>
      </c>
      <c r="H13" s="162">
        <f aca="true" t="shared" si="3" ref="H13:J14">SUM(H66)</f>
        <v>3756</v>
      </c>
      <c r="I13" s="162">
        <f t="shared" si="3"/>
        <v>0</v>
      </c>
      <c r="J13" s="162">
        <f t="shared" si="3"/>
        <v>2557</v>
      </c>
      <c r="K13" s="56">
        <f t="shared" si="1"/>
        <v>0.6807774227902024</v>
      </c>
      <c r="L13" s="162">
        <f>SUM(L66)</f>
        <v>471</v>
      </c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</row>
    <row r="14" spans="1:33" s="160" customFormat="1" ht="16.5" customHeight="1">
      <c r="A14" s="30" t="s">
        <v>285</v>
      </c>
      <c r="B14" s="6">
        <f t="shared" si="2"/>
        <v>5250</v>
      </c>
      <c r="C14" s="6">
        <f t="shared" si="2"/>
        <v>0</v>
      </c>
      <c r="D14" s="6">
        <f t="shared" si="2"/>
        <v>0</v>
      </c>
      <c r="E14" s="202">
        <f t="shared" si="0"/>
        <v>0</v>
      </c>
      <c r="F14" s="200">
        <f>SUM(F67)</f>
        <v>-14831</v>
      </c>
      <c r="G14" s="30" t="s">
        <v>285</v>
      </c>
      <c r="H14" s="162">
        <f t="shared" si="3"/>
        <v>5</v>
      </c>
      <c r="I14" s="162">
        <f t="shared" si="3"/>
        <v>0</v>
      </c>
      <c r="J14" s="162">
        <f t="shared" si="3"/>
        <v>0</v>
      </c>
      <c r="K14" s="56">
        <f t="shared" si="1"/>
        <v>0</v>
      </c>
      <c r="L14" s="162">
        <f>SUM(L67)</f>
        <v>-15</v>
      </c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</row>
    <row r="15" spans="1:33" s="160" customFormat="1" ht="16.5" customHeight="1">
      <c r="A15" s="30" t="s">
        <v>286</v>
      </c>
      <c r="B15" s="6">
        <f>B9-B10-B13+B14</f>
        <v>-95445585</v>
      </c>
      <c r="C15" s="6">
        <f>C9-C10-C13+C14</f>
        <v>-79970426</v>
      </c>
      <c r="D15" s="6">
        <f>D9-D10-D13+D14</f>
        <v>-86301420</v>
      </c>
      <c r="E15" s="202">
        <f t="shared" si="0"/>
        <v>0.9041949923613544</v>
      </c>
      <c r="F15" s="200">
        <f>F9-F10-F13+F14</f>
        <v>-10993445</v>
      </c>
      <c r="G15" s="30" t="s">
        <v>286</v>
      </c>
      <c r="H15" s="6">
        <f>H9-H10-H13+H14</f>
        <v>-95447</v>
      </c>
      <c r="I15" s="103">
        <f>I9-I10-I13+I14</f>
        <v>-79971</v>
      </c>
      <c r="J15" s="103">
        <f>J9-J10-J13+J14</f>
        <v>-86302</v>
      </c>
      <c r="K15" s="56">
        <f t="shared" si="1"/>
        <v>0.9041876643582302</v>
      </c>
      <c r="L15" s="103">
        <f>L9-L10-L13+L14</f>
        <v>-10994</v>
      </c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</row>
    <row r="16" spans="1:33" s="160" customFormat="1" ht="12.75">
      <c r="A16" s="207" t="s">
        <v>287</v>
      </c>
      <c r="B16" s="6">
        <f>SUM(B69+B95+B124+B181+B217)</f>
        <v>78216127</v>
      </c>
      <c r="C16" s="6">
        <f>SUM(C69+C95+C124+C181+C217)</f>
        <v>0</v>
      </c>
      <c r="D16" s="6">
        <f>SUM(D69+D95+D124+D181+D217)</f>
        <v>65363655</v>
      </c>
      <c r="E16" s="202">
        <f t="shared" si="0"/>
        <v>0.8356800254249357</v>
      </c>
      <c r="F16" s="200">
        <f>SUM(F69+F95+F124+F181+F217)</f>
        <v>9331955</v>
      </c>
      <c r="G16" s="207" t="s">
        <v>287</v>
      </c>
      <c r="H16" s="6">
        <f>SUM(H69+H95+H124+H181+H217)</f>
        <v>78216</v>
      </c>
      <c r="I16" s="162">
        <f>SUM(I69+I95+I124+I181+I217)</f>
        <v>24116</v>
      </c>
      <c r="J16" s="162">
        <f>SUM(J69+J95+J124+J181+J217)</f>
        <v>65363</v>
      </c>
      <c r="K16" s="56">
        <f t="shared" si="1"/>
        <v>0.8356730080801882</v>
      </c>
      <c r="L16" s="162">
        <f>SUM(L69+L95+L124+L181+L217)</f>
        <v>9325</v>
      </c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</row>
    <row r="17" spans="1:12" ht="15" customHeight="1">
      <c r="A17" s="30" t="s">
        <v>195</v>
      </c>
      <c r="B17" s="6"/>
      <c r="C17" s="6"/>
      <c r="D17" s="6"/>
      <c r="E17" s="202" t="str">
        <f t="shared" si="0"/>
        <v> </v>
      </c>
      <c r="F17" s="200"/>
      <c r="G17" s="30" t="s">
        <v>195</v>
      </c>
      <c r="H17" s="208"/>
      <c r="I17" s="208"/>
      <c r="J17" s="208"/>
      <c r="K17" s="59"/>
      <c r="L17" s="208"/>
    </row>
    <row r="18" spans="1:12" ht="12.75">
      <c r="A18" s="209" t="s">
        <v>288</v>
      </c>
      <c r="B18" s="23"/>
      <c r="C18" s="23"/>
      <c r="D18" s="23"/>
      <c r="E18" s="202" t="str">
        <f t="shared" si="0"/>
        <v> </v>
      </c>
      <c r="F18" s="205"/>
      <c r="G18" s="209" t="s">
        <v>288</v>
      </c>
      <c r="H18" s="182"/>
      <c r="I18" s="182"/>
      <c r="J18" s="182"/>
      <c r="K18" s="59"/>
      <c r="L18" s="182"/>
    </row>
    <row r="19" spans="1:12" ht="12.75">
      <c r="A19" s="163" t="s">
        <v>289</v>
      </c>
      <c r="B19" s="23">
        <v>11112131</v>
      </c>
      <c r="C19" s="23">
        <v>10610000</v>
      </c>
      <c r="D19" s="23">
        <v>5538535</v>
      </c>
      <c r="E19" s="204">
        <f t="shared" si="0"/>
        <v>0.49842239980792163</v>
      </c>
      <c r="F19" s="205">
        <f>D19-'[4]Oktobris'!D19</f>
        <v>798469</v>
      </c>
      <c r="G19" s="163" t="s">
        <v>289</v>
      </c>
      <c r="H19" s="61">
        <f>ROUND(B19/1000,0)</f>
        <v>11112</v>
      </c>
      <c r="I19" s="61">
        <f>ROUND(C19/1000,0)</f>
        <v>10610</v>
      </c>
      <c r="J19" s="61">
        <f>ROUND(D19/1000,0)</f>
        <v>5539</v>
      </c>
      <c r="K19" s="63">
        <f t="shared" si="1"/>
        <v>0.49847012239020877</v>
      </c>
      <c r="L19" s="61">
        <f>ROUND(F19/1000,0)</f>
        <v>798</v>
      </c>
    </row>
    <row r="20" spans="1:12" ht="12.75">
      <c r="A20" s="163" t="s">
        <v>290</v>
      </c>
      <c r="B20" s="23">
        <f>B21</f>
        <v>11774000</v>
      </c>
      <c r="C20" s="23">
        <f>C21</f>
        <v>10792000</v>
      </c>
      <c r="D20" s="23">
        <f>D21</f>
        <v>4487354</v>
      </c>
      <c r="E20" s="204">
        <f t="shared" si="0"/>
        <v>0.3811240020383897</v>
      </c>
      <c r="F20" s="205">
        <f>F21</f>
        <v>0</v>
      </c>
      <c r="G20" s="163" t="s">
        <v>290</v>
      </c>
      <c r="H20" s="61">
        <f>ROUND(B20/1000,0)</f>
        <v>11774</v>
      </c>
      <c r="I20" s="23">
        <f>I21</f>
        <v>10792</v>
      </c>
      <c r="J20" s="23">
        <f>J21</f>
        <v>4487</v>
      </c>
      <c r="K20" s="63">
        <f t="shared" si="1"/>
        <v>0.3810939357907253</v>
      </c>
      <c r="L20" s="182">
        <f>L21</f>
        <v>0</v>
      </c>
    </row>
    <row r="21" spans="1:12" ht="12.75">
      <c r="A21" s="163" t="s">
        <v>282</v>
      </c>
      <c r="B21" s="23">
        <v>11774000</v>
      </c>
      <c r="C21" s="43">
        <v>10792000</v>
      </c>
      <c r="D21" s="43">
        <v>4487354</v>
      </c>
      <c r="E21" s="204">
        <f>IF(ISERROR(D20/B21)," ",(D20/B21))</f>
        <v>0.3811240020383897</v>
      </c>
      <c r="F21" s="205">
        <f>D21-'[4]Oktobris'!D21</f>
        <v>0</v>
      </c>
      <c r="G21" s="163" t="s">
        <v>282</v>
      </c>
      <c r="H21" s="61">
        <f>ROUND(B21/1000,0)</f>
        <v>11774</v>
      </c>
      <c r="I21" s="61">
        <f>ROUND(C21/1000,0)</f>
        <v>10792</v>
      </c>
      <c r="J21" s="61">
        <f>ROUND(D21/1000,0)</f>
        <v>4487</v>
      </c>
      <c r="K21" s="63">
        <f t="shared" si="1"/>
        <v>0.3810939357907253</v>
      </c>
      <c r="L21" s="61">
        <f>J21-'[4]Oktobris'!J21</f>
        <v>0</v>
      </c>
    </row>
    <row r="22" spans="1:12" ht="12.75">
      <c r="A22" s="210" t="s">
        <v>291</v>
      </c>
      <c r="B22" s="23">
        <v>4636000</v>
      </c>
      <c r="C22" s="23"/>
      <c r="D22" s="23">
        <v>3636000</v>
      </c>
      <c r="E22" s="204">
        <f t="shared" si="0"/>
        <v>0.7842968075927523</v>
      </c>
      <c r="F22" s="205">
        <f>D22-'[4]Oktobris'!D22</f>
        <v>0</v>
      </c>
      <c r="G22" s="210" t="s">
        <v>291</v>
      </c>
      <c r="H22" s="69">
        <f>ROUND(B22/1000,0)</f>
        <v>4636</v>
      </c>
      <c r="I22" s="69">
        <f>ROUND(C22/1000,0)</f>
        <v>0</v>
      </c>
      <c r="J22" s="69">
        <f>ROUND(D22/1000,0)</f>
        <v>3636</v>
      </c>
      <c r="K22" s="70">
        <f t="shared" si="1"/>
        <v>0.7842968075927523</v>
      </c>
      <c r="L22" s="69">
        <f>J22-'[4]Oktobris'!J22</f>
        <v>0</v>
      </c>
    </row>
    <row r="23" spans="1:12" ht="12.75">
      <c r="A23" s="209" t="s">
        <v>292</v>
      </c>
      <c r="B23" s="23"/>
      <c r="C23" s="23"/>
      <c r="D23" s="23"/>
      <c r="E23" s="204" t="str">
        <f t="shared" si="0"/>
        <v> </v>
      </c>
      <c r="F23" s="205"/>
      <c r="G23" s="209" t="s">
        <v>292</v>
      </c>
      <c r="H23" s="182"/>
      <c r="I23" s="182"/>
      <c r="J23" s="182"/>
      <c r="K23" s="63"/>
      <c r="L23" s="182"/>
    </row>
    <row r="24" spans="1:12" ht="12.75">
      <c r="A24" s="163" t="s">
        <v>289</v>
      </c>
      <c r="B24" s="23">
        <v>3307500</v>
      </c>
      <c r="C24" s="23">
        <v>2957500</v>
      </c>
      <c r="D24" s="23">
        <v>2418054</v>
      </c>
      <c r="E24" s="204">
        <f t="shared" si="0"/>
        <v>0.7310820861678005</v>
      </c>
      <c r="F24" s="205">
        <f>D24-'[4]Oktobris'!D24</f>
        <v>245333</v>
      </c>
      <c r="G24" s="163" t="s">
        <v>289</v>
      </c>
      <c r="H24" s="61">
        <f>ROUND(B24/1000,0)</f>
        <v>3308</v>
      </c>
      <c r="I24" s="61">
        <f>ROUND(C24/1000,0)</f>
        <v>2958</v>
      </c>
      <c r="J24" s="61">
        <f>ROUND(D24/1000,0)</f>
        <v>2418</v>
      </c>
      <c r="K24" s="63">
        <f t="shared" si="1"/>
        <v>0.7309552599758162</v>
      </c>
      <c r="L24" s="61">
        <f>J24-'[4]Oktobris'!J24</f>
        <v>245</v>
      </c>
    </row>
    <row r="25" spans="1:12" ht="12.75">
      <c r="A25" s="163" t="s">
        <v>290</v>
      </c>
      <c r="B25" s="23">
        <f>B26+B27</f>
        <v>2607500</v>
      </c>
      <c r="C25" s="23">
        <f>C26+C27</f>
        <v>2287500</v>
      </c>
      <c r="D25" s="23">
        <f>D26+D27</f>
        <v>2246124</v>
      </c>
      <c r="E25" s="204">
        <f t="shared" si="0"/>
        <v>0.861409012464046</v>
      </c>
      <c r="F25" s="205">
        <f>F26+F27</f>
        <v>203254</v>
      </c>
      <c r="G25" s="163" t="s">
        <v>290</v>
      </c>
      <c r="H25" s="182">
        <f>H26+H27</f>
        <v>2608</v>
      </c>
      <c r="I25" s="182">
        <f>I26+I27</f>
        <v>2288</v>
      </c>
      <c r="J25" s="182">
        <f>J26+J27</f>
        <v>2246</v>
      </c>
      <c r="K25" s="63">
        <f t="shared" si="1"/>
        <v>0.8611963190184049</v>
      </c>
      <c r="L25" s="182">
        <f>L26+L27</f>
        <v>203</v>
      </c>
    </row>
    <row r="26" spans="1:12" ht="12.75">
      <c r="A26" s="163" t="s">
        <v>282</v>
      </c>
      <c r="B26" s="23">
        <v>2521500</v>
      </c>
      <c r="C26" s="23">
        <v>2201500</v>
      </c>
      <c r="D26" s="23">
        <v>2190834</v>
      </c>
      <c r="E26" s="204">
        <f t="shared" si="0"/>
        <v>0.8688613920285544</v>
      </c>
      <c r="F26" s="205">
        <f>D26-'[4]Oktobris'!D26</f>
        <v>200836</v>
      </c>
      <c r="G26" s="163" t="s">
        <v>282</v>
      </c>
      <c r="H26" s="61">
        <f aca="true" t="shared" si="4" ref="H26:J27">ROUND(B26/1000,0)</f>
        <v>2522</v>
      </c>
      <c r="I26" s="61">
        <f>ROUND(C26/1000,0)</f>
        <v>2202</v>
      </c>
      <c r="J26" s="61">
        <f t="shared" si="4"/>
        <v>2191</v>
      </c>
      <c r="K26" s="63">
        <f t="shared" si="1"/>
        <v>0.8687549563838224</v>
      </c>
      <c r="L26" s="61">
        <f>J26-'[4]Oktobris'!J26</f>
        <v>201</v>
      </c>
    </row>
    <row r="27" spans="1:12" ht="12.75">
      <c r="A27" s="163" t="s">
        <v>283</v>
      </c>
      <c r="B27" s="23">
        <v>86000</v>
      </c>
      <c r="C27" s="23">
        <v>86000</v>
      </c>
      <c r="D27" s="23">
        <v>55290</v>
      </c>
      <c r="E27" s="204">
        <f t="shared" si="0"/>
        <v>0.6429069767441861</v>
      </c>
      <c r="F27" s="205">
        <f>D27-'[4]Oktobris'!D27</f>
        <v>2418</v>
      </c>
      <c r="G27" s="163" t="s">
        <v>283</v>
      </c>
      <c r="H27" s="61">
        <f t="shared" si="4"/>
        <v>86</v>
      </c>
      <c r="I27" s="61">
        <f t="shared" si="4"/>
        <v>86</v>
      </c>
      <c r="J27" s="61">
        <f t="shared" si="4"/>
        <v>55</v>
      </c>
      <c r="K27" s="63">
        <f t="shared" si="1"/>
        <v>0.6395348837209303</v>
      </c>
      <c r="L27" s="61">
        <f>J27-'[4]Oktobris'!J27</f>
        <v>2</v>
      </c>
    </row>
    <row r="28" spans="1:12" ht="15" customHeight="1">
      <c r="A28" s="30" t="s">
        <v>196</v>
      </c>
      <c r="B28" s="6"/>
      <c r="C28" s="6"/>
      <c r="D28" s="6"/>
      <c r="E28" s="204" t="str">
        <f t="shared" si="0"/>
        <v> </v>
      </c>
      <c r="F28" s="200"/>
      <c r="G28" s="30" t="s">
        <v>196</v>
      </c>
      <c r="H28" s="208"/>
      <c r="I28" s="208"/>
      <c r="J28" s="208"/>
      <c r="K28" s="63"/>
      <c r="L28" s="208"/>
    </row>
    <row r="29" spans="1:12" ht="27.75" customHeight="1">
      <c r="A29" s="211" t="s">
        <v>293</v>
      </c>
      <c r="B29" s="23"/>
      <c r="C29" s="23"/>
      <c r="D29" s="23"/>
      <c r="E29" s="204" t="str">
        <f t="shared" si="0"/>
        <v> </v>
      </c>
      <c r="F29" s="205"/>
      <c r="G29" s="211" t="s">
        <v>293</v>
      </c>
      <c r="H29" s="182"/>
      <c r="I29" s="182"/>
      <c r="J29" s="182"/>
      <c r="K29" s="63"/>
      <c r="L29" s="182"/>
    </row>
    <row r="30" spans="1:12" ht="12.75">
      <c r="A30" s="163" t="s">
        <v>289</v>
      </c>
      <c r="B30" s="23">
        <f>B31+B32</f>
        <v>1764000</v>
      </c>
      <c r="C30" s="23">
        <v>1764000</v>
      </c>
      <c r="D30" s="23">
        <f>SUM(D31:D32)+1</f>
        <v>2433272</v>
      </c>
      <c r="E30" s="204">
        <f t="shared" si="0"/>
        <v>1.37940589569161</v>
      </c>
      <c r="F30" s="205">
        <f>F31+F32</f>
        <v>171513</v>
      </c>
      <c r="G30" s="163" t="s">
        <v>289</v>
      </c>
      <c r="H30" s="182">
        <f>H31+H32</f>
        <v>1764</v>
      </c>
      <c r="I30" s="61">
        <f>ROUND(C30/1000,0)</f>
        <v>1764</v>
      </c>
      <c r="J30" s="182">
        <f>J31+J32</f>
        <v>2433</v>
      </c>
      <c r="K30" s="63">
        <f t="shared" si="1"/>
        <v>1.379251700680272</v>
      </c>
      <c r="L30" s="182">
        <f>L31+L32</f>
        <v>172</v>
      </c>
    </row>
    <row r="31" spans="1:12" ht="12.75">
      <c r="A31" s="115" t="s">
        <v>294</v>
      </c>
      <c r="B31" s="23">
        <v>1550000</v>
      </c>
      <c r="C31" s="23"/>
      <c r="D31" s="23">
        <f>1990839+143096</f>
        <v>2133935</v>
      </c>
      <c r="E31" s="204">
        <f t="shared" si="0"/>
        <v>1.376732258064516</v>
      </c>
      <c r="F31" s="205">
        <f>D31-'[4]Oktobris'!D31</f>
        <v>154602</v>
      </c>
      <c r="G31" s="115" t="s">
        <v>294</v>
      </c>
      <c r="H31" s="61">
        <f>ROUND(B31/1000,0)</f>
        <v>1550</v>
      </c>
      <c r="I31" s="61">
        <f>ROUND(C31/1000,0)</f>
        <v>0</v>
      </c>
      <c r="J31" s="61">
        <f>ROUND(D31/1000,0)</f>
        <v>2134</v>
      </c>
      <c r="K31" s="63">
        <f t="shared" si="1"/>
        <v>1.376774193548387</v>
      </c>
      <c r="L31" s="61">
        <f>J31-'[4]Oktobris'!J31</f>
        <v>155</v>
      </c>
    </row>
    <row r="32" spans="1:12" ht="12.75">
      <c r="A32" s="188" t="s">
        <v>295</v>
      </c>
      <c r="B32" s="23">
        <v>214000</v>
      </c>
      <c r="C32" s="23"/>
      <c r="D32" s="23">
        <f>94027+119031+86278</f>
        <v>299336</v>
      </c>
      <c r="E32" s="204">
        <f t="shared" si="0"/>
        <v>1.398766355140187</v>
      </c>
      <c r="F32" s="205">
        <f>D32-'[4]Oktobris'!D32</f>
        <v>16911</v>
      </c>
      <c r="G32" s="188" t="s">
        <v>295</v>
      </c>
      <c r="H32" s="61">
        <f>ROUND(B32/1000,0)</f>
        <v>214</v>
      </c>
      <c r="I32" s="61">
        <f>ROUND(C32/1000,0)</f>
        <v>0</v>
      </c>
      <c r="J32" s="61">
        <f>ROUND(D32/1000,0)</f>
        <v>299</v>
      </c>
      <c r="K32" s="63">
        <f t="shared" si="1"/>
        <v>1.397196261682243</v>
      </c>
      <c r="L32" s="61">
        <f>J32-'[4]Oktobris'!J32</f>
        <v>17</v>
      </c>
    </row>
    <row r="33" spans="1:12" ht="12.75">
      <c r="A33" s="163" t="s">
        <v>290</v>
      </c>
      <c r="B33" s="23">
        <v>764000</v>
      </c>
      <c r="C33" s="23">
        <f>C34</f>
        <v>764000</v>
      </c>
      <c r="D33" s="23">
        <f>D34</f>
        <v>666264</v>
      </c>
      <c r="E33" s="204">
        <f t="shared" si="0"/>
        <v>0.8720732984293194</v>
      </c>
      <c r="F33" s="205">
        <f>F34</f>
        <v>110595</v>
      </c>
      <c r="G33" s="163" t="s">
        <v>290</v>
      </c>
      <c r="H33" s="182">
        <f>H34</f>
        <v>764</v>
      </c>
      <c r="I33" s="182">
        <f>I34</f>
        <v>763</v>
      </c>
      <c r="J33" s="182">
        <f>J34</f>
        <v>665</v>
      </c>
      <c r="K33" s="63">
        <f t="shared" si="1"/>
        <v>0.8704188481675392</v>
      </c>
      <c r="L33" s="182">
        <f>L34</f>
        <v>110</v>
      </c>
    </row>
    <row r="34" spans="1:12" ht="12.75">
      <c r="A34" s="163" t="s">
        <v>282</v>
      </c>
      <c r="B34" s="23">
        <v>764000</v>
      </c>
      <c r="C34" s="23">
        <v>764000</v>
      </c>
      <c r="D34" s="23">
        <v>666264</v>
      </c>
      <c r="E34" s="204">
        <f t="shared" si="0"/>
        <v>0.8720732984293194</v>
      </c>
      <c r="F34" s="205">
        <f>D34-'[4]Oktobris'!D34</f>
        <v>110595</v>
      </c>
      <c r="G34" s="163" t="s">
        <v>282</v>
      </c>
      <c r="H34" s="61">
        <f>ROUND(B34/1000,0)</f>
        <v>764</v>
      </c>
      <c r="I34" s="61">
        <f>ROUND(C34/1000,0)-1</f>
        <v>763</v>
      </c>
      <c r="J34" s="61">
        <f>ROUND(D34/1000,0)-1</f>
        <v>665</v>
      </c>
      <c r="K34" s="63">
        <f t="shared" si="1"/>
        <v>0.8704188481675392</v>
      </c>
      <c r="L34" s="61">
        <f>J34-'[4]Oktobris'!J34</f>
        <v>110</v>
      </c>
    </row>
    <row r="35" spans="1:12" ht="24.75" customHeight="1">
      <c r="A35" s="211" t="s">
        <v>296</v>
      </c>
      <c r="B35" s="23"/>
      <c r="C35" s="23"/>
      <c r="D35" s="23"/>
      <c r="E35" s="204" t="str">
        <f t="shared" si="0"/>
        <v> </v>
      </c>
      <c r="F35" s="205"/>
      <c r="G35" s="211" t="s">
        <v>296</v>
      </c>
      <c r="H35" s="182"/>
      <c r="I35" s="182"/>
      <c r="J35" s="182"/>
      <c r="K35" s="63"/>
      <c r="L35" s="182"/>
    </row>
    <row r="36" spans="1:12" ht="12.75">
      <c r="A36" s="163" t="s">
        <v>289</v>
      </c>
      <c r="B36" s="23">
        <f>B37+B38</f>
        <v>147000</v>
      </c>
      <c r="C36" s="23">
        <v>147000</v>
      </c>
      <c r="D36" s="23">
        <f>D37+D38</f>
        <v>219897</v>
      </c>
      <c r="E36" s="204">
        <f t="shared" si="0"/>
        <v>1.4958979591836734</v>
      </c>
      <c r="F36" s="205">
        <f>F37+F38</f>
        <v>0</v>
      </c>
      <c r="G36" s="163" t="s">
        <v>289</v>
      </c>
      <c r="H36" s="182">
        <f>H37+H38</f>
        <v>147</v>
      </c>
      <c r="I36" s="61">
        <f>ROUND(C36/1000,0)</f>
        <v>147</v>
      </c>
      <c r="J36" s="182">
        <f>J37+J38</f>
        <v>220</v>
      </c>
      <c r="K36" s="63">
        <f t="shared" si="1"/>
        <v>1.4965986394557824</v>
      </c>
      <c r="L36" s="182">
        <f>L37+L38</f>
        <v>0</v>
      </c>
    </row>
    <row r="37" spans="1:12" ht="12.75">
      <c r="A37" s="115" t="s">
        <v>297</v>
      </c>
      <c r="B37" s="23">
        <v>147000</v>
      </c>
      <c r="C37" s="23"/>
      <c r="D37" s="23">
        <v>219906</v>
      </c>
      <c r="E37" s="204">
        <f t="shared" si="0"/>
        <v>1.4959591836734694</v>
      </c>
      <c r="F37" s="205">
        <f>D37-'[4]Oktobris'!D37</f>
        <v>0</v>
      </c>
      <c r="G37" s="115" t="s">
        <v>297</v>
      </c>
      <c r="H37" s="61">
        <f>ROUND(B37/1000,0)</f>
        <v>147</v>
      </c>
      <c r="I37" s="61">
        <f>ROUND(C37/1000,0)</f>
        <v>0</v>
      </c>
      <c r="J37" s="61">
        <f>ROUND(D37/1000,0)</f>
        <v>220</v>
      </c>
      <c r="K37" s="63">
        <f t="shared" si="1"/>
        <v>1.4965986394557824</v>
      </c>
      <c r="L37" s="61">
        <f>J37-'[4]Oktobris'!J37</f>
        <v>0</v>
      </c>
    </row>
    <row r="38" spans="1:12" ht="12.75">
      <c r="A38" s="115" t="s">
        <v>295</v>
      </c>
      <c r="B38" s="23"/>
      <c r="C38" s="23"/>
      <c r="D38" s="23">
        <v>-9</v>
      </c>
      <c r="E38" s="204" t="str">
        <f t="shared" si="0"/>
        <v> </v>
      </c>
      <c r="F38" s="205">
        <f>D38-'[4]Oktobris'!D38</f>
        <v>0</v>
      </c>
      <c r="G38" s="115" t="s">
        <v>295</v>
      </c>
      <c r="H38" s="61">
        <f>ROUND(B38/1000,0)</f>
        <v>0</v>
      </c>
      <c r="I38" s="182"/>
      <c r="J38" s="182"/>
      <c r="K38" s="63" t="str">
        <f t="shared" si="1"/>
        <v> </v>
      </c>
      <c r="L38" s="61">
        <f>J38-'[4]Oktobris'!J38</f>
        <v>0</v>
      </c>
    </row>
    <row r="39" spans="1:12" ht="12.75">
      <c r="A39" s="163" t="s">
        <v>290</v>
      </c>
      <c r="B39" s="23"/>
      <c r="C39" s="23">
        <f>C40</f>
        <v>0</v>
      </c>
      <c r="D39" s="23">
        <f>D40</f>
        <v>0</v>
      </c>
      <c r="E39" s="204" t="str">
        <f t="shared" si="0"/>
        <v> </v>
      </c>
      <c r="F39" s="205">
        <f>F40</f>
        <v>0</v>
      </c>
      <c r="G39" s="163" t="s">
        <v>290</v>
      </c>
      <c r="H39" s="182">
        <f>H40</f>
        <v>0</v>
      </c>
      <c r="I39" s="182">
        <f>I40</f>
        <v>0</v>
      </c>
      <c r="J39" s="182">
        <f>J40</f>
        <v>0</v>
      </c>
      <c r="K39" s="63" t="str">
        <f t="shared" si="1"/>
        <v> </v>
      </c>
      <c r="L39" s="182">
        <f>L40</f>
        <v>0</v>
      </c>
    </row>
    <row r="40" spans="1:12" ht="12.75">
      <c r="A40" s="163" t="s">
        <v>282</v>
      </c>
      <c r="B40" s="23"/>
      <c r="C40" s="23"/>
      <c r="D40" s="23"/>
      <c r="E40" s="204" t="str">
        <f t="shared" si="0"/>
        <v> </v>
      </c>
      <c r="F40" s="205">
        <f>D40-'[4]Oktobris'!D40</f>
        <v>0</v>
      </c>
      <c r="G40" s="163" t="s">
        <v>282</v>
      </c>
      <c r="H40" s="61">
        <f>ROUND(B40/1000,0)</f>
        <v>0</v>
      </c>
      <c r="I40" s="61">
        <f>ROUND(C40/1000,0)</f>
        <v>0</v>
      </c>
      <c r="J40" s="61">
        <f>ROUND(D40/1000,0)</f>
        <v>0</v>
      </c>
      <c r="K40" s="63" t="str">
        <f t="shared" si="1"/>
        <v> </v>
      </c>
      <c r="L40" s="61">
        <f>J40-'[4]Oktobris'!J40</f>
        <v>0</v>
      </c>
    </row>
    <row r="41" spans="1:12" ht="15.75" customHeight="1">
      <c r="A41" s="211" t="s">
        <v>298</v>
      </c>
      <c r="B41" s="23"/>
      <c r="C41" s="23"/>
      <c r="D41" s="23"/>
      <c r="E41" s="204" t="str">
        <f t="shared" si="0"/>
        <v> </v>
      </c>
      <c r="F41" s="205"/>
      <c r="G41" s="211" t="s">
        <v>298</v>
      </c>
      <c r="H41" s="182"/>
      <c r="I41" s="182"/>
      <c r="J41" s="182"/>
      <c r="K41" s="63"/>
      <c r="L41" s="182"/>
    </row>
    <row r="42" spans="1:12" ht="12.75">
      <c r="A42" s="163" t="s">
        <v>289</v>
      </c>
      <c r="B42" s="23">
        <f>B43</f>
        <v>88200</v>
      </c>
      <c r="C42" s="23">
        <v>88200</v>
      </c>
      <c r="D42" s="23">
        <f>D43</f>
        <v>121816</v>
      </c>
      <c r="E42" s="204">
        <f t="shared" si="0"/>
        <v>1.3811337868480726</v>
      </c>
      <c r="F42" s="205">
        <f>F43</f>
        <v>0</v>
      </c>
      <c r="G42" s="163" t="s">
        <v>289</v>
      </c>
      <c r="H42" s="182">
        <f>H43</f>
        <v>88</v>
      </c>
      <c r="I42" s="61">
        <f>ROUND(C42/1000,0)</f>
        <v>88</v>
      </c>
      <c r="J42" s="182">
        <f>J43</f>
        <v>122</v>
      </c>
      <c r="K42" s="63">
        <f t="shared" si="1"/>
        <v>1.3863636363636365</v>
      </c>
      <c r="L42" s="182">
        <f>L43</f>
        <v>0</v>
      </c>
    </row>
    <row r="43" spans="1:12" ht="12.75">
      <c r="A43" s="115" t="s">
        <v>297</v>
      </c>
      <c r="B43" s="23">
        <v>88200</v>
      </c>
      <c r="C43" s="23"/>
      <c r="D43" s="23">
        <v>121816</v>
      </c>
      <c r="E43" s="204">
        <f t="shared" si="0"/>
        <v>1.3811337868480726</v>
      </c>
      <c r="F43" s="205">
        <f>D43-'[4]Oktobris'!D43</f>
        <v>0</v>
      </c>
      <c r="G43" s="115" t="s">
        <v>297</v>
      </c>
      <c r="H43" s="61">
        <f>ROUND(B43/1000,0)</f>
        <v>88</v>
      </c>
      <c r="I43" s="61">
        <f>ROUND(C43/1000,0)</f>
        <v>0</v>
      </c>
      <c r="J43" s="61">
        <f>ROUND(D43/1000,0)</f>
        <v>122</v>
      </c>
      <c r="K43" s="63">
        <f t="shared" si="1"/>
        <v>1.3863636363636365</v>
      </c>
      <c r="L43" s="61">
        <f>J43-'[4]Oktobris'!J43</f>
        <v>0</v>
      </c>
    </row>
    <row r="44" spans="1:12" ht="12.75">
      <c r="A44" s="163" t="s">
        <v>290</v>
      </c>
      <c r="B44" s="23">
        <f>B45</f>
        <v>180123</v>
      </c>
      <c r="C44" s="23">
        <f>C45</f>
        <v>180123</v>
      </c>
      <c r="D44" s="23">
        <f>D45</f>
        <v>143599</v>
      </c>
      <c r="E44" s="204">
        <f t="shared" si="0"/>
        <v>0.7972274501312991</v>
      </c>
      <c r="F44" s="205">
        <f>F45</f>
        <v>28849</v>
      </c>
      <c r="G44" s="163" t="s">
        <v>290</v>
      </c>
      <c r="H44" s="182">
        <f>H45</f>
        <v>180</v>
      </c>
      <c r="I44" s="182">
        <f>I45</f>
        <v>180</v>
      </c>
      <c r="J44" s="182">
        <f>J45</f>
        <v>144</v>
      </c>
      <c r="K44" s="63">
        <f t="shared" si="1"/>
        <v>0.8</v>
      </c>
      <c r="L44" s="182">
        <f>L45</f>
        <v>29</v>
      </c>
    </row>
    <row r="45" spans="1:12" ht="12.75">
      <c r="A45" s="163" t="s">
        <v>282</v>
      </c>
      <c r="B45" s="284">
        <v>180123</v>
      </c>
      <c r="C45" s="212">
        <v>180123</v>
      </c>
      <c r="D45" s="212">
        <v>143599</v>
      </c>
      <c r="E45" s="204">
        <f t="shared" si="0"/>
        <v>0.7972274501312991</v>
      </c>
      <c r="F45" s="205">
        <f>D45-'[4]Oktobris'!D45</f>
        <v>28849</v>
      </c>
      <c r="G45" s="163" t="s">
        <v>282</v>
      </c>
      <c r="H45" s="61">
        <f>ROUND(B45/1000,0)</f>
        <v>180</v>
      </c>
      <c r="I45" s="61">
        <f>ROUND(C45/1000,0)</f>
        <v>180</v>
      </c>
      <c r="J45" s="61">
        <f>ROUND(D45/1000,0)</f>
        <v>144</v>
      </c>
      <c r="K45" s="63">
        <f t="shared" si="1"/>
        <v>0.8</v>
      </c>
      <c r="L45" s="61">
        <f>J45-'[4]Oktobris'!J45</f>
        <v>29</v>
      </c>
    </row>
    <row r="46" spans="1:12" ht="26.25" customHeight="1">
      <c r="A46" s="211" t="s">
        <v>299</v>
      </c>
      <c r="B46" s="21"/>
      <c r="C46" s="23"/>
      <c r="D46" s="21"/>
      <c r="E46" s="204" t="str">
        <f t="shared" si="0"/>
        <v> </v>
      </c>
      <c r="F46" s="213"/>
      <c r="G46" s="211" t="s">
        <v>299</v>
      </c>
      <c r="H46" s="171"/>
      <c r="I46" s="171"/>
      <c r="J46" s="171"/>
      <c r="K46" s="63"/>
      <c r="L46" s="171"/>
    </row>
    <row r="47" spans="1:12" ht="12.75">
      <c r="A47" s="163" t="s">
        <v>289</v>
      </c>
      <c r="B47" s="23">
        <f>B48+B49</f>
        <v>1300000</v>
      </c>
      <c r="C47" s="23">
        <v>1300000</v>
      </c>
      <c r="D47" s="23">
        <f>D48+D49</f>
        <v>1289528</v>
      </c>
      <c r="E47" s="204">
        <f t="shared" si="0"/>
        <v>0.9919446153846154</v>
      </c>
      <c r="F47" s="205">
        <f>F48+F49</f>
        <v>20424</v>
      </c>
      <c r="G47" s="163" t="s">
        <v>289</v>
      </c>
      <c r="H47" s="182">
        <f>H48+H49</f>
        <v>1300</v>
      </c>
      <c r="I47" s="61">
        <f>ROUND(C47/1000,0)</f>
        <v>1300</v>
      </c>
      <c r="J47" s="182">
        <f>J48+J49</f>
        <v>1290</v>
      </c>
      <c r="K47" s="63">
        <f t="shared" si="1"/>
        <v>0.9923076923076923</v>
      </c>
      <c r="L47" s="182">
        <f>L48+L49</f>
        <v>21</v>
      </c>
    </row>
    <row r="48" spans="1:12" ht="25.5" customHeight="1">
      <c r="A48" s="143" t="s">
        <v>300</v>
      </c>
      <c r="B48" s="27">
        <v>500000</v>
      </c>
      <c r="C48" s="27"/>
      <c r="D48" s="27">
        <v>500000</v>
      </c>
      <c r="E48" s="204">
        <f t="shared" si="0"/>
        <v>1</v>
      </c>
      <c r="F48" s="205">
        <f>D48-'[4]Oktobris'!D48</f>
        <v>0</v>
      </c>
      <c r="G48" s="143" t="s">
        <v>300</v>
      </c>
      <c r="H48" s="61">
        <f aca="true" t="shared" si="5" ref="H48:J49">ROUND(B48/1000,0)</f>
        <v>500</v>
      </c>
      <c r="I48" s="61">
        <f t="shared" si="5"/>
        <v>0</v>
      </c>
      <c r="J48" s="61">
        <f t="shared" si="5"/>
        <v>500</v>
      </c>
      <c r="K48" s="63">
        <f t="shared" si="1"/>
        <v>1</v>
      </c>
      <c r="L48" s="61">
        <f>J48-'[4]Oktobris'!J48</f>
        <v>0</v>
      </c>
    </row>
    <row r="49" spans="1:12" ht="12.75">
      <c r="A49" s="214" t="s">
        <v>301</v>
      </c>
      <c r="B49" s="27">
        <v>800000</v>
      </c>
      <c r="C49" s="27"/>
      <c r="D49" s="27">
        <v>789528</v>
      </c>
      <c r="E49" s="204">
        <f t="shared" si="0"/>
        <v>0.98691</v>
      </c>
      <c r="F49" s="205">
        <f>D49-'[4]Oktobris'!D49</f>
        <v>20424</v>
      </c>
      <c r="G49" s="214" t="s">
        <v>301</v>
      </c>
      <c r="H49" s="61">
        <f t="shared" si="5"/>
        <v>800</v>
      </c>
      <c r="I49" s="61">
        <f t="shared" si="5"/>
        <v>0</v>
      </c>
      <c r="J49" s="61">
        <f t="shared" si="5"/>
        <v>790</v>
      </c>
      <c r="K49" s="63">
        <f t="shared" si="1"/>
        <v>0.9875</v>
      </c>
      <c r="L49" s="61">
        <f>J49-'[4]Oktobris'!J49</f>
        <v>21</v>
      </c>
    </row>
    <row r="50" spans="1:12" ht="12.75">
      <c r="A50" s="163" t="s">
        <v>290</v>
      </c>
      <c r="B50" s="23">
        <f>B51+B52</f>
        <v>79595</v>
      </c>
      <c r="C50" s="23">
        <f>C51+C52</f>
        <v>77760</v>
      </c>
      <c r="D50" s="23">
        <f>D51+D52</f>
        <v>58650</v>
      </c>
      <c r="E50" s="204">
        <f t="shared" si="0"/>
        <v>0.7368553301086752</v>
      </c>
      <c r="F50" s="205">
        <f>F51+F52</f>
        <v>3602</v>
      </c>
      <c r="G50" s="163" t="s">
        <v>290</v>
      </c>
      <c r="H50" s="182">
        <f>H51+H52</f>
        <v>80</v>
      </c>
      <c r="I50" s="182">
        <f>I51+I52</f>
        <v>78</v>
      </c>
      <c r="J50" s="182">
        <f>J51+J52</f>
        <v>59</v>
      </c>
      <c r="K50" s="63">
        <f t="shared" si="1"/>
        <v>0.7375</v>
      </c>
      <c r="L50" s="182">
        <f>L51+L52</f>
        <v>4</v>
      </c>
    </row>
    <row r="51" spans="1:12" ht="12.75">
      <c r="A51" s="163" t="s">
        <v>282</v>
      </c>
      <c r="B51" s="212">
        <v>67595</v>
      </c>
      <c r="C51" s="212">
        <v>65760</v>
      </c>
      <c r="D51" s="212">
        <v>52028</v>
      </c>
      <c r="E51" s="204">
        <f t="shared" si="0"/>
        <v>0.7697019010281826</v>
      </c>
      <c r="F51" s="205">
        <f>D51-'[4]Oktobris'!D51</f>
        <v>3341</v>
      </c>
      <c r="G51" s="163" t="s">
        <v>282</v>
      </c>
      <c r="H51" s="61">
        <f aca="true" t="shared" si="6" ref="H51:J52">ROUND(B51/1000,0)</f>
        <v>68</v>
      </c>
      <c r="I51" s="61">
        <f t="shared" si="6"/>
        <v>66</v>
      </c>
      <c r="J51" s="61">
        <f t="shared" si="6"/>
        <v>52</v>
      </c>
      <c r="K51" s="63">
        <f t="shared" si="1"/>
        <v>0.7647058823529411</v>
      </c>
      <c r="L51" s="61">
        <f>J51-'[4]Oktobris'!J51</f>
        <v>3</v>
      </c>
    </row>
    <row r="52" spans="1:12" ht="12.75">
      <c r="A52" s="163" t="s">
        <v>283</v>
      </c>
      <c r="B52" s="23">
        <v>12000</v>
      </c>
      <c r="C52" s="23">
        <v>12000</v>
      </c>
      <c r="D52" s="23">
        <v>6622</v>
      </c>
      <c r="E52" s="204">
        <f t="shared" si="0"/>
        <v>0.5518333333333333</v>
      </c>
      <c r="F52" s="205">
        <f>D52-'[4]Oktobris'!D52</f>
        <v>261</v>
      </c>
      <c r="G52" s="163" t="s">
        <v>283</v>
      </c>
      <c r="H52" s="61">
        <f t="shared" si="6"/>
        <v>12</v>
      </c>
      <c r="I52" s="61">
        <f t="shared" si="6"/>
        <v>12</v>
      </c>
      <c r="J52" s="61">
        <f t="shared" si="6"/>
        <v>7</v>
      </c>
      <c r="K52" s="63">
        <f t="shared" si="1"/>
        <v>0.5833333333333334</v>
      </c>
      <c r="L52" s="61">
        <f>J52-'[4]Oktobris'!J52</f>
        <v>1</v>
      </c>
    </row>
    <row r="53" spans="1:12" ht="16.5" customHeight="1">
      <c r="A53" s="30" t="s">
        <v>198</v>
      </c>
      <c r="B53" s="6"/>
      <c r="C53" s="6"/>
      <c r="D53" s="6"/>
      <c r="E53" s="204" t="str">
        <f t="shared" si="0"/>
        <v> </v>
      </c>
      <c r="F53" s="200"/>
      <c r="G53" s="30" t="s">
        <v>198</v>
      </c>
      <c r="H53" s="208"/>
      <c r="I53" s="208"/>
      <c r="J53" s="208"/>
      <c r="K53" s="63"/>
      <c r="L53" s="208"/>
    </row>
    <row r="54" spans="1:12" ht="19.5" customHeight="1">
      <c r="A54" s="209" t="s">
        <v>302</v>
      </c>
      <c r="B54" s="23"/>
      <c r="C54" s="23"/>
      <c r="D54" s="23"/>
      <c r="E54" s="204" t="str">
        <f t="shared" si="0"/>
        <v> </v>
      </c>
      <c r="F54" s="205"/>
      <c r="G54" s="209" t="s">
        <v>302</v>
      </c>
      <c r="H54" s="182"/>
      <c r="I54" s="182"/>
      <c r="J54" s="182"/>
      <c r="K54" s="63"/>
      <c r="L54" s="182"/>
    </row>
    <row r="55" spans="1:12" ht="12.75">
      <c r="A55" s="163" t="s">
        <v>289</v>
      </c>
      <c r="B55" s="23">
        <f>B56</f>
        <v>2032476</v>
      </c>
      <c r="C55" s="23">
        <v>1765537</v>
      </c>
      <c r="D55" s="23">
        <f>D56</f>
        <v>1690028</v>
      </c>
      <c r="E55" s="204">
        <f t="shared" si="0"/>
        <v>0.8315119096117248</v>
      </c>
      <c r="F55" s="205">
        <f>F56</f>
        <v>161991</v>
      </c>
      <c r="G55" s="163" t="s">
        <v>289</v>
      </c>
      <c r="H55" s="182">
        <f>H56</f>
        <v>2032</v>
      </c>
      <c r="I55" s="61">
        <f>ROUND(C55/1000,0)</f>
        <v>1766</v>
      </c>
      <c r="J55" s="182">
        <f>J56</f>
        <v>1690</v>
      </c>
      <c r="K55" s="63">
        <f t="shared" si="1"/>
        <v>0.8316929133858267</v>
      </c>
      <c r="L55" s="182">
        <f>L56</f>
        <v>162</v>
      </c>
    </row>
    <row r="56" spans="1:12" ht="22.5">
      <c r="A56" s="115" t="s">
        <v>303</v>
      </c>
      <c r="B56" s="23">
        <v>2032476</v>
      </c>
      <c r="C56" s="23"/>
      <c r="D56" s="23">
        <v>1690028</v>
      </c>
      <c r="E56" s="204">
        <f t="shared" si="0"/>
        <v>0.8315119096117248</v>
      </c>
      <c r="F56" s="205">
        <f>D56-'[4]Oktobris'!D56</f>
        <v>161991</v>
      </c>
      <c r="G56" s="115" t="s">
        <v>303</v>
      </c>
      <c r="H56" s="61">
        <f>ROUND(B56/1000,0)</f>
        <v>2032</v>
      </c>
      <c r="I56" s="61">
        <f>ROUND(C56/1000,0)</f>
        <v>0</v>
      </c>
      <c r="J56" s="61">
        <f>ROUND(D56/1000,0)</f>
        <v>1690</v>
      </c>
      <c r="K56" s="63">
        <f t="shared" si="1"/>
        <v>0.8316929133858267</v>
      </c>
      <c r="L56" s="61">
        <f>J56-'[4]Oktobris'!J56</f>
        <v>162</v>
      </c>
    </row>
    <row r="57" spans="1:12" ht="12.75">
      <c r="A57" s="163" t="s">
        <v>290</v>
      </c>
      <c r="B57" s="23">
        <f>B58+B59</f>
        <v>2032476</v>
      </c>
      <c r="C57" s="23">
        <f>C58+C59</f>
        <v>1765537</v>
      </c>
      <c r="D57" s="23">
        <f>D58+D59</f>
        <v>1751831</v>
      </c>
      <c r="E57" s="204">
        <f t="shared" si="0"/>
        <v>0.8619196487436998</v>
      </c>
      <c r="F57" s="205">
        <f>F58+F59</f>
        <v>302716</v>
      </c>
      <c r="G57" s="163" t="s">
        <v>290</v>
      </c>
      <c r="H57" s="182">
        <f>H58+H59</f>
        <v>2032</v>
      </c>
      <c r="I57" s="182">
        <f>I58+I59</f>
        <v>1766</v>
      </c>
      <c r="J57" s="182">
        <f>J58+J59</f>
        <v>1752</v>
      </c>
      <c r="K57" s="63">
        <f t="shared" si="1"/>
        <v>0.8622047244094488</v>
      </c>
      <c r="L57" s="182">
        <f>L58+L59</f>
        <v>303</v>
      </c>
    </row>
    <row r="58" spans="1:12" ht="12.75">
      <c r="A58" s="163" t="s">
        <v>282</v>
      </c>
      <c r="B58" s="23">
        <v>1391476</v>
      </c>
      <c r="C58" s="23">
        <v>1124537</v>
      </c>
      <c r="D58" s="23">
        <v>1114831</v>
      </c>
      <c r="E58" s="204">
        <f t="shared" si="0"/>
        <v>0.8011859349352773</v>
      </c>
      <c r="F58" s="205">
        <f>D58-'[4]Oktobris'!D58</f>
        <v>302716</v>
      </c>
      <c r="G58" s="163" t="s">
        <v>282</v>
      </c>
      <c r="H58" s="61">
        <f aca="true" t="shared" si="7" ref="H58:J59">ROUND(B58/1000,0)</f>
        <v>1391</v>
      </c>
      <c r="I58" s="61">
        <f t="shared" si="7"/>
        <v>1125</v>
      </c>
      <c r="J58" s="61">
        <f>ROUND(D58/1000,0)</f>
        <v>1115</v>
      </c>
      <c r="K58" s="63">
        <f t="shared" si="1"/>
        <v>0.8015815959741194</v>
      </c>
      <c r="L58" s="61">
        <f>J58-'[4]Oktobris'!J58</f>
        <v>303</v>
      </c>
    </row>
    <row r="59" spans="1:12" ht="12.75">
      <c r="A59" s="163" t="s">
        <v>283</v>
      </c>
      <c r="B59" s="23">
        <v>641000</v>
      </c>
      <c r="C59" s="23">
        <v>641000</v>
      </c>
      <c r="D59" s="23">
        <v>637000</v>
      </c>
      <c r="E59" s="204">
        <f t="shared" si="0"/>
        <v>0.9937597503900156</v>
      </c>
      <c r="F59" s="205">
        <f>D59-'[4]Oktobris'!D59</f>
        <v>0</v>
      </c>
      <c r="G59" s="163" t="s">
        <v>283</v>
      </c>
      <c r="H59" s="61">
        <f t="shared" si="7"/>
        <v>641</v>
      </c>
      <c r="I59" s="61">
        <f t="shared" si="7"/>
        <v>641</v>
      </c>
      <c r="J59" s="61">
        <f t="shared" si="7"/>
        <v>637</v>
      </c>
      <c r="K59" s="63">
        <f t="shared" si="1"/>
        <v>0.9937597503900156</v>
      </c>
      <c r="L59" s="61">
        <f>J59-'[4]Oktobris'!J59</f>
        <v>0</v>
      </c>
    </row>
    <row r="60" spans="1:12" ht="16.5" customHeight="1">
      <c r="A60" s="211" t="s">
        <v>304</v>
      </c>
      <c r="B60" s="23"/>
      <c r="C60" s="23"/>
      <c r="D60" s="23"/>
      <c r="E60" s="204" t="str">
        <f t="shared" si="0"/>
        <v> </v>
      </c>
      <c r="F60" s="205"/>
      <c r="G60" s="211" t="s">
        <v>304</v>
      </c>
      <c r="H60" s="182"/>
      <c r="I60" s="182"/>
      <c r="J60" s="182"/>
      <c r="K60" s="63"/>
      <c r="L60" s="182"/>
    </row>
    <row r="61" spans="1:12" ht="12.75">
      <c r="A61" s="163" t="s">
        <v>289</v>
      </c>
      <c r="B61" s="23">
        <f>B62</f>
        <v>257230</v>
      </c>
      <c r="C61" s="23">
        <v>217298</v>
      </c>
      <c r="D61" s="23">
        <f>D62</f>
        <v>217298</v>
      </c>
      <c r="E61" s="204">
        <f t="shared" si="0"/>
        <v>0.8447614974925164</v>
      </c>
      <c r="F61" s="205">
        <f>F62</f>
        <v>860</v>
      </c>
      <c r="G61" s="163" t="s">
        <v>289</v>
      </c>
      <c r="H61" s="182">
        <f>H62</f>
        <v>257</v>
      </c>
      <c r="I61" s="61">
        <f>ROUND(C61/1000,0)</f>
        <v>217</v>
      </c>
      <c r="J61" s="182">
        <f>J62</f>
        <v>217</v>
      </c>
      <c r="K61" s="63">
        <f t="shared" si="1"/>
        <v>0.8443579766536965</v>
      </c>
      <c r="L61" s="182">
        <f>L62</f>
        <v>1</v>
      </c>
    </row>
    <row r="62" spans="1:12" ht="12.75">
      <c r="A62" s="115" t="s">
        <v>305</v>
      </c>
      <c r="B62" s="23">
        <v>257230</v>
      </c>
      <c r="C62" s="23"/>
      <c r="D62" s="23">
        <v>217298</v>
      </c>
      <c r="E62" s="204">
        <f t="shared" si="0"/>
        <v>0.8447614974925164</v>
      </c>
      <c r="F62" s="205">
        <f>D62-'[4]Oktobris'!D62</f>
        <v>860</v>
      </c>
      <c r="G62" s="115" t="s">
        <v>305</v>
      </c>
      <c r="H62" s="61">
        <f>ROUND(B62/1000,0)</f>
        <v>257</v>
      </c>
      <c r="I62" s="61">
        <f>ROUND(C62/1000,0)</f>
        <v>0</v>
      </c>
      <c r="J62" s="61">
        <f>ROUND(D62/1000,0)</f>
        <v>217</v>
      </c>
      <c r="K62" s="63">
        <f t="shared" si="1"/>
        <v>0.8443579766536965</v>
      </c>
      <c r="L62" s="61">
        <f>J62-'[4]Oktobris'!J62</f>
        <v>1</v>
      </c>
    </row>
    <row r="63" spans="1:12" ht="12.75">
      <c r="A63" s="163" t="s">
        <v>290</v>
      </c>
      <c r="B63" s="23">
        <f>B64+B65</f>
        <v>262480</v>
      </c>
      <c r="C63" s="23">
        <f>C64+C65</f>
        <v>221234</v>
      </c>
      <c r="D63" s="23">
        <f>D64+D65</f>
        <v>88386</v>
      </c>
      <c r="E63" s="204">
        <f t="shared" si="0"/>
        <v>0.3367342273697044</v>
      </c>
      <c r="F63" s="205">
        <f>F64+F65</f>
        <v>2373</v>
      </c>
      <c r="G63" s="163" t="s">
        <v>290</v>
      </c>
      <c r="H63" s="182">
        <f>H64+H65</f>
        <v>262</v>
      </c>
      <c r="I63" s="182">
        <f>I64+I65</f>
        <v>221</v>
      </c>
      <c r="J63" s="182">
        <f>J64+J65</f>
        <v>88</v>
      </c>
      <c r="K63" s="63">
        <f t="shared" si="1"/>
        <v>0.33587786259541985</v>
      </c>
      <c r="L63" s="182">
        <f>L64+L65</f>
        <v>2</v>
      </c>
    </row>
    <row r="64" spans="1:12" ht="12.75">
      <c r="A64" s="163" t="s">
        <v>282</v>
      </c>
      <c r="B64" s="23">
        <v>260480</v>
      </c>
      <c r="C64" s="23">
        <v>219234</v>
      </c>
      <c r="D64" s="23">
        <v>86386</v>
      </c>
      <c r="E64" s="204">
        <f t="shared" si="0"/>
        <v>0.3316415847665848</v>
      </c>
      <c r="F64" s="205">
        <f>D64-'[4]Oktobris'!D64</f>
        <v>1706</v>
      </c>
      <c r="G64" s="163" t="s">
        <v>282</v>
      </c>
      <c r="H64" s="61">
        <f aca="true" t="shared" si="8" ref="H64:J69">ROUND(B64/1000,0)</f>
        <v>260</v>
      </c>
      <c r="I64" s="61">
        <f t="shared" si="8"/>
        <v>219</v>
      </c>
      <c r="J64" s="61">
        <f t="shared" si="8"/>
        <v>86</v>
      </c>
      <c r="K64" s="63">
        <f t="shared" si="1"/>
        <v>0.33076923076923076</v>
      </c>
      <c r="L64" s="61">
        <f>J64-'[4]Oktobris'!J64</f>
        <v>1</v>
      </c>
    </row>
    <row r="65" spans="1:12" ht="12.75">
      <c r="A65" s="163" t="s">
        <v>283</v>
      </c>
      <c r="B65" s="23">
        <v>2000</v>
      </c>
      <c r="C65" s="23">
        <v>2000</v>
      </c>
      <c r="D65" s="23">
        <v>2000</v>
      </c>
      <c r="E65" s="204">
        <f t="shared" si="0"/>
        <v>1</v>
      </c>
      <c r="F65" s="205">
        <f>D65-'[4]Oktobris'!D65</f>
        <v>667</v>
      </c>
      <c r="G65" s="163" t="s">
        <v>283</v>
      </c>
      <c r="H65" s="61">
        <f t="shared" si="8"/>
        <v>2</v>
      </c>
      <c r="I65" s="61">
        <f t="shared" si="8"/>
        <v>2</v>
      </c>
      <c r="J65" s="61">
        <f t="shared" si="8"/>
        <v>2</v>
      </c>
      <c r="K65" s="63">
        <f t="shared" si="1"/>
        <v>1</v>
      </c>
      <c r="L65" s="61">
        <f>J65-'[4]Oktobris'!J65</f>
        <v>1</v>
      </c>
    </row>
    <row r="66" spans="1:12" ht="12.75">
      <c r="A66" s="163" t="s">
        <v>284</v>
      </c>
      <c r="B66" s="23">
        <v>3756000</v>
      </c>
      <c r="C66" s="23"/>
      <c r="D66" s="23">
        <v>2557031</v>
      </c>
      <c r="E66" s="204">
        <f t="shared" si="0"/>
        <v>0.6807856762513312</v>
      </c>
      <c r="F66" s="205">
        <f>D66-'[4]Oktobris'!D66</f>
        <v>470662</v>
      </c>
      <c r="G66" s="163" t="s">
        <v>284</v>
      </c>
      <c r="H66" s="61">
        <f t="shared" si="8"/>
        <v>3756</v>
      </c>
      <c r="I66" s="61">
        <f t="shared" si="8"/>
        <v>0</v>
      </c>
      <c r="J66" s="61">
        <f t="shared" si="8"/>
        <v>2557</v>
      </c>
      <c r="K66" s="63">
        <f t="shared" si="1"/>
        <v>0.6807774227902024</v>
      </c>
      <c r="L66" s="61">
        <f>J66-'[4]Oktobris'!J66</f>
        <v>471</v>
      </c>
    </row>
    <row r="67" spans="1:12" ht="12.75">
      <c r="A67" s="163" t="s">
        <v>285</v>
      </c>
      <c r="B67" s="23">
        <v>5250</v>
      </c>
      <c r="C67" s="23"/>
      <c r="D67" s="23"/>
      <c r="E67" s="204">
        <f t="shared" si="0"/>
        <v>0</v>
      </c>
      <c r="F67" s="205">
        <f>D67-'[4]Oktobris'!D67</f>
        <v>-14831</v>
      </c>
      <c r="G67" s="163" t="s">
        <v>285</v>
      </c>
      <c r="H67" s="61">
        <f t="shared" si="8"/>
        <v>5</v>
      </c>
      <c r="I67" s="61">
        <f t="shared" si="8"/>
        <v>0</v>
      </c>
      <c r="J67" s="61">
        <f t="shared" si="8"/>
        <v>0</v>
      </c>
      <c r="K67" s="63">
        <f t="shared" si="1"/>
        <v>0</v>
      </c>
      <c r="L67" s="61">
        <f>J67-'[4]Oktobris'!J67</f>
        <v>-15</v>
      </c>
    </row>
    <row r="68" spans="1:12" ht="12.75">
      <c r="A68" s="163" t="s">
        <v>286</v>
      </c>
      <c r="B68" s="23">
        <v>-3756000</v>
      </c>
      <c r="C68" s="23">
        <f>C61-C63-C66+C67</f>
        <v>-3936</v>
      </c>
      <c r="D68" s="23">
        <f>D61-D63-D66+D67</f>
        <v>-2428119</v>
      </c>
      <c r="E68" s="204">
        <f t="shared" si="0"/>
        <v>0.6464640575079872</v>
      </c>
      <c r="F68" s="205">
        <f>D68-'[4]Oktobris'!D68</f>
        <v>-487006</v>
      </c>
      <c r="G68" s="163" t="s">
        <v>286</v>
      </c>
      <c r="H68" s="61">
        <f t="shared" si="8"/>
        <v>-3756</v>
      </c>
      <c r="I68" s="61">
        <f t="shared" si="8"/>
        <v>-4</v>
      </c>
      <c r="J68" s="61">
        <f t="shared" si="8"/>
        <v>-2428</v>
      </c>
      <c r="K68" s="63">
        <f t="shared" si="1"/>
        <v>0.6464323748668797</v>
      </c>
      <c r="L68" s="61">
        <f>J68-'[4]Oktobris'!J68</f>
        <v>-487</v>
      </c>
    </row>
    <row r="69" spans="1:12" ht="12.75">
      <c r="A69" s="163" t="s">
        <v>287</v>
      </c>
      <c r="B69" s="23">
        <v>3756000</v>
      </c>
      <c r="C69" s="23"/>
      <c r="D69" s="23">
        <v>2557031</v>
      </c>
      <c r="E69" s="204">
        <f t="shared" si="0"/>
        <v>0.6807856762513312</v>
      </c>
      <c r="F69" s="205">
        <f>D69-'[4]Oktobris'!D69</f>
        <v>470662</v>
      </c>
      <c r="G69" s="163" t="s">
        <v>287</v>
      </c>
      <c r="H69" s="61">
        <f t="shared" si="8"/>
        <v>3756</v>
      </c>
      <c r="I69" s="61">
        <f t="shared" si="8"/>
        <v>0</v>
      </c>
      <c r="J69" s="61">
        <f t="shared" si="8"/>
        <v>2557</v>
      </c>
      <c r="K69" s="63">
        <f t="shared" si="1"/>
        <v>0.6807774227902024</v>
      </c>
      <c r="L69" s="61">
        <f>J69-'[4]Oktobris'!J69</f>
        <v>471</v>
      </c>
    </row>
    <row r="70" spans="1:12" ht="15.75" customHeight="1">
      <c r="A70" s="74" t="s">
        <v>199</v>
      </c>
      <c r="B70" s="6"/>
      <c r="C70" s="6"/>
      <c r="D70" s="6"/>
      <c r="E70" s="204" t="str">
        <f t="shared" si="0"/>
        <v> </v>
      </c>
      <c r="F70" s="200"/>
      <c r="G70" s="74" t="s">
        <v>199</v>
      </c>
      <c r="H70" s="208"/>
      <c r="I70" s="208"/>
      <c r="J70" s="208"/>
      <c r="K70" s="63"/>
      <c r="L70" s="208"/>
    </row>
    <row r="71" spans="1:12" ht="16.5" customHeight="1">
      <c r="A71" s="209" t="s">
        <v>306</v>
      </c>
      <c r="B71" s="23"/>
      <c r="C71" s="23"/>
      <c r="D71" s="23"/>
      <c r="E71" s="204" t="str">
        <f t="shared" si="0"/>
        <v> </v>
      </c>
      <c r="F71" s="205"/>
      <c r="G71" s="209" t="s">
        <v>306</v>
      </c>
      <c r="H71" s="182"/>
      <c r="I71" s="182"/>
      <c r="J71" s="182"/>
      <c r="K71" s="63"/>
      <c r="L71" s="182"/>
    </row>
    <row r="72" spans="1:12" ht="12.75">
      <c r="A72" s="163" t="s">
        <v>289</v>
      </c>
      <c r="B72" s="23">
        <f>B73+B74</f>
        <v>784500</v>
      </c>
      <c r="C72" s="23">
        <v>734977</v>
      </c>
      <c r="D72" s="23">
        <f>D73+D74</f>
        <v>498992</v>
      </c>
      <c r="E72" s="204">
        <f t="shared" si="0"/>
        <v>0.6360637348629701</v>
      </c>
      <c r="F72" s="205">
        <f>F73+F74</f>
        <v>13272</v>
      </c>
      <c r="G72" s="163" t="s">
        <v>289</v>
      </c>
      <c r="H72" s="182">
        <f>H73+H74</f>
        <v>785</v>
      </c>
      <c r="I72" s="61">
        <f>ROUND(C72/1000,0)</f>
        <v>735</v>
      </c>
      <c r="J72" s="182">
        <f>J73+J74</f>
        <v>498</v>
      </c>
      <c r="K72" s="63">
        <f t="shared" si="1"/>
        <v>0.6343949044585987</v>
      </c>
      <c r="L72" s="182">
        <f>L73+L74</f>
        <v>12</v>
      </c>
    </row>
    <row r="73" spans="1:12" ht="27.75" customHeight="1">
      <c r="A73" s="115" t="s">
        <v>307</v>
      </c>
      <c r="B73" s="23">
        <f>380000+65000+55000+10000</f>
        <v>510000</v>
      </c>
      <c r="C73" s="23"/>
      <c r="D73" s="23">
        <v>272422</v>
      </c>
      <c r="E73" s="204">
        <f t="shared" si="0"/>
        <v>0.5341607843137255</v>
      </c>
      <c r="F73" s="205">
        <f>D73-'[4]Oktobris'!D73</f>
        <v>11632</v>
      </c>
      <c r="G73" s="115" t="s">
        <v>307</v>
      </c>
      <c r="H73" s="61">
        <f>ROUND(B73/1000,0)</f>
        <v>510</v>
      </c>
      <c r="I73" s="61">
        <f>ROUND(C73/1000,0)</f>
        <v>0</v>
      </c>
      <c r="J73" s="61">
        <f>ROUND(D73/1000,0)</f>
        <v>272</v>
      </c>
      <c r="K73" s="63">
        <f t="shared" si="1"/>
        <v>0.5333333333333333</v>
      </c>
      <c r="L73" s="61">
        <f>J73-'[4]Oktobris'!J73</f>
        <v>11</v>
      </c>
    </row>
    <row r="74" spans="1:12" ht="12.75">
      <c r="A74" s="163" t="s">
        <v>308</v>
      </c>
      <c r="B74" s="23">
        <v>274500</v>
      </c>
      <c r="C74" s="23"/>
      <c r="D74" s="23">
        <f>48385+49587+2493+126105</f>
        <v>226570</v>
      </c>
      <c r="E74" s="204">
        <f aca="true" t="shared" si="9" ref="E74:E137">IF(ISERROR(D74/B74)," ",(D74/B74))</f>
        <v>0.8253916211293261</v>
      </c>
      <c r="F74" s="205">
        <f>D74-'[4]Oktobris'!D74</f>
        <v>1640</v>
      </c>
      <c r="G74" s="115" t="s">
        <v>295</v>
      </c>
      <c r="H74" s="61">
        <f>ROUND(B74/1000,0)</f>
        <v>275</v>
      </c>
      <c r="I74" s="61">
        <f>ROUND(C74/1000,0)</f>
        <v>0</v>
      </c>
      <c r="J74" s="61">
        <f>ROUND(D74/1000,0)-1</f>
        <v>226</v>
      </c>
      <c r="K74" s="63">
        <f aca="true" t="shared" si="10" ref="K74:K137">IF(ISERROR(ROUND(J74,0)/ROUND(H74,0))," ",(ROUND(J74,)/ROUND(H74,)))</f>
        <v>0.8218181818181818</v>
      </c>
      <c r="L74" s="61">
        <f>J74-'[4]Oktobris'!J74</f>
        <v>1</v>
      </c>
    </row>
    <row r="75" spans="1:12" ht="12.75">
      <c r="A75" s="163" t="s">
        <v>290</v>
      </c>
      <c r="B75" s="23">
        <f>B76+B77</f>
        <v>784500</v>
      </c>
      <c r="C75" s="23">
        <f>C76+C77</f>
        <v>734977</v>
      </c>
      <c r="D75" s="23">
        <f>D76+D77</f>
        <v>604027</v>
      </c>
      <c r="E75" s="204">
        <f t="shared" si="9"/>
        <v>0.7699515615041428</v>
      </c>
      <c r="F75" s="205">
        <f>F76+F77</f>
        <v>43331</v>
      </c>
      <c r="G75" s="163" t="s">
        <v>290</v>
      </c>
      <c r="H75" s="182">
        <f>H76+H77</f>
        <v>785</v>
      </c>
      <c r="I75" s="182">
        <f>I76+I77</f>
        <v>735</v>
      </c>
      <c r="J75" s="182">
        <f>J76+J77</f>
        <v>605</v>
      </c>
      <c r="K75" s="63">
        <f t="shared" si="10"/>
        <v>0.7707006369426752</v>
      </c>
      <c r="L75" s="182">
        <f>L76+L77</f>
        <v>44</v>
      </c>
    </row>
    <row r="76" spans="1:12" ht="12.75">
      <c r="A76" s="163" t="s">
        <v>282</v>
      </c>
      <c r="B76" s="23">
        <v>700577</v>
      </c>
      <c r="C76" s="23">
        <v>652277</v>
      </c>
      <c r="D76" s="23">
        <v>525516</v>
      </c>
      <c r="E76" s="204">
        <f t="shared" si="9"/>
        <v>0.7501188306210452</v>
      </c>
      <c r="F76" s="205">
        <f>D76-'[4]Oktobris'!D76</f>
        <v>43331</v>
      </c>
      <c r="G76" s="163" t="s">
        <v>282</v>
      </c>
      <c r="H76" s="61">
        <f aca="true" t="shared" si="11" ref="H76:J77">ROUND(B76/1000,0)</f>
        <v>701</v>
      </c>
      <c r="I76" s="61">
        <f t="shared" si="11"/>
        <v>652</v>
      </c>
      <c r="J76" s="61">
        <f t="shared" si="11"/>
        <v>526</v>
      </c>
      <c r="K76" s="63">
        <f t="shared" si="10"/>
        <v>0.7503566333808844</v>
      </c>
      <c r="L76" s="61">
        <f>J76-'[4]Oktobris'!J76</f>
        <v>44</v>
      </c>
    </row>
    <row r="77" spans="1:12" ht="12.75">
      <c r="A77" s="163" t="s">
        <v>283</v>
      </c>
      <c r="B77" s="23">
        <v>83923</v>
      </c>
      <c r="C77" s="23">
        <v>82700</v>
      </c>
      <c r="D77" s="23">
        <v>78511</v>
      </c>
      <c r="E77" s="204">
        <f t="shared" si="9"/>
        <v>0.9355123148600503</v>
      </c>
      <c r="F77" s="205">
        <f>D77-'[4]Oktobris'!D77</f>
        <v>0</v>
      </c>
      <c r="G77" s="163" t="s">
        <v>283</v>
      </c>
      <c r="H77" s="61">
        <f t="shared" si="11"/>
        <v>84</v>
      </c>
      <c r="I77" s="61">
        <f t="shared" si="11"/>
        <v>83</v>
      </c>
      <c r="J77" s="61">
        <f t="shared" si="11"/>
        <v>79</v>
      </c>
      <c r="K77" s="63">
        <f t="shared" si="10"/>
        <v>0.9404761904761905</v>
      </c>
      <c r="L77" s="61">
        <f>J77-'[4]Oktobris'!J77</f>
        <v>0</v>
      </c>
    </row>
    <row r="78" spans="1:12" ht="15.75" customHeight="1">
      <c r="A78" s="209" t="s">
        <v>309</v>
      </c>
      <c r="B78" s="23"/>
      <c r="C78" s="23"/>
      <c r="D78" s="23"/>
      <c r="E78" s="204" t="str">
        <f t="shared" si="9"/>
        <v> </v>
      </c>
      <c r="F78" s="205"/>
      <c r="G78" s="209" t="s">
        <v>309</v>
      </c>
      <c r="H78" s="182"/>
      <c r="I78" s="182"/>
      <c r="J78" s="182"/>
      <c r="K78" s="63"/>
      <c r="L78" s="182"/>
    </row>
    <row r="79" spans="1:12" ht="12.75">
      <c r="A79" s="163" t="s">
        <v>289</v>
      </c>
      <c r="B79" s="23">
        <f>B80+B81</f>
        <v>24000000</v>
      </c>
      <c r="C79" s="23">
        <v>23520150</v>
      </c>
      <c r="D79" s="23">
        <f>D80+D81</f>
        <v>17290015</v>
      </c>
      <c r="E79" s="204">
        <f t="shared" si="9"/>
        <v>0.7204172916666667</v>
      </c>
      <c r="F79" s="205">
        <f>F80+F81</f>
        <v>1622198</v>
      </c>
      <c r="G79" s="163" t="s">
        <v>289</v>
      </c>
      <c r="H79" s="182">
        <f>H80+H81</f>
        <v>24000</v>
      </c>
      <c r="I79" s="61">
        <f>ROUND(C79/1000,0)</f>
        <v>23520</v>
      </c>
      <c r="J79" s="182">
        <f>J80+J81</f>
        <v>17290</v>
      </c>
      <c r="K79" s="63">
        <f t="shared" si="10"/>
        <v>0.7204166666666667</v>
      </c>
      <c r="L79" s="182">
        <f>L80+L81</f>
        <v>1622</v>
      </c>
    </row>
    <row r="80" spans="1:12" ht="12.75">
      <c r="A80" s="115" t="s">
        <v>310</v>
      </c>
      <c r="B80" s="23">
        <v>18919004</v>
      </c>
      <c r="C80" s="23"/>
      <c r="D80" s="23">
        <v>15369109</v>
      </c>
      <c r="E80" s="204">
        <f t="shared" si="9"/>
        <v>0.8123635366851236</v>
      </c>
      <c r="F80" s="205">
        <f>D80-'[4]Oktobris'!D80</f>
        <v>1068940</v>
      </c>
      <c r="G80" s="115" t="s">
        <v>310</v>
      </c>
      <c r="H80" s="61">
        <f>ROUND(B80/1000,0)</f>
        <v>18919</v>
      </c>
      <c r="I80" s="61">
        <f>ROUND(C80/1000,0)</f>
        <v>0</v>
      </c>
      <c r="J80" s="61">
        <f>ROUND(D80/1000,0)</f>
        <v>15369</v>
      </c>
      <c r="K80" s="63">
        <f t="shared" si="10"/>
        <v>0.8123579470373699</v>
      </c>
      <c r="L80" s="61">
        <f>J80-'[4]Oktobris'!J80</f>
        <v>1069</v>
      </c>
    </row>
    <row r="81" spans="1:12" ht="12.75">
      <c r="A81" s="163" t="s">
        <v>232</v>
      </c>
      <c r="B81" s="23">
        <v>5080996</v>
      </c>
      <c r="C81" s="23"/>
      <c r="D81" s="23">
        <f>264480+1656426</f>
        <v>1920906</v>
      </c>
      <c r="E81" s="204">
        <f t="shared" si="9"/>
        <v>0.37805697937963345</v>
      </c>
      <c r="F81" s="205">
        <f>D81-'[4]Oktobris'!D81</f>
        <v>553258</v>
      </c>
      <c r="G81" s="163" t="s">
        <v>232</v>
      </c>
      <c r="H81" s="61">
        <f>ROUND(B81/1000,0)</f>
        <v>5081</v>
      </c>
      <c r="I81" s="61">
        <f>ROUND(C81/1000,0)</f>
        <v>0</v>
      </c>
      <c r="J81" s="61">
        <f>ROUND(D81/1000,0)</f>
        <v>1921</v>
      </c>
      <c r="K81" s="63">
        <f t="shared" si="10"/>
        <v>0.3780751820507774</v>
      </c>
      <c r="L81" s="61">
        <f>J81-'[4]Oktobris'!J81</f>
        <v>553</v>
      </c>
    </row>
    <row r="82" spans="1:12" ht="12.75">
      <c r="A82" s="163" t="s">
        <v>290</v>
      </c>
      <c r="B82" s="23">
        <f>B83+B84</f>
        <v>23000000</v>
      </c>
      <c r="C82" s="23">
        <f>C83+C84</f>
        <v>22520150</v>
      </c>
      <c r="D82" s="23">
        <f>D83+D84</f>
        <v>18508514</v>
      </c>
      <c r="E82" s="204">
        <f t="shared" si="9"/>
        <v>0.804718</v>
      </c>
      <c r="F82" s="205">
        <f>F83+F84</f>
        <v>1940255</v>
      </c>
      <c r="G82" s="163" t="s">
        <v>290</v>
      </c>
      <c r="H82" s="182">
        <f>H83+H84</f>
        <v>23000</v>
      </c>
      <c r="I82" s="182">
        <f>I83+I84</f>
        <v>22520</v>
      </c>
      <c r="J82" s="182">
        <f>J83+J84</f>
        <v>18508</v>
      </c>
      <c r="K82" s="63">
        <f t="shared" si="10"/>
        <v>0.804695652173913</v>
      </c>
      <c r="L82" s="182">
        <f>L83+L84</f>
        <v>1939</v>
      </c>
    </row>
    <row r="83" spans="1:12" ht="12.75">
      <c r="A83" s="163" t="s">
        <v>282</v>
      </c>
      <c r="B83" s="23">
        <v>21163728</v>
      </c>
      <c r="C83" s="23">
        <v>20683878</v>
      </c>
      <c r="D83" s="23">
        <v>16977656</v>
      </c>
      <c r="E83" s="204">
        <f t="shared" si="9"/>
        <v>0.802205358148621</v>
      </c>
      <c r="F83" s="205">
        <f>D83-'[4]Oktobris'!D83</f>
        <v>1761020</v>
      </c>
      <c r="G83" s="163" t="s">
        <v>282</v>
      </c>
      <c r="H83" s="61">
        <f aca="true" t="shared" si="12" ref="H83:J84">ROUND(B83/1000,0)</f>
        <v>21164</v>
      </c>
      <c r="I83" s="61">
        <f t="shared" si="12"/>
        <v>20684</v>
      </c>
      <c r="J83" s="61">
        <f>ROUND(D83/1000,0)-1</f>
        <v>16977</v>
      </c>
      <c r="K83" s="63">
        <f t="shared" si="10"/>
        <v>0.8021640521640522</v>
      </c>
      <c r="L83" s="61">
        <f>J83-'[4]Oktobris'!J83</f>
        <v>1760</v>
      </c>
    </row>
    <row r="84" spans="1:12" ht="12.75">
      <c r="A84" s="163" t="s">
        <v>283</v>
      </c>
      <c r="B84" s="23">
        <v>1836272</v>
      </c>
      <c r="C84" s="23">
        <v>1836272</v>
      </c>
      <c r="D84" s="23">
        <v>1530858</v>
      </c>
      <c r="E84" s="204">
        <f t="shared" si="9"/>
        <v>0.8336771458694573</v>
      </c>
      <c r="F84" s="205">
        <f>D84-'[4]Oktobris'!D84</f>
        <v>179235</v>
      </c>
      <c r="G84" s="163" t="s">
        <v>283</v>
      </c>
      <c r="H84" s="61">
        <f t="shared" si="12"/>
        <v>1836</v>
      </c>
      <c r="I84" s="61">
        <f t="shared" si="12"/>
        <v>1836</v>
      </c>
      <c r="J84" s="61">
        <f t="shared" si="12"/>
        <v>1531</v>
      </c>
      <c r="K84" s="63">
        <f t="shared" si="10"/>
        <v>0.8338779956427015</v>
      </c>
      <c r="L84" s="61">
        <f>J84-'[4]Oktobris'!J84</f>
        <v>179</v>
      </c>
    </row>
    <row r="85" spans="1:12" ht="18" customHeight="1">
      <c r="A85" s="30" t="s">
        <v>200</v>
      </c>
      <c r="B85" s="6"/>
      <c r="C85" s="6"/>
      <c r="D85" s="6"/>
      <c r="E85" s="204" t="str">
        <f t="shared" si="9"/>
        <v> </v>
      </c>
      <c r="F85" s="200"/>
      <c r="G85" s="30" t="s">
        <v>200</v>
      </c>
      <c r="H85" s="61"/>
      <c r="I85" s="61"/>
      <c r="J85" s="61"/>
      <c r="K85" s="63"/>
      <c r="L85" s="61"/>
    </row>
    <row r="86" spans="1:12" ht="21" customHeight="1">
      <c r="A86" s="209" t="s">
        <v>311</v>
      </c>
      <c r="B86" s="23"/>
      <c r="C86" s="23"/>
      <c r="D86" s="23"/>
      <c r="E86" s="204" t="str">
        <f t="shared" si="9"/>
        <v> </v>
      </c>
      <c r="F86" s="205"/>
      <c r="G86" s="209" t="s">
        <v>311</v>
      </c>
      <c r="H86" s="182"/>
      <c r="I86" s="182"/>
      <c r="J86" s="182"/>
      <c r="K86" s="63"/>
      <c r="L86" s="182"/>
    </row>
    <row r="87" spans="1:12" ht="12.75">
      <c r="A87" s="163" t="s">
        <v>289</v>
      </c>
      <c r="B87" s="23">
        <f>SUM(B88:B90)</f>
        <v>61798609</v>
      </c>
      <c r="C87" s="23">
        <v>58693939</v>
      </c>
      <c r="D87" s="23">
        <f>SUM(D88:D90)</f>
        <v>51218567</v>
      </c>
      <c r="E87" s="204">
        <f t="shared" si="9"/>
        <v>0.8287980559562433</v>
      </c>
      <c r="F87" s="205">
        <f>SUM(F88:F90)</f>
        <v>4022745</v>
      </c>
      <c r="G87" s="163" t="s">
        <v>289</v>
      </c>
      <c r="H87" s="182">
        <f>SUM(H88:H90)</f>
        <v>61799</v>
      </c>
      <c r="I87" s="61">
        <f>ROUND(C87/1000,0)</f>
        <v>58694</v>
      </c>
      <c r="J87" s="182">
        <f>SUM(J88:J90)</f>
        <v>51218</v>
      </c>
      <c r="K87" s="63">
        <f t="shared" si="10"/>
        <v>0.828783637275684</v>
      </c>
      <c r="L87" s="182">
        <f>SUM(L88:L90)</f>
        <v>4022</v>
      </c>
    </row>
    <row r="88" spans="1:12" ht="12.75">
      <c r="A88" s="163" t="s">
        <v>312</v>
      </c>
      <c r="B88" s="23">
        <v>7800000</v>
      </c>
      <c r="C88" s="23"/>
      <c r="D88" s="23">
        <v>7591937</v>
      </c>
      <c r="E88" s="204">
        <f t="shared" si="9"/>
        <v>0.9733252564102564</v>
      </c>
      <c r="F88" s="205">
        <f>D88-'[4]Oktobris'!D88</f>
        <v>414515</v>
      </c>
      <c r="G88" s="163" t="s">
        <v>312</v>
      </c>
      <c r="H88" s="61">
        <f>ROUND(B88/1000,0)</f>
        <v>7800</v>
      </c>
      <c r="I88" s="61">
        <f>ROUND(C88/1000,0)</f>
        <v>0</v>
      </c>
      <c r="J88" s="61">
        <f>ROUND(D88/1000,0)</f>
        <v>7592</v>
      </c>
      <c r="K88" s="63">
        <f t="shared" si="10"/>
        <v>0.9733333333333334</v>
      </c>
      <c r="L88" s="61">
        <f>J88-'[4]Oktobris'!J88</f>
        <v>415</v>
      </c>
    </row>
    <row r="89" spans="1:12" ht="12.75">
      <c r="A89" s="163" t="s">
        <v>313</v>
      </c>
      <c r="B89" s="23">
        <v>53948609</v>
      </c>
      <c r="C89" s="23"/>
      <c r="D89" s="23">
        <v>43601329</v>
      </c>
      <c r="E89" s="204">
        <f t="shared" si="9"/>
        <v>0.8082011716001797</v>
      </c>
      <c r="F89" s="205">
        <f>D89-'[4]Oktobris'!D89</f>
        <v>3606517</v>
      </c>
      <c r="G89" s="163" t="s">
        <v>313</v>
      </c>
      <c r="H89" s="61">
        <f>ROUND(B89/1000,0)</f>
        <v>53949</v>
      </c>
      <c r="I89" s="61">
        <f>ROUND(C89/1000,0)</f>
        <v>0</v>
      </c>
      <c r="J89" s="61">
        <f>ROUND(D89/1000,0)</f>
        <v>43601</v>
      </c>
      <c r="K89" s="63">
        <f t="shared" si="10"/>
        <v>0.8081892157407923</v>
      </c>
      <c r="L89" s="61">
        <f>J89-'[4]Oktobris'!J89</f>
        <v>3606</v>
      </c>
    </row>
    <row r="90" spans="1:12" ht="12.75">
      <c r="A90" s="163" t="s">
        <v>232</v>
      </c>
      <c r="B90" s="23">
        <v>50000</v>
      </c>
      <c r="C90" s="23"/>
      <c r="D90" s="23">
        <v>25301</v>
      </c>
      <c r="E90" s="204">
        <f t="shared" si="9"/>
        <v>0.50602</v>
      </c>
      <c r="F90" s="205">
        <f>D90-'[4]Oktobris'!D90</f>
        <v>1713</v>
      </c>
      <c r="G90" s="163" t="s">
        <v>232</v>
      </c>
      <c r="H90" s="61">
        <f>ROUND(B90/1000,0)</f>
        <v>50</v>
      </c>
      <c r="I90" s="61">
        <f>ROUND(C90/1000,0)</f>
        <v>0</v>
      </c>
      <c r="J90" s="61">
        <f>ROUND(D90/1000,0)</f>
        <v>25</v>
      </c>
      <c r="K90" s="63">
        <f t="shared" si="10"/>
        <v>0.5</v>
      </c>
      <c r="L90" s="61">
        <f>J90-'[4]Oktobris'!J90</f>
        <v>1</v>
      </c>
    </row>
    <row r="91" spans="1:12" ht="12.75">
      <c r="A91" s="163" t="s">
        <v>290</v>
      </c>
      <c r="B91" s="23">
        <f>B92+B93</f>
        <v>81512640</v>
      </c>
      <c r="C91" s="23">
        <f>C92+C93</f>
        <v>79295043</v>
      </c>
      <c r="D91" s="23">
        <f>D92+D93</f>
        <v>73849316</v>
      </c>
      <c r="E91" s="204">
        <f t="shared" si="9"/>
        <v>0.9059860654740173</v>
      </c>
      <c r="F91" s="205">
        <f>F92+F93</f>
        <v>4885994</v>
      </c>
      <c r="G91" s="163" t="s">
        <v>290</v>
      </c>
      <c r="H91" s="182">
        <f>H92+H93</f>
        <v>81513</v>
      </c>
      <c r="I91" s="182">
        <f>I92+I93</f>
        <v>79295</v>
      </c>
      <c r="J91" s="182">
        <f>J92+J93</f>
        <v>73849</v>
      </c>
      <c r="K91" s="63">
        <f t="shared" si="10"/>
        <v>0.9059781875283697</v>
      </c>
      <c r="L91" s="182">
        <f>L92+L93</f>
        <v>4886</v>
      </c>
    </row>
    <row r="92" spans="1:12" ht="12.75">
      <c r="A92" s="163" t="s">
        <v>282</v>
      </c>
      <c r="B92" s="23">
        <v>52743056</v>
      </c>
      <c r="C92" s="23">
        <v>50601328</v>
      </c>
      <c r="D92" s="23">
        <v>44987106</v>
      </c>
      <c r="E92" s="204">
        <f t="shared" si="9"/>
        <v>0.8529484146690325</v>
      </c>
      <c r="F92" s="205">
        <f>D92-'[4]Oktobris'!D92</f>
        <v>3065760</v>
      </c>
      <c r="G92" s="163" t="s">
        <v>282</v>
      </c>
      <c r="H92" s="61">
        <f aca="true" t="shared" si="13" ref="H92:J95">ROUND(B92/1000,0)</f>
        <v>52743</v>
      </c>
      <c r="I92" s="61">
        <f t="shared" si="13"/>
        <v>50601</v>
      </c>
      <c r="J92" s="61">
        <f>ROUND(D92/1000,0)</f>
        <v>44987</v>
      </c>
      <c r="K92" s="63">
        <f t="shared" si="10"/>
        <v>0.8529473105435792</v>
      </c>
      <c r="L92" s="61">
        <f>J92-'[4]Oktobris'!J92</f>
        <v>3066</v>
      </c>
    </row>
    <row r="93" spans="1:12" ht="12.75">
      <c r="A93" s="163" t="s">
        <v>314</v>
      </c>
      <c r="B93" s="23">
        <v>28769584</v>
      </c>
      <c r="C93" s="23">
        <v>28693715</v>
      </c>
      <c r="D93" s="23">
        <v>28862210</v>
      </c>
      <c r="E93" s="204">
        <f t="shared" si="9"/>
        <v>1.0032195807906017</v>
      </c>
      <c r="F93" s="205">
        <f>D93-'[4]Oktobris'!D93</f>
        <v>1820234</v>
      </c>
      <c r="G93" s="163" t="s">
        <v>314</v>
      </c>
      <c r="H93" s="61">
        <f t="shared" si="13"/>
        <v>28770</v>
      </c>
      <c r="I93" s="61">
        <f t="shared" si="13"/>
        <v>28694</v>
      </c>
      <c r="J93" s="61">
        <f t="shared" si="13"/>
        <v>28862</v>
      </c>
      <c r="K93" s="63">
        <f t="shared" si="10"/>
        <v>1.0031977754605492</v>
      </c>
      <c r="L93" s="61">
        <f>J93-'[4]Oktobris'!J93</f>
        <v>1820</v>
      </c>
    </row>
    <row r="94" spans="1:12" ht="15.75" customHeight="1">
      <c r="A94" s="163" t="s">
        <v>286</v>
      </c>
      <c r="B94" s="23">
        <f>B87-B91</f>
        <v>-19714031</v>
      </c>
      <c r="C94" s="23">
        <f>C87-C91</f>
        <v>-20601104</v>
      </c>
      <c r="D94" s="23">
        <f>D87-D91</f>
        <v>-22630749</v>
      </c>
      <c r="E94" s="204">
        <f t="shared" si="9"/>
        <v>1.14795137534277</v>
      </c>
      <c r="F94" s="205">
        <f>F87-F91</f>
        <v>-863249</v>
      </c>
      <c r="G94" s="163" t="s">
        <v>286</v>
      </c>
      <c r="H94" s="182">
        <f>H87-H91</f>
        <v>-19714</v>
      </c>
      <c r="I94" s="182">
        <f>I87-I91</f>
        <v>-20601</v>
      </c>
      <c r="J94" s="182">
        <f>J87-J91</f>
        <v>-22631</v>
      </c>
      <c r="K94" s="63">
        <f t="shared" si="10"/>
        <v>1.1479659125494572</v>
      </c>
      <c r="L94" s="182">
        <f>L87-L91</f>
        <v>-864</v>
      </c>
    </row>
    <row r="95" spans="1:12" ht="15.75" customHeight="1">
      <c r="A95" s="163" t="s">
        <v>287</v>
      </c>
      <c r="B95" s="23">
        <v>15750000</v>
      </c>
      <c r="C95" s="23"/>
      <c r="D95" s="23">
        <v>18373021</v>
      </c>
      <c r="E95" s="204">
        <f t="shared" si="9"/>
        <v>1.1665410158730158</v>
      </c>
      <c r="F95" s="205">
        <f>D95-'[4]Oktobris'!D95</f>
        <v>864857</v>
      </c>
      <c r="G95" s="163" t="s">
        <v>287</v>
      </c>
      <c r="H95" s="61">
        <f t="shared" si="13"/>
        <v>15750</v>
      </c>
      <c r="I95" s="182">
        <f>-I94</f>
        <v>20601</v>
      </c>
      <c r="J95" s="61">
        <f t="shared" si="13"/>
        <v>18373</v>
      </c>
      <c r="K95" s="63">
        <f t="shared" si="10"/>
        <v>1.1665396825396825</v>
      </c>
      <c r="L95" s="61">
        <f>J95-'[4]Oktobris'!J95</f>
        <v>865</v>
      </c>
    </row>
    <row r="96" spans="1:12" ht="16.5" customHeight="1">
      <c r="A96" s="209" t="s">
        <v>315</v>
      </c>
      <c r="B96" s="23"/>
      <c r="C96" s="23"/>
      <c r="D96" s="23"/>
      <c r="E96" s="204" t="str">
        <f t="shared" si="9"/>
        <v> </v>
      </c>
      <c r="F96" s="205"/>
      <c r="G96" s="209" t="s">
        <v>315</v>
      </c>
      <c r="H96" s="182"/>
      <c r="I96" s="182"/>
      <c r="J96" s="182"/>
      <c r="K96" s="63"/>
      <c r="L96" s="61"/>
    </row>
    <row r="97" spans="1:12" ht="12.75">
      <c r="A97" s="163" t="s">
        <v>289</v>
      </c>
      <c r="B97" s="23">
        <f>B98+B99</f>
        <v>21878279</v>
      </c>
      <c r="C97" s="23">
        <f>C98+C99</f>
        <v>19334736</v>
      </c>
      <c r="D97" s="23">
        <f>D98+D99</f>
        <v>3687375</v>
      </c>
      <c r="E97" s="204">
        <f t="shared" si="9"/>
        <v>0.16854045055372044</v>
      </c>
      <c r="F97" s="205">
        <f>F98+F99</f>
        <v>693831</v>
      </c>
      <c r="G97" s="163" t="s">
        <v>289</v>
      </c>
      <c r="H97" s="182">
        <f>H98+H99</f>
        <v>21878</v>
      </c>
      <c r="I97" s="182">
        <f>I98+I99</f>
        <v>19335</v>
      </c>
      <c r="J97" s="182">
        <f>J98+J99</f>
        <v>3688</v>
      </c>
      <c r="K97" s="63">
        <f t="shared" si="10"/>
        <v>0.16857116738275893</v>
      </c>
      <c r="L97" s="182">
        <f>L98+L99</f>
        <v>695</v>
      </c>
    </row>
    <row r="98" spans="1:12" ht="12.75">
      <c r="A98" s="163" t="s">
        <v>232</v>
      </c>
      <c r="B98" s="23">
        <v>19278279</v>
      </c>
      <c r="C98" s="23">
        <v>17063736</v>
      </c>
      <c r="D98" s="23">
        <f>3687375-1502806</f>
        <v>2184569</v>
      </c>
      <c r="E98" s="204">
        <f t="shared" si="9"/>
        <v>0.11331763587403211</v>
      </c>
      <c r="F98" s="205">
        <f>D98-'[4]Oktobris'!D98</f>
        <v>330236</v>
      </c>
      <c r="G98" s="163" t="s">
        <v>232</v>
      </c>
      <c r="H98" s="61">
        <f aca="true" t="shared" si="14" ref="H98:J99">ROUND(B98/1000,0)</f>
        <v>19278</v>
      </c>
      <c r="I98" s="61">
        <f t="shared" si="14"/>
        <v>17064</v>
      </c>
      <c r="J98" s="61">
        <f t="shared" si="14"/>
        <v>2185</v>
      </c>
      <c r="K98" s="63">
        <f t="shared" si="10"/>
        <v>0.11334163294947609</v>
      </c>
      <c r="L98" s="61">
        <f>J98-'[4]Oktobris'!J98</f>
        <v>331</v>
      </c>
    </row>
    <row r="99" spans="1:12" ht="12.75">
      <c r="A99" s="163" t="s">
        <v>316</v>
      </c>
      <c r="B99" s="23">
        <v>2600000</v>
      </c>
      <c r="C99" s="23">
        <v>2271000</v>
      </c>
      <c r="D99" s="23">
        <v>1502806</v>
      </c>
      <c r="E99" s="204">
        <f t="shared" si="9"/>
        <v>0.5780023076923076</v>
      </c>
      <c r="F99" s="205">
        <f>D99-'[4]Oktobris'!D99</f>
        <v>363595</v>
      </c>
      <c r="G99" s="163" t="s">
        <v>316</v>
      </c>
      <c r="H99" s="61">
        <f t="shared" si="14"/>
        <v>2600</v>
      </c>
      <c r="I99" s="61">
        <f t="shared" si="14"/>
        <v>2271</v>
      </c>
      <c r="J99" s="61">
        <f t="shared" si="14"/>
        <v>1503</v>
      </c>
      <c r="K99" s="63">
        <f t="shared" si="10"/>
        <v>0.578076923076923</v>
      </c>
      <c r="L99" s="61">
        <f>J99-'[4]Oktobris'!J99</f>
        <v>364</v>
      </c>
    </row>
    <row r="100" spans="1:12" ht="12.75">
      <c r="A100" s="163" t="s">
        <v>290</v>
      </c>
      <c r="B100" s="23">
        <f>B101+B102</f>
        <v>21878279</v>
      </c>
      <c r="C100" s="23">
        <f>C101+C102</f>
        <v>19334736</v>
      </c>
      <c r="D100" s="23">
        <f>D101+D102</f>
        <v>3262092</v>
      </c>
      <c r="E100" s="204">
        <f t="shared" si="9"/>
        <v>0.14910185577211077</v>
      </c>
      <c r="F100" s="205">
        <f>F101+F102</f>
        <v>694185</v>
      </c>
      <c r="G100" s="163" t="s">
        <v>290</v>
      </c>
      <c r="H100" s="182">
        <f>H101+H102</f>
        <v>21878</v>
      </c>
      <c r="I100" s="182">
        <f>I101+I102</f>
        <v>19335</v>
      </c>
      <c r="J100" s="182">
        <f>J101+J102</f>
        <v>3262</v>
      </c>
      <c r="K100" s="63">
        <f t="shared" si="10"/>
        <v>0.14909955206143158</v>
      </c>
      <c r="L100" s="182">
        <f>L101+L102</f>
        <v>694</v>
      </c>
    </row>
    <row r="101" spans="1:12" ht="12.75">
      <c r="A101" s="163" t="s">
        <v>282</v>
      </c>
      <c r="B101" s="23">
        <v>21860229</v>
      </c>
      <c r="C101" s="23">
        <v>19320699</v>
      </c>
      <c r="D101" s="23">
        <v>3252695</v>
      </c>
      <c r="E101" s="204">
        <f t="shared" si="9"/>
        <v>0.14879510182624345</v>
      </c>
      <c r="F101" s="205">
        <f>D101-'[4]Oktobris'!D101</f>
        <v>692059</v>
      </c>
      <c r="G101" s="163" t="s">
        <v>282</v>
      </c>
      <c r="H101" s="61">
        <f aca="true" t="shared" si="15" ref="H101:J102">ROUND(B101/1000,0)</f>
        <v>21860</v>
      </c>
      <c r="I101" s="61">
        <f t="shared" si="15"/>
        <v>19321</v>
      </c>
      <c r="J101" s="61">
        <f>ROUND(D101/1000,0)</f>
        <v>3253</v>
      </c>
      <c r="K101" s="63">
        <f t="shared" si="10"/>
        <v>0.1488106129917658</v>
      </c>
      <c r="L101" s="61">
        <f>J101-'[4]Oktobris'!J101</f>
        <v>692</v>
      </c>
    </row>
    <row r="102" spans="1:12" ht="12.75">
      <c r="A102" s="163" t="s">
        <v>283</v>
      </c>
      <c r="B102" s="23">
        <v>18050</v>
      </c>
      <c r="C102" s="23">
        <v>14037</v>
      </c>
      <c r="D102" s="23">
        <v>9397</v>
      </c>
      <c r="E102" s="204">
        <f t="shared" si="9"/>
        <v>0.5206094182825485</v>
      </c>
      <c r="F102" s="205">
        <f>D102-'[4]Oktobris'!D102</f>
        <v>2126</v>
      </c>
      <c r="G102" s="163" t="s">
        <v>283</v>
      </c>
      <c r="H102" s="61">
        <f t="shared" si="15"/>
        <v>18</v>
      </c>
      <c r="I102" s="61">
        <f t="shared" si="15"/>
        <v>14</v>
      </c>
      <c r="J102" s="61">
        <f t="shared" si="15"/>
        <v>9</v>
      </c>
      <c r="K102" s="63">
        <f t="shared" si="10"/>
        <v>0.5</v>
      </c>
      <c r="L102" s="61">
        <f>J102-'[4]Oktobris'!J102</f>
        <v>2</v>
      </c>
    </row>
    <row r="103" spans="1:12" ht="15.75" customHeight="1">
      <c r="A103" s="209" t="s">
        <v>317</v>
      </c>
      <c r="B103" s="23"/>
      <c r="C103" s="23"/>
      <c r="D103" s="23"/>
      <c r="E103" s="204" t="str">
        <f t="shared" si="9"/>
        <v> </v>
      </c>
      <c r="F103" s="205"/>
      <c r="G103" s="209" t="s">
        <v>317</v>
      </c>
      <c r="H103" s="182"/>
      <c r="I103" s="182"/>
      <c r="J103" s="182"/>
      <c r="K103" s="63"/>
      <c r="L103" s="182"/>
    </row>
    <row r="104" spans="1:12" ht="12.75">
      <c r="A104" s="163" t="s">
        <v>289</v>
      </c>
      <c r="B104" s="23">
        <f>B105+B106</f>
        <v>840000</v>
      </c>
      <c r="C104" s="23">
        <v>825000</v>
      </c>
      <c r="D104" s="23">
        <f>D105+D106</f>
        <v>693360</v>
      </c>
      <c r="E104" s="204">
        <f t="shared" si="9"/>
        <v>0.8254285714285714</v>
      </c>
      <c r="F104" s="205">
        <f>F105+F106</f>
        <v>50336</v>
      </c>
      <c r="G104" s="163" t="s">
        <v>289</v>
      </c>
      <c r="H104" s="182">
        <f>H105+H106</f>
        <v>840</v>
      </c>
      <c r="I104" s="61">
        <f>ROUND(C104/1000,0)</f>
        <v>825</v>
      </c>
      <c r="J104" s="182">
        <f>J105+J106</f>
        <v>694</v>
      </c>
      <c r="K104" s="63">
        <f t="shared" si="10"/>
        <v>0.8261904761904761</v>
      </c>
      <c r="L104" s="182">
        <f>L105+L106</f>
        <v>51</v>
      </c>
    </row>
    <row r="105" spans="1:12" ht="12.75">
      <c r="A105" s="163" t="s">
        <v>318</v>
      </c>
      <c r="B105" s="23">
        <v>840000</v>
      </c>
      <c r="C105" s="23"/>
      <c r="D105" s="23">
        <f>689539</f>
        <v>689539</v>
      </c>
      <c r="E105" s="204">
        <f t="shared" si="9"/>
        <v>0.8208797619047619</v>
      </c>
      <c r="F105" s="205">
        <f>D105-'[4]Oktobris'!D105</f>
        <v>48917</v>
      </c>
      <c r="G105" s="163" t="s">
        <v>318</v>
      </c>
      <c r="H105" s="61">
        <f>ROUND(B105/1000,0)</f>
        <v>840</v>
      </c>
      <c r="I105" s="61">
        <f>ROUND(C105/1000,0)</f>
        <v>0</v>
      </c>
      <c r="J105" s="61">
        <f>ROUND(D105/1000,0)</f>
        <v>690</v>
      </c>
      <c r="K105" s="63">
        <f t="shared" si="10"/>
        <v>0.8214285714285714</v>
      </c>
      <c r="L105" s="61">
        <f>J105-'[4]Oktobris'!J105</f>
        <v>49</v>
      </c>
    </row>
    <row r="106" spans="1:12" ht="12.75">
      <c r="A106" s="163" t="s">
        <v>295</v>
      </c>
      <c r="B106" s="23"/>
      <c r="C106" s="23"/>
      <c r="D106" s="23">
        <f>3821</f>
        <v>3821</v>
      </c>
      <c r="E106" s="204" t="str">
        <f t="shared" si="9"/>
        <v> </v>
      </c>
      <c r="F106" s="205">
        <f>D106-'[4]Oktobris'!D106</f>
        <v>1419</v>
      </c>
      <c r="G106" s="163" t="s">
        <v>295</v>
      </c>
      <c r="H106" s="61">
        <f>ROUND(B106/1000,0)</f>
        <v>0</v>
      </c>
      <c r="I106" s="61">
        <f>ROUND(C106/1000,0)</f>
        <v>0</v>
      </c>
      <c r="J106" s="61">
        <f>ROUND(D106/1000,0)</f>
        <v>4</v>
      </c>
      <c r="K106" s="63" t="str">
        <f t="shared" si="10"/>
        <v> </v>
      </c>
      <c r="L106" s="61">
        <f>J106-'[4]Oktobris'!J106</f>
        <v>2</v>
      </c>
    </row>
    <row r="107" spans="1:12" ht="12.75">
      <c r="A107" s="163" t="s">
        <v>290</v>
      </c>
      <c r="B107" s="23">
        <f>B108+B109</f>
        <v>840000</v>
      </c>
      <c r="C107" s="23">
        <f>C108+C109</f>
        <v>825000</v>
      </c>
      <c r="D107" s="23">
        <f>D108+D109</f>
        <v>646766</v>
      </c>
      <c r="E107" s="204">
        <f t="shared" si="9"/>
        <v>0.7699595238095238</v>
      </c>
      <c r="F107" s="205">
        <f>F108+F109</f>
        <v>88005</v>
      </c>
      <c r="G107" s="163" t="s">
        <v>290</v>
      </c>
      <c r="H107" s="182">
        <f>H108+H109</f>
        <v>840</v>
      </c>
      <c r="I107" s="182">
        <f>I108+I109</f>
        <v>825</v>
      </c>
      <c r="J107" s="182">
        <f>J108+J109</f>
        <v>647</v>
      </c>
      <c r="K107" s="63">
        <f t="shared" si="10"/>
        <v>0.7702380952380953</v>
      </c>
      <c r="L107" s="182">
        <f>L108+L109</f>
        <v>88</v>
      </c>
    </row>
    <row r="108" spans="1:12" ht="12.75">
      <c r="A108" s="163" t="s">
        <v>282</v>
      </c>
      <c r="B108" s="23">
        <v>487506</v>
      </c>
      <c r="C108" s="23">
        <v>472506</v>
      </c>
      <c r="D108" s="23">
        <v>394712</v>
      </c>
      <c r="E108" s="204">
        <f t="shared" si="9"/>
        <v>0.8096556760327053</v>
      </c>
      <c r="F108" s="205">
        <f>D108-'[4]Oktobris'!D108</f>
        <v>47477</v>
      </c>
      <c r="G108" s="163" t="s">
        <v>282</v>
      </c>
      <c r="H108" s="61">
        <f aca="true" t="shared" si="16" ref="H108:J109">ROUND(B108/1000,0)</f>
        <v>488</v>
      </c>
      <c r="I108" s="61">
        <f t="shared" si="16"/>
        <v>473</v>
      </c>
      <c r="J108" s="61">
        <f t="shared" si="16"/>
        <v>395</v>
      </c>
      <c r="K108" s="63">
        <f t="shared" si="10"/>
        <v>0.8094262295081968</v>
      </c>
      <c r="L108" s="61">
        <f>J108-'[4]Oktobris'!J108</f>
        <v>48</v>
      </c>
    </row>
    <row r="109" spans="1:12" ht="12.75">
      <c r="A109" s="163" t="s">
        <v>283</v>
      </c>
      <c r="B109" s="23">
        <v>352494</v>
      </c>
      <c r="C109" s="23">
        <v>352494</v>
      </c>
      <c r="D109" s="23">
        <v>252054</v>
      </c>
      <c r="E109" s="204">
        <f t="shared" si="9"/>
        <v>0.7150589797273145</v>
      </c>
      <c r="F109" s="205">
        <f>D109-'[4]Oktobris'!D109</f>
        <v>40528</v>
      </c>
      <c r="G109" s="163" t="s">
        <v>283</v>
      </c>
      <c r="H109" s="61">
        <f t="shared" si="16"/>
        <v>352</v>
      </c>
      <c r="I109" s="61">
        <f t="shared" si="16"/>
        <v>352</v>
      </c>
      <c r="J109" s="61">
        <f>ROUND(D109/1000,0)</f>
        <v>252</v>
      </c>
      <c r="K109" s="63">
        <f t="shared" si="10"/>
        <v>0.7159090909090909</v>
      </c>
      <c r="L109" s="61">
        <f>J109-'[4]Oktobris'!J109</f>
        <v>40</v>
      </c>
    </row>
    <row r="110" spans="1:12" ht="16.5" customHeight="1">
      <c r="A110" s="209" t="s">
        <v>319</v>
      </c>
      <c r="B110" s="23"/>
      <c r="C110" s="23"/>
      <c r="D110" s="23"/>
      <c r="E110" s="204" t="str">
        <f t="shared" si="9"/>
        <v> </v>
      </c>
      <c r="F110" s="205"/>
      <c r="G110" s="209" t="s">
        <v>319</v>
      </c>
      <c r="H110" s="182"/>
      <c r="I110" s="182"/>
      <c r="J110" s="182"/>
      <c r="K110" s="63"/>
      <c r="L110" s="182"/>
    </row>
    <row r="111" spans="1:12" ht="12.75">
      <c r="A111" s="163" t="s">
        <v>289</v>
      </c>
      <c r="B111" s="23">
        <v>1881705</v>
      </c>
      <c r="C111" s="23">
        <v>1867328</v>
      </c>
      <c r="D111" s="23">
        <f>1864382+53362+2</f>
        <v>1917746</v>
      </c>
      <c r="E111" s="204">
        <f t="shared" si="9"/>
        <v>1.0191533742005257</v>
      </c>
      <c r="F111" s="205">
        <f>D111-'[4]Oktobris'!D111</f>
        <v>-269173</v>
      </c>
      <c r="G111" s="163" t="s">
        <v>289</v>
      </c>
      <c r="H111" s="61">
        <f>ROUND(B111/1000,0)</f>
        <v>1882</v>
      </c>
      <c r="I111" s="61">
        <f>ROUND(C111/1000,0)</f>
        <v>1867</v>
      </c>
      <c r="J111" s="61">
        <f>ROUND(D111/1000,0)</f>
        <v>1918</v>
      </c>
      <c r="K111" s="63">
        <f t="shared" si="10"/>
        <v>1.0191285866099893</v>
      </c>
      <c r="L111" s="61">
        <f>J111-'[4]Oktobris'!J111</f>
        <v>-269</v>
      </c>
    </row>
    <row r="112" spans="1:12" ht="12.75">
      <c r="A112" s="163" t="s">
        <v>290</v>
      </c>
      <c r="B112" s="23">
        <f>B113</f>
        <v>3610882</v>
      </c>
      <c r="C112" s="23">
        <f>C113</f>
        <v>3596505</v>
      </c>
      <c r="D112" s="23">
        <f>D113</f>
        <v>3565458</v>
      </c>
      <c r="E112" s="204">
        <f t="shared" si="9"/>
        <v>0.9874202480169665</v>
      </c>
      <c r="F112" s="205">
        <f>F113</f>
        <v>-628632</v>
      </c>
      <c r="G112" s="163" t="s">
        <v>290</v>
      </c>
      <c r="H112" s="182">
        <f>H113</f>
        <v>3611</v>
      </c>
      <c r="I112" s="182">
        <f>I113</f>
        <v>3597</v>
      </c>
      <c r="J112" s="182">
        <f>J113</f>
        <v>3565</v>
      </c>
      <c r="K112" s="63">
        <f t="shared" si="10"/>
        <v>0.9872611464968153</v>
      </c>
      <c r="L112" s="182">
        <f>L113</f>
        <v>-629</v>
      </c>
    </row>
    <row r="113" spans="1:12" ht="12.75">
      <c r="A113" s="163" t="s">
        <v>283</v>
      </c>
      <c r="B113" s="23">
        <v>3610882</v>
      </c>
      <c r="C113" s="23">
        <v>3596505</v>
      </c>
      <c r="D113" s="23">
        <v>3565458</v>
      </c>
      <c r="E113" s="204">
        <f t="shared" si="9"/>
        <v>0.9874202480169665</v>
      </c>
      <c r="F113" s="205">
        <f>D113-'[4]Oktobris'!D113</f>
        <v>-628632</v>
      </c>
      <c r="G113" s="163" t="s">
        <v>283</v>
      </c>
      <c r="H113" s="61">
        <f>ROUND(B113/1000,0)</f>
        <v>3611</v>
      </c>
      <c r="I113" s="61">
        <f>ROUND(C113/1000,0)</f>
        <v>3597</v>
      </c>
      <c r="J113" s="61">
        <f>ROUND(D113/1000,0)</f>
        <v>3565</v>
      </c>
      <c r="K113" s="63">
        <f t="shared" si="10"/>
        <v>0.9872611464968153</v>
      </c>
      <c r="L113" s="61">
        <f>J113-'[4]Oktobris'!J113</f>
        <v>-629</v>
      </c>
    </row>
    <row r="114" spans="1:12" ht="15" customHeight="1">
      <c r="A114" s="30" t="s">
        <v>201</v>
      </c>
      <c r="B114" s="23"/>
      <c r="C114" s="23"/>
      <c r="D114" s="23"/>
      <c r="E114" s="204" t="str">
        <f t="shared" si="9"/>
        <v> </v>
      </c>
      <c r="F114" s="205"/>
      <c r="G114" s="30" t="s">
        <v>201</v>
      </c>
      <c r="H114" s="182"/>
      <c r="I114" s="182"/>
      <c r="J114" s="182"/>
      <c r="K114" s="63"/>
      <c r="L114" s="182"/>
    </row>
    <row r="115" spans="1:12" ht="15.75" customHeight="1">
      <c r="A115" s="209" t="s">
        <v>320</v>
      </c>
      <c r="B115" s="23"/>
      <c r="C115" s="23"/>
      <c r="D115" s="23"/>
      <c r="E115" s="204" t="str">
        <f t="shared" si="9"/>
        <v> </v>
      </c>
      <c r="F115" s="205"/>
      <c r="G115" s="209" t="s">
        <v>320</v>
      </c>
      <c r="H115" s="182"/>
      <c r="I115" s="182"/>
      <c r="J115" s="182"/>
      <c r="K115" s="63"/>
      <c r="L115" s="182"/>
    </row>
    <row r="116" spans="1:12" ht="12.75">
      <c r="A116" s="163" t="s">
        <v>289</v>
      </c>
      <c r="B116" s="23">
        <f>SUM(B117:B119)</f>
        <v>453824764</v>
      </c>
      <c r="C116" s="23">
        <v>423400443</v>
      </c>
      <c r="D116" s="23">
        <f>SUM(D117:D119)</f>
        <v>411697674</v>
      </c>
      <c r="E116" s="204">
        <f t="shared" si="9"/>
        <v>0.9071732233633685</v>
      </c>
      <c r="F116" s="205">
        <f>SUM(F117:F119)</f>
        <v>35833714</v>
      </c>
      <c r="G116" s="163" t="s">
        <v>289</v>
      </c>
      <c r="H116" s="182">
        <f>SUM(H117:H119)</f>
        <v>453825</v>
      </c>
      <c r="I116" s="61">
        <f aca="true" t="shared" si="17" ref="H116:J119">ROUND(C116/1000,0)</f>
        <v>423400</v>
      </c>
      <c r="J116" s="182">
        <f>SUM(J117:J119)</f>
        <v>411697</v>
      </c>
      <c r="K116" s="63">
        <f t="shared" si="10"/>
        <v>0.9071712664573349</v>
      </c>
      <c r="L116" s="61">
        <f>SUM(L117:L119)</f>
        <v>35832</v>
      </c>
    </row>
    <row r="117" spans="1:33" s="185" customFormat="1" ht="12.75">
      <c r="A117" s="210" t="s">
        <v>321</v>
      </c>
      <c r="B117" s="25">
        <v>445682077</v>
      </c>
      <c r="C117" s="25"/>
      <c r="D117" s="25">
        <v>404712108</v>
      </c>
      <c r="E117" s="204">
        <f t="shared" si="9"/>
        <v>0.9080735548627413</v>
      </c>
      <c r="F117" s="205">
        <f>D117-'[4]Oktobris'!D117</f>
        <v>35173438</v>
      </c>
      <c r="G117" s="163" t="s">
        <v>321</v>
      </c>
      <c r="H117" s="61">
        <f t="shared" si="17"/>
        <v>445682</v>
      </c>
      <c r="I117" s="61">
        <f t="shared" si="17"/>
        <v>0</v>
      </c>
      <c r="J117" s="61">
        <f t="shared" si="17"/>
        <v>404712</v>
      </c>
      <c r="K117" s="63">
        <f t="shared" si="10"/>
        <v>0.9080734694243878</v>
      </c>
      <c r="L117" s="61">
        <f>J117-'[4]Oktobris'!J117</f>
        <v>35173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85" customFormat="1" ht="12.75">
      <c r="A118" s="210" t="s">
        <v>322</v>
      </c>
      <c r="B118" s="25">
        <f>1890000+3726673+200000</f>
        <v>5816673</v>
      </c>
      <c r="C118" s="25"/>
      <c r="D118" s="25">
        <f>1716750+196377+3385054</f>
        <v>5298181</v>
      </c>
      <c r="E118" s="204">
        <f t="shared" si="9"/>
        <v>0.9108610712687476</v>
      </c>
      <c r="F118" s="205">
        <f>D118-'[4]Oktobris'!D118</f>
        <v>594498</v>
      </c>
      <c r="G118" s="163" t="s">
        <v>322</v>
      </c>
      <c r="H118" s="61">
        <f t="shared" si="17"/>
        <v>5817</v>
      </c>
      <c r="I118" s="61">
        <f t="shared" si="17"/>
        <v>0</v>
      </c>
      <c r="J118" s="61">
        <f t="shared" si="17"/>
        <v>5298</v>
      </c>
      <c r="K118" s="63">
        <f t="shared" si="10"/>
        <v>0.9107787519339866</v>
      </c>
      <c r="L118" s="61">
        <f>J118-'[4]Oktobris'!J118</f>
        <v>594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85" customFormat="1" ht="12.75">
      <c r="A119" s="210" t="s">
        <v>323</v>
      </c>
      <c r="B119" s="25">
        <v>2326014</v>
      </c>
      <c r="C119" s="25"/>
      <c r="D119" s="25">
        <f>411697674-404712108-5298181</f>
        <v>1687385</v>
      </c>
      <c r="E119" s="204">
        <f t="shared" si="9"/>
        <v>0.7254406035389297</v>
      </c>
      <c r="F119" s="205">
        <f>D119-'[4]Oktobris'!D119</f>
        <v>65778</v>
      </c>
      <c r="G119" s="163" t="s">
        <v>323</v>
      </c>
      <c r="H119" s="61">
        <f t="shared" si="17"/>
        <v>2326</v>
      </c>
      <c r="I119" s="61">
        <f t="shared" si="17"/>
        <v>0</v>
      </c>
      <c r="J119" s="61">
        <f>ROUND(D119/1000,0)</f>
        <v>1687</v>
      </c>
      <c r="K119" s="63">
        <f t="shared" si="10"/>
        <v>0.7252794496990542</v>
      </c>
      <c r="L119" s="61">
        <f>J119-'[4]Oktobris'!J119</f>
        <v>65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85" customFormat="1" ht="12.75">
      <c r="A120" s="163" t="s">
        <v>407</v>
      </c>
      <c r="B120" s="23">
        <v>523312766</v>
      </c>
      <c r="C120" s="23">
        <f>SUM(C121:C122)</f>
        <v>481748013</v>
      </c>
      <c r="D120" s="23">
        <f>SUM(D121:D122)</f>
        <v>471252913</v>
      </c>
      <c r="E120" s="204">
        <f t="shared" si="9"/>
        <v>0.9005186642054896</v>
      </c>
      <c r="F120" s="205">
        <f>SUM(F121:F122)</f>
        <v>44652925</v>
      </c>
      <c r="G120" s="163" t="s">
        <v>408</v>
      </c>
      <c r="H120" s="23">
        <f>SUM(H121:H122)</f>
        <v>523313</v>
      </c>
      <c r="I120" s="23">
        <f>SUM(I121:I122)</f>
        <v>481748</v>
      </c>
      <c r="J120" s="23">
        <f>SUM(J121:J122)</f>
        <v>471253</v>
      </c>
      <c r="K120" s="63">
        <f t="shared" si="10"/>
        <v>0.9005184277860477</v>
      </c>
      <c r="L120" s="182">
        <f>SUM(L121:L122)</f>
        <v>44653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163" t="s">
        <v>282</v>
      </c>
      <c r="B121" s="23">
        <v>519656766</v>
      </c>
      <c r="C121" s="23">
        <v>478178971</v>
      </c>
      <c r="D121" s="23">
        <v>469235898</v>
      </c>
      <c r="E121" s="204">
        <f t="shared" si="9"/>
        <v>0.9029727479772678</v>
      </c>
      <c r="F121" s="205">
        <f>D121-'[4]Oktobris'!D121</f>
        <v>44397767</v>
      </c>
      <c r="G121" s="163" t="s">
        <v>282</v>
      </c>
      <c r="H121" s="61">
        <f aca="true" t="shared" si="18" ref="H121:J124">ROUND(B121/1000,0)</f>
        <v>519657</v>
      </c>
      <c r="I121" s="61">
        <f t="shared" si="18"/>
        <v>478179</v>
      </c>
      <c r="J121" s="61">
        <f t="shared" si="18"/>
        <v>469236</v>
      </c>
      <c r="K121" s="63">
        <f t="shared" si="10"/>
        <v>0.9029725376546452</v>
      </c>
      <c r="L121" s="61">
        <f>J121-'[4]Oktobris'!J121</f>
        <v>44398</v>
      </c>
    </row>
    <row r="122" spans="1:12" ht="12.75">
      <c r="A122" s="163" t="s">
        <v>283</v>
      </c>
      <c r="B122" s="23">
        <v>3656000</v>
      </c>
      <c r="C122" s="23">
        <v>3569042</v>
      </c>
      <c r="D122" s="23">
        <v>2017015</v>
      </c>
      <c r="E122" s="204">
        <f t="shared" si="9"/>
        <v>0.5516999452954048</v>
      </c>
      <c r="F122" s="205">
        <f>D122-'[4]Oktobris'!D122</f>
        <v>255158</v>
      </c>
      <c r="G122" s="163" t="s">
        <v>283</v>
      </c>
      <c r="H122" s="61">
        <f t="shared" si="18"/>
        <v>3656</v>
      </c>
      <c r="I122" s="61">
        <f t="shared" si="18"/>
        <v>3569</v>
      </c>
      <c r="J122" s="61">
        <f t="shared" si="18"/>
        <v>2017</v>
      </c>
      <c r="K122" s="63">
        <f t="shared" si="10"/>
        <v>0.5516958424507659</v>
      </c>
      <c r="L122" s="61">
        <f>J122-'[4]Oktobris'!J122</f>
        <v>255</v>
      </c>
    </row>
    <row r="123" spans="1:12" ht="12.75">
      <c r="A123" s="163" t="s">
        <v>286</v>
      </c>
      <c r="B123" s="23">
        <v>-69488002</v>
      </c>
      <c r="C123" s="23">
        <f>SUM(C116-C120)</f>
        <v>-58347570</v>
      </c>
      <c r="D123" s="23">
        <f>SUM(D116-D120)</f>
        <v>-59555239</v>
      </c>
      <c r="E123" s="204">
        <f t="shared" si="9"/>
        <v>0.857057870220531</v>
      </c>
      <c r="F123" s="205">
        <f>SUM(F116-F120)</f>
        <v>-8819211</v>
      </c>
      <c r="G123" s="163" t="s">
        <v>286</v>
      </c>
      <c r="H123" s="61">
        <f t="shared" si="18"/>
        <v>-69488</v>
      </c>
      <c r="I123" s="61">
        <f t="shared" si="18"/>
        <v>-58348</v>
      </c>
      <c r="J123" s="61">
        <f t="shared" si="18"/>
        <v>-59555</v>
      </c>
      <c r="K123" s="63">
        <f t="shared" si="10"/>
        <v>0.8570544554455446</v>
      </c>
      <c r="L123" s="61">
        <f>J123-'[4]Oktobris'!J123</f>
        <v>-8819</v>
      </c>
    </row>
    <row r="124" spans="1:12" ht="12.75">
      <c r="A124" s="163" t="s">
        <v>287</v>
      </c>
      <c r="B124" s="23">
        <v>54459909</v>
      </c>
      <c r="C124" s="23"/>
      <c r="D124" s="23">
        <f>1311830+40376406</f>
        <v>41688236</v>
      </c>
      <c r="E124" s="204">
        <f t="shared" si="9"/>
        <v>0.7654848633698599</v>
      </c>
      <c r="F124" s="205">
        <f>D124-'[4]Oktobris'!D124</f>
        <v>7889268</v>
      </c>
      <c r="G124" s="163" t="s">
        <v>287</v>
      </c>
      <c r="H124" s="61">
        <f t="shared" si="18"/>
        <v>54460</v>
      </c>
      <c r="I124" s="61">
        <f t="shared" si="18"/>
        <v>0</v>
      </c>
      <c r="J124" s="61">
        <f>ROUND(D124/1000,0)</f>
        <v>41688</v>
      </c>
      <c r="K124" s="63">
        <f t="shared" si="10"/>
        <v>0.7654792508262945</v>
      </c>
      <c r="L124" s="61">
        <f>J124-'[4]Oktobris'!J124</f>
        <v>7889</v>
      </c>
    </row>
    <row r="125" spans="1:12" ht="12.75">
      <c r="A125" s="209" t="s">
        <v>324</v>
      </c>
      <c r="B125" s="23"/>
      <c r="C125" s="23"/>
      <c r="D125" s="23"/>
      <c r="E125" s="204" t="str">
        <f t="shared" si="9"/>
        <v> </v>
      </c>
      <c r="F125" s="205"/>
      <c r="G125" s="209" t="s">
        <v>324</v>
      </c>
      <c r="H125" s="182"/>
      <c r="I125" s="182"/>
      <c r="J125" s="182"/>
      <c r="K125" s="63"/>
      <c r="L125" s="182"/>
    </row>
    <row r="126" spans="1:12" ht="12.75">
      <c r="A126" s="163" t="s">
        <v>289</v>
      </c>
      <c r="B126" s="23">
        <f>SUM(B127:B129)</f>
        <v>359524309</v>
      </c>
      <c r="C126" s="23">
        <v>335074571</v>
      </c>
      <c r="D126" s="23">
        <f>SUM(D127:D129)</f>
        <v>326610945</v>
      </c>
      <c r="E126" s="204">
        <f t="shared" si="9"/>
        <v>0.9084530220180467</v>
      </c>
      <c r="F126" s="205">
        <f>SUM(F127:F129)</f>
        <v>29050914</v>
      </c>
      <c r="G126" s="163" t="s">
        <v>289</v>
      </c>
      <c r="H126" s="182">
        <f>SUM(H127:H129)</f>
        <v>359524</v>
      </c>
      <c r="I126" s="69">
        <f aca="true" t="shared" si="19" ref="H126:J131">ROUND(C126/1000,0)</f>
        <v>335075</v>
      </c>
      <c r="J126" s="182">
        <f>SUM(J127:J129)</f>
        <v>326611</v>
      </c>
      <c r="K126" s="63">
        <f t="shared" si="10"/>
        <v>0.9084539557859836</v>
      </c>
      <c r="L126" s="61">
        <f>SUM(L127:L129)</f>
        <v>29052</v>
      </c>
    </row>
    <row r="127" spans="1:33" s="185" customFormat="1" ht="12.75">
      <c r="A127" s="210" t="s">
        <v>321</v>
      </c>
      <c r="B127" s="25">
        <v>336990550</v>
      </c>
      <c r="C127" s="25"/>
      <c r="D127" s="69">
        <v>305984232</v>
      </c>
      <c r="E127" s="204" t="str">
        <f>IF(ISERROR(#REF!/B127)," ",(#REF!/B127))</f>
        <v> </v>
      </c>
      <c r="F127" s="205">
        <f>D127-'[4]Oktobris'!D127</f>
        <v>26599734</v>
      </c>
      <c r="G127" s="210" t="s">
        <v>321</v>
      </c>
      <c r="H127" s="69">
        <f t="shared" si="19"/>
        <v>336991</v>
      </c>
      <c r="I127" s="69">
        <f t="shared" si="19"/>
        <v>0</v>
      </c>
      <c r="J127" s="69">
        <f>ROUND(D127/1000,0)</f>
        <v>305984</v>
      </c>
      <c r="K127" s="70">
        <f t="shared" si="10"/>
        <v>0.9079886406461893</v>
      </c>
      <c r="L127" s="69">
        <f>J127-'[4]Oktobris'!J127</f>
        <v>26600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85" customFormat="1" ht="12.75">
      <c r="A128" s="210" t="s">
        <v>322</v>
      </c>
      <c r="B128" s="25">
        <v>3354266</v>
      </c>
      <c r="C128" s="25"/>
      <c r="D128" s="69">
        <v>3012647</v>
      </c>
      <c r="E128" s="204" t="str">
        <f>IF(ISERROR(#REF!/B128)," ",(#REF!/B128))</f>
        <v> </v>
      </c>
      <c r="F128" s="205">
        <f>D128-'[4]Oktobris'!D128</f>
        <v>376300</v>
      </c>
      <c r="G128" s="210" t="s">
        <v>322</v>
      </c>
      <c r="H128" s="69">
        <f t="shared" si="19"/>
        <v>3354</v>
      </c>
      <c r="I128" s="69">
        <f t="shared" si="19"/>
        <v>0</v>
      </c>
      <c r="J128" s="69">
        <f t="shared" si="19"/>
        <v>3013</v>
      </c>
      <c r="K128" s="70">
        <f t="shared" si="10"/>
        <v>0.8983303518187239</v>
      </c>
      <c r="L128" s="69">
        <f>J128-'[4]Oktobris'!J128</f>
        <v>377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85" customFormat="1" ht="12.75">
      <c r="A129" s="210" t="s">
        <v>323</v>
      </c>
      <c r="B129" s="25">
        <v>19179493</v>
      </c>
      <c r="C129" s="25"/>
      <c r="D129" s="69">
        <f>326610945-305984232-3012647</f>
        <v>17614066</v>
      </c>
      <c r="E129" s="204" t="str">
        <f>IF(ISERROR(#REF!/B129)," ",(#REF!/B129))</f>
        <v> </v>
      </c>
      <c r="F129" s="205">
        <f>D129-'[4]Oktobris'!D129</f>
        <v>2074880</v>
      </c>
      <c r="G129" s="210" t="s">
        <v>323</v>
      </c>
      <c r="H129" s="69">
        <f t="shared" si="19"/>
        <v>19179</v>
      </c>
      <c r="I129" s="69">
        <f t="shared" si="19"/>
        <v>0</v>
      </c>
      <c r="J129" s="69">
        <f t="shared" si="19"/>
        <v>17614</v>
      </c>
      <c r="K129" s="70">
        <f t="shared" si="10"/>
        <v>0.9184003336983159</v>
      </c>
      <c r="L129" s="69">
        <f>J129-'[4]Oktobris'!J129</f>
        <v>2075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85" customFormat="1" ht="12.75">
      <c r="A130" s="163" t="s">
        <v>290</v>
      </c>
      <c r="B130" s="25">
        <f>SUM(B131)</f>
        <v>405137424</v>
      </c>
      <c r="C130" s="25">
        <f>SUM(C131)</f>
        <v>371791018</v>
      </c>
      <c r="D130" s="25">
        <f>SUM(D131)</f>
        <v>366886307</v>
      </c>
      <c r="E130" s="204">
        <f t="shared" si="9"/>
        <v>0.9055848343449999</v>
      </c>
      <c r="F130" s="215">
        <f>SUM(F131)</f>
        <v>34963580</v>
      </c>
      <c r="G130" s="163" t="s">
        <v>290</v>
      </c>
      <c r="H130" s="182">
        <f>SUM(H131)</f>
        <v>405137</v>
      </c>
      <c r="I130" s="182">
        <f>SUM(I131)</f>
        <v>371791</v>
      </c>
      <c r="J130" s="182">
        <f>SUM(J131)</f>
        <v>366886</v>
      </c>
      <c r="K130" s="63">
        <f t="shared" si="10"/>
        <v>0.9055850243251048</v>
      </c>
      <c r="L130" s="182">
        <f>SUM(L131)</f>
        <v>34963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163" t="s">
        <v>325</v>
      </c>
      <c r="B131" s="23">
        <v>405137424</v>
      </c>
      <c r="C131" s="23">
        <v>371791018</v>
      </c>
      <c r="D131" s="69">
        <v>366886307</v>
      </c>
      <c r="E131" s="204" t="str">
        <f>IF(ISERROR(#REF!/B131)," ",(#REF!/B131))</f>
        <v> </v>
      </c>
      <c r="F131" s="205">
        <f>D131-'[4]Oktobris'!D131</f>
        <v>34963580</v>
      </c>
      <c r="G131" s="210" t="s">
        <v>325</v>
      </c>
      <c r="H131" s="69">
        <f>ROUND(B131/1000,0)</f>
        <v>405137</v>
      </c>
      <c r="I131" s="69">
        <f>ROUND(C131/1000,0)</f>
        <v>371791</v>
      </c>
      <c r="J131" s="69">
        <f t="shared" si="19"/>
        <v>366886</v>
      </c>
      <c r="K131" s="70">
        <f t="shared" si="10"/>
        <v>0.9055850243251048</v>
      </c>
      <c r="L131" s="69">
        <f>J131-'[4]Oktobris'!J131</f>
        <v>34963</v>
      </c>
    </row>
    <row r="132" spans="1:12" ht="12.75">
      <c r="A132" s="163" t="s">
        <v>286</v>
      </c>
      <c r="B132" s="23">
        <f>SUM(B126-B130)</f>
        <v>-45613115</v>
      </c>
      <c r="C132" s="23">
        <f>SUM(C126-C130)</f>
        <v>-36716447</v>
      </c>
      <c r="D132" s="23">
        <f>SUM(D126-D130)</f>
        <v>-40275362</v>
      </c>
      <c r="E132" s="204">
        <f t="shared" si="9"/>
        <v>0.8829776699091917</v>
      </c>
      <c r="F132" s="205">
        <f>SUM(F126-F130)</f>
        <v>-5912666</v>
      </c>
      <c r="G132" s="163" t="s">
        <v>286</v>
      </c>
      <c r="H132" s="182">
        <f>SUM(H126-H130)</f>
        <v>-45613</v>
      </c>
      <c r="I132" s="182">
        <f>SUM(I126-I130)</f>
        <v>-36716</v>
      </c>
      <c r="J132" s="182">
        <f>SUM(J126-J130)</f>
        <v>-40275</v>
      </c>
      <c r="K132" s="63">
        <f t="shared" si="10"/>
        <v>0.8829719597483173</v>
      </c>
      <c r="L132" s="182">
        <f>SUM(L126-L130)</f>
        <v>-5911</v>
      </c>
    </row>
    <row r="133" spans="1:12" ht="12.75">
      <c r="A133" s="163" t="s">
        <v>287</v>
      </c>
      <c r="B133" s="23">
        <v>40211336</v>
      </c>
      <c r="C133" s="23"/>
      <c r="D133" s="23">
        <v>32763123</v>
      </c>
      <c r="E133" s="204">
        <f t="shared" si="9"/>
        <v>0.8147733017375995</v>
      </c>
      <c r="F133" s="205">
        <f>D133-'[4]Oktobris'!D133</f>
        <v>5926565</v>
      </c>
      <c r="G133" s="163" t="s">
        <v>287</v>
      </c>
      <c r="H133" s="61">
        <f>ROUND(B133/1000,0)</f>
        <v>40211</v>
      </c>
      <c r="I133" s="61">
        <f>ROUND(C133/1000,0)</f>
        <v>0</v>
      </c>
      <c r="J133" s="61">
        <f>ROUND(D133/1000,0)</f>
        <v>32763</v>
      </c>
      <c r="K133" s="63">
        <f t="shared" si="10"/>
        <v>0.8147770510556813</v>
      </c>
      <c r="L133" s="61">
        <f>J133-'[4]Oktobris'!J133</f>
        <v>5926</v>
      </c>
    </row>
    <row r="134" spans="1:12" ht="12.75">
      <c r="A134" s="209" t="s">
        <v>326</v>
      </c>
      <c r="B134" s="23"/>
      <c r="C134" s="23"/>
      <c r="D134" s="23"/>
      <c r="E134" s="204" t="str">
        <f t="shared" si="9"/>
        <v> </v>
      </c>
      <c r="F134" s="205"/>
      <c r="G134" s="209" t="s">
        <v>326</v>
      </c>
      <c r="H134" s="182"/>
      <c r="I134" s="182"/>
      <c r="J134" s="182"/>
      <c r="K134" s="63"/>
      <c r="L134" s="182"/>
    </row>
    <row r="135" spans="1:12" ht="12.75">
      <c r="A135" s="163" t="s">
        <v>289</v>
      </c>
      <c r="B135" s="23">
        <f>SUM(B136:B138)</f>
        <v>32519839</v>
      </c>
      <c r="C135" s="23">
        <v>30313959</v>
      </c>
      <c r="D135" s="23">
        <f>SUM(D136:D138)</f>
        <v>30992968</v>
      </c>
      <c r="E135" s="204">
        <f t="shared" si="9"/>
        <v>0.953048014782607</v>
      </c>
      <c r="F135" s="205">
        <f>SUM(F136:F138)</f>
        <v>2660955</v>
      </c>
      <c r="G135" s="163" t="s">
        <v>289</v>
      </c>
      <c r="H135" s="182">
        <f>SUM(H136:H138)</f>
        <v>32520</v>
      </c>
      <c r="I135" s="69">
        <f aca="true" t="shared" si="20" ref="H135:J138">ROUND(C135/1000,0)</f>
        <v>30314</v>
      </c>
      <c r="J135" s="182">
        <f>SUM(J136:J138)</f>
        <v>30992</v>
      </c>
      <c r="K135" s="63">
        <f t="shared" si="10"/>
        <v>0.9530135301353013</v>
      </c>
      <c r="L135" s="61">
        <f>SUM(L136:L138)</f>
        <v>2659</v>
      </c>
    </row>
    <row r="136" spans="1:33" s="185" customFormat="1" ht="12.75">
      <c r="A136" s="210" t="s">
        <v>321</v>
      </c>
      <c r="B136" s="25">
        <v>28197433</v>
      </c>
      <c r="C136" s="25"/>
      <c r="D136" s="25">
        <v>27010226</v>
      </c>
      <c r="E136" s="204">
        <f t="shared" si="9"/>
        <v>0.9578966283916696</v>
      </c>
      <c r="F136" s="205">
        <f>D136-'[4]Oktobris'!D136</f>
        <v>2224244</v>
      </c>
      <c r="G136" s="210" t="s">
        <v>321</v>
      </c>
      <c r="H136" s="69">
        <f t="shared" si="20"/>
        <v>28197</v>
      </c>
      <c r="I136" s="69">
        <f t="shared" si="20"/>
        <v>0</v>
      </c>
      <c r="J136" s="69">
        <f t="shared" si="20"/>
        <v>27010</v>
      </c>
      <c r="K136" s="70">
        <f t="shared" si="10"/>
        <v>0.9579033230485513</v>
      </c>
      <c r="L136" s="69">
        <f>J136-'[4]Oktobris'!J136</f>
        <v>2224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85" customFormat="1" ht="12.75">
      <c r="A137" s="210" t="s">
        <v>322</v>
      </c>
      <c r="B137" s="25">
        <v>372407</v>
      </c>
      <c r="C137" s="25"/>
      <c r="D137" s="25">
        <v>372407</v>
      </c>
      <c r="E137" s="204">
        <f t="shared" si="9"/>
        <v>1</v>
      </c>
      <c r="F137" s="205">
        <f>D137-'[4]Oktobris'!D137</f>
        <v>40906</v>
      </c>
      <c r="G137" s="210" t="s">
        <v>322</v>
      </c>
      <c r="H137" s="69">
        <f>ROUND(B137/1000,0)+1</f>
        <v>373</v>
      </c>
      <c r="I137" s="69">
        <f t="shared" si="20"/>
        <v>0</v>
      </c>
      <c r="J137" s="69">
        <f>ROUND(D137/1000,0)</f>
        <v>372</v>
      </c>
      <c r="K137" s="70">
        <f t="shared" si="10"/>
        <v>0.9973190348525469</v>
      </c>
      <c r="L137" s="69">
        <f>J137-'[4]Oktobris'!J137</f>
        <v>40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85" customFormat="1" ht="12.75">
      <c r="A138" s="210" t="s">
        <v>323</v>
      </c>
      <c r="B138" s="25">
        <v>3949999</v>
      </c>
      <c r="C138" s="25"/>
      <c r="D138" s="25">
        <f>30992968-27010226-372407</f>
        <v>3610335</v>
      </c>
      <c r="E138" s="204">
        <f aca="true" t="shared" si="21" ref="E138:E201">IF(ISERROR(D138/B138)," ",(D138/B138))</f>
        <v>0.9140090921542006</v>
      </c>
      <c r="F138" s="205">
        <f>D138-'[4]Oktobris'!D138</f>
        <v>395805</v>
      </c>
      <c r="G138" s="210" t="s">
        <v>323</v>
      </c>
      <c r="H138" s="69">
        <f>ROUND(B138/1000,0)</f>
        <v>3950</v>
      </c>
      <c r="I138" s="69">
        <f t="shared" si="20"/>
        <v>0</v>
      </c>
      <c r="J138" s="69">
        <f t="shared" si="20"/>
        <v>3610</v>
      </c>
      <c r="K138" s="70">
        <f aca="true" t="shared" si="22" ref="K138:K201">IF(ISERROR(ROUND(J138,0)/ROUND(H138,0))," ",(ROUND(J138,)/ROUND(H138,)))</f>
        <v>0.9139240506329114</v>
      </c>
      <c r="L138" s="69">
        <f>J138-'[4]Oktobris'!J138</f>
        <v>395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85" customFormat="1" ht="12.75">
      <c r="A139" s="163" t="s">
        <v>290</v>
      </c>
      <c r="B139" s="25">
        <f>SUM(B140:B141)</f>
        <v>43019897</v>
      </c>
      <c r="C139" s="25">
        <f>SUM(C140:C141)</f>
        <v>40686409</v>
      </c>
      <c r="D139" s="25">
        <f>SUM(D140:D141)</f>
        <v>40454102</v>
      </c>
      <c r="E139" s="204">
        <f t="shared" si="21"/>
        <v>0.9403579464637026</v>
      </c>
      <c r="F139" s="215">
        <f>SUM(F140:F141)</f>
        <v>3349606</v>
      </c>
      <c r="G139" s="163" t="s">
        <v>290</v>
      </c>
      <c r="H139" s="182">
        <f>SUM(H140:H141)</f>
        <v>43020</v>
      </c>
      <c r="I139" s="182">
        <f>SUM(I140:I141)</f>
        <v>40686</v>
      </c>
      <c r="J139" s="182">
        <f>SUM(J140:J141)</f>
        <v>40454</v>
      </c>
      <c r="K139" s="63">
        <f t="shared" si="22"/>
        <v>0.9403533240353324</v>
      </c>
      <c r="L139" s="182">
        <f>SUM(L140:L141)</f>
        <v>3350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85" customFormat="1" ht="12.75">
      <c r="A140" s="210" t="s">
        <v>325</v>
      </c>
      <c r="B140" s="25">
        <v>43004897</v>
      </c>
      <c r="C140" s="25">
        <v>40671409</v>
      </c>
      <c r="D140" s="25">
        <v>40439102</v>
      </c>
      <c r="E140" s="216">
        <f t="shared" si="21"/>
        <v>0.9403371434653128</v>
      </c>
      <c r="F140" s="205">
        <f>D140-'[4]Oktobris'!D140</f>
        <v>3349606</v>
      </c>
      <c r="G140" s="210" t="s">
        <v>325</v>
      </c>
      <c r="H140" s="69">
        <f aca="true" t="shared" si="23" ref="H140:J141">ROUND(B140/1000,0)</f>
        <v>43005</v>
      </c>
      <c r="I140" s="69">
        <f t="shared" si="23"/>
        <v>40671</v>
      </c>
      <c r="J140" s="69">
        <f t="shared" si="23"/>
        <v>40439</v>
      </c>
      <c r="K140" s="70">
        <f t="shared" si="22"/>
        <v>0.9403325194744797</v>
      </c>
      <c r="L140" s="69">
        <f>J140-'[4]Oktobris'!J140</f>
        <v>3350</v>
      </c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</row>
    <row r="141" spans="1:33" s="185" customFormat="1" ht="12.75">
      <c r="A141" s="210" t="s">
        <v>327</v>
      </c>
      <c r="B141" s="25">
        <v>15000</v>
      </c>
      <c r="C141" s="25">
        <v>15000</v>
      </c>
      <c r="D141" s="25">
        <v>15000</v>
      </c>
      <c r="E141" s="216">
        <f t="shared" si="21"/>
        <v>1</v>
      </c>
      <c r="F141" s="205">
        <f>D141-'[4]Oktobris'!D141</f>
        <v>0</v>
      </c>
      <c r="G141" s="210" t="s">
        <v>327</v>
      </c>
      <c r="H141" s="69">
        <f t="shared" si="23"/>
        <v>15</v>
      </c>
      <c r="I141" s="69">
        <f t="shared" si="23"/>
        <v>15</v>
      </c>
      <c r="J141" s="69">
        <f t="shared" si="23"/>
        <v>15</v>
      </c>
      <c r="K141" s="70">
        <f t="shared" si="22"/>
        <v>1</v>
      </c>
      <c r="L141" s="69">
        <f>J141-'[4]Oktobris'!J141</f>
        <v>0</v>
      </c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</row>
    <row r="142" spans="1:12" ht="12.75">
      <c r="A142" s="163" t="s">
        <v>286</v>
      </c>
      <c r="B142" s="23">
        <f>SUM(B135-B139)</f>
        <v>-10500058</v>
      </c>
      <c r="C142" s="23">
        <f>SUM(C135-C139)</f>
        <v>-10372450</v>
      </c>
      <c r="D142" s="23">
        <f>SUM(D135-D139)</f>
        <v>-9461134</v>
      </c>
      <c r="E142" s="204">
        <f t="shared" si="21"/>
        <v>0.9010554036939605</v>
      </c>
      <c r="F142" s="205">
        <f>SUM(F135-F139)</f>
        <v>-688651</v>
      </c>
      <c r="G142" s="163" t="s">
        <v>286</v>
      </c>
      <c r="H142" s="182">
        <f>SUM(H135-H139)</f>
        <v>-10500</v>
      </c>
      <c r="I142" s="182">
        <f>SUM(I135-I139)</f>
        <v>-10372</v>
      </c>
      <c r="J142" s="182">
        <f>SUM(J135-J139)</f>
        <v>-9462</v>
      </c>
      <c r="K142" s="63">
        <f t="shared" si="22"/>
        <v>0.9011428571428571</v>
      </c>
      <c r="L142" s="182">
        <f>SUM(L135-L139)</f>
        <v>-691</v>
      </c>
    </row>
    <row r="143" spans="1:12" ht="12.75">
      <c r="A143" s="163" t="s">
        <v>287</v>
      </c>
      <c r="B143" s="23">
        <v>1249487</v>
      </c>
      <c r="C143" s="218"/>
      <c r="D143" s="218"/>
      <c r="E143" s="204">
        <f t="shared" si="21"/>
        <v>0</v>
      </c>
      <c r="F143" s="205">
        <f>D143-'[4]Oktobris'!D143</f>
        <v>0</v>
      </c>
      <c r="G143" s="163" t="s">
        <v>287</v>
      </c>
      <c r="H143" s="61">
        <f>ROUND(B143/1000,0)</f>
        <v>1249</v>
      </c>
      <c r="I143" s="61">
        <f>ROUND(C143/1000,0)</f>
        <v>0</v>
      </c>
      <c r="J143" s="61">
        <f>ROUND(D143/1000,0)</f>
        <v>0</v>
      </c>
      <c r="K143" s="63"/>
      <c r="L143" s="61">
        <f>J143-'[4]Oktobris'!J143</f>
        <v>0</v>
      </c>
    </row>
    <row r="144" spans="1:12" ht="12.75">
      <c r="A144" s="209" t="s">
        <v>328</v>
      </c>
      <c r="B144" s="23"/>
      <c r="C144" s="23"/>
      <c r="D144" s="23"/>
      <c r="E144" s="204" t="str">
        <f t="shared" si="21"/>
        <v> </v>
      </c>
      <c r="F144" s="205"/>
      <c r="G144" s="209" t="s">
        <v>328</v>
      </c>
      <c r="H144" s="182"/>
      <c r="I144" s="182"/>
      <c r="J144" s="182"/>
      <c r="K144" s="63" t="str">
        <f t="shared" si="22"/>
        <v> </v>
      </c>
      <c r="L144" s="182"/>
    </row>
    <row r="145" spans="1:12" ht="12.75">
      <c r="A145" s="163" t="s">
        <v>289</v>
      </c>
      <c r="B145" s="23">
        <f>SUM(B146:B148)</f>
        <v>1072081</v>
      </c>
      <c r="C145" s="23">
        <v>1000102</v>
      </c>
      <c r="D145" s="23">
        <f>SUM(D146:D148)</f>
        <v>969625</v>
      </c>
      <c r="E145" s="204">
        <f t="shared" si="21"/>
        <v>0.9044325941789846</v>
      </c>
      <c r="F145" s="205">
        <f>SUM(F146:F148)</f>
        <v>80991</v>
      </c>
      <c r="G145" s="163" t="s">
        <v>289</v>
      </c>
      <c r="H145" s="182">
        <f>SUM(H146:H148)</f>
        <v>1073</v>
      </c>
      <c r="I145" s="69">
        <f>ROUND(C145/1000,0)</f>
        <v>1000</v>
      </c>
      <c r="J145" s="182">
        <f>SUM(J146:J148)</f>
        <v>970</v>
      </c>
      <c r="K145" s="63">
        <f t="shared" si="22"/>
        <v>0.9040074557315937</v>
      </c>
      <c r="L145" s="182">
        <f>SUM(L146:L148)</f>
        <v>81</v>
      </c>
    </row>
    <row r="146" spans="1:33" s="185" customFormat="1" ht="12.75">
      <c r="A146" s="210" t="s">
        <v>321</v>
      </c>
      <c r="B146" s="25">
        <v>1024551</v>
      </c>
      <c r="C146" s="25"/>
      <c r="D146" s="25">
        <v>950877</v>
      </c>
      <c r="E146" s="204">
        <f t="shared" si="21"/>
        <v>0.9280914273667197</v>
      </c>
      <c r="F146" s="205">
        <f>D146-'[4]Oktobris'!D146</f>
        <v>80818</v>
      </c>
      <c r="G146" s="210" t="s">
        <v>321</v>
      </c>
      <c r="H146" s="69">
        <f>ROUND(B146/1000,0)</f>
        <v>1025</v>
      </c>
      <c r="I146" s="69">
        <f>ROUND(C146/1000,0)</f>
        <v>0</v>
      </c>
      <c r="J146" s="69">
        <f>ROUND(D146/1000,0)</f>
        <v>951</v>
      </c>
      <c r="K146" s="70">
        <f t="shared" si="22"/>
        <v>0.9278048780487805</v>
      </c>
      <c r="L146" s="69">
        <f>J146-'[4]Oktobris'!J146</f>
        <v>81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85" customFormat="1" ht="13.5" customHeight="1" hidden="1">
      <c r="A147" s="210"/>
      <c r="B147" s="25"/>
      <c r="C147" s="25"/>
      <c r="D147" s="25"/>
      <c r="E147" s="204" t="str">
        <f t="shared" si="21"/>
        <v> </v>
      </c>
      <c r="F147" s="215"/>
      <c r="G147" s="210"/>
      <c r="H147" s="219"/>
      <c r="I147" s="219"/>
      <c r="J147" s="219"/>
      <c r="K147" s="70" t="str">
        <f t="shared" si="22"/>
        <v> </v>
      </c>
      <c r="L147" s="219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85" customFormat="1" ht="12.75">
      <c r="A148" s="210" t="s">
        <v>323</v>
      </c>
      <c r="B148" s="25">
        <v>47530</v>
      </c>
      <c r="C148" s="25"/>
      <c r="D148" s="25">
        <v>18748</v>
      </c>
      <c r="E148" s="204">
        <f t="shared" si="21"/>
        <v>0.3944456132968651</v>
      </c>
      <c r="F148" s="205">
        <f>D148-'[4]Oktobris'!D148</f>
        <v>173</v>
      </c>
      <c r="G148" s="210" t="s">
        <v>323</v>
      </c>
      <c r="H148" s="69">
        <f>ROUND(B148/1000,0)</f>
        <v>48</v>
      </c>
      <c r="I148" s="69">
        <f>ROUND(C148/1000,0)</f>
        <v>0</v>
      </c>
      <c r="J148" s="69">
        <f>ROUND(D148/1000,0)</f>
        <v>19</v>
      </c>
      <c r="K148" s="70">
        <f t="shared" si="22"/>
        <v>0.3958333333333333</v>
      </c>
      <c r="L148" s="61">
        <f>J148-'[4]Oktobris'!J148</f>
        <v>0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85" customFormat="1" ht="12.75">
      <c r="A149" s="163" t="s">
        <v>290</v>
      </c>
      <c r="B149" s="25">
        <f>SUM(B150:B151)</f>
        <v>1184169</v>
      </c>
      <c r="C149" s="25">
        <f>SUM(C150:C151)</f>
        <v>978909</v>
      </c>
      <c r="D149" s="25">
        <f>SUM(D150:D151)</f>
        <v>546356</v>
      </c>
      <c r="E149" s="204">
        <f t="shared" si="21"/>
        <v>0.4613834680691692</v>
      </c>
      <c r="F149" s="215">
        <f>SUM(F150:F151)</f>
        <v>62709</v>
      </c>
      <c r="G149" s="163" t="s">
        <v>290</v>
      </c>
      <c r="H149" s="182">
        <f>SUM(H150:H151)</f>
        <v>1184</v>
      </c>
      <c r="I149" s="182">
        <f>SUM(I150:I151)</f>
        <v>979</v>
      </c>
      <c r="J149" s="182">
        <f>SUM(J150:J151)</f>
        <v>546</v>
      </c>
      <c r="K149" s="63">
        <f t="shared" si="22"/>
        <v>0.46114864864864863</v>
      </c>
      <c r="L149" s="182">
        <f>SUM(L150:L151)</f>
        <v>62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163" t="s">
        <v>325</v>
      </c>
      <c r="B150" s="23">
        <v>1184169</v>
      </c>
      <c r="C150" s="23">
        <v>978909</v>
      </c>
      <c r="D150" s="23">
        <v>546356</v>
      </c>
      <c r="E150" s="204">
        <f t="shared" si="21"/>
        <v>0.4613834680691692</v>
      </c>
      <c r="F150" s="205">
        <f>D150-'[4]Oktobris'!D150</f>
        <v>62709</v>
      </c>
      <c r="G150" s="210" t="s">
        <v>325</v>
      </c>
      <c r="H150" s="69">
        <f>ROUND(B150/1000,0)</f>
        <v>1184</v>
      </c>
      <c r="I150" s="69">
        <f>ROUND(C150/1000,0)</f>
        <v>979</v>
      </c>
      <c r="J150" s="69">
        <f>ROUND(D150/1000,0)</f>
        <v>546</v>
      </c>
      <c r="K150" s="70">
        <f t="shared" si="22"/>
        <v>0.46114864864864863</v>
      </c>
      <c r="L150" s="69">
        <f>J150-'[4]Oktobris'!J150</f>
        <v>62</v>
      </c>
    </row>
    <row r="151" spans="1:12" ht="12.75" hidden="1">
      <c r="A151" s="163"/>
      <c r="B151" s="23"/>
      <c r="C151" s="23"/>
      <c r="D151" s="23"/>
      <c r="E151" s="204" t="str">
        <f t="shared" si="21"/>
        <v> </v>
      </c>
      <c r="F151" s="205"/>
      <c r="G151" s="163"/>
      <c r="H151" s="182"/>
      <c r="I151" s="182"/>
      <c r="J151" s="182"/>
      <c r="K151" s="63" t="str">
        <f t="shared" si="22"/>
        <v> </v>
      </c>
      <c r="L151" s="182"/>
    </row>
    <row r="152" spans="1:12" ht="12.75">
      <c r="A152" s="163" t="s">
        <v>286</v>
      </c>
      <c r="B152" s="23">
        <f>SUM(B145-B149)</f>
        <v>-112088</v>
      </c>
      <c r="C152" s="23">
        <f>SUM(C145-C149)</f>
        <v>21193</v>
      </c>
      <c r="D152" s="23">
        <f>SUM(D145-D149)</f>
        <v>423269</v>
      </c>
      <c r="E152" s="204">
        <f t="shared" si="21"/>
        <v>-3.776220469631004</v>
      </c>
      <c r="F152" s="205">
        <f>SUM(F145-F149)</f>
        <v>18282</v>
      </c>
      <c r="G152" s="163" t="s">
        <v>286</v>
      </c>
      <c r="H152" s="182">
        <f>SUM(H145-H149)</f>
        <v>-111</v>
      </c>
      <c r="I152" s="182">
        <f>SUM(I145-I149)</f>
        <v>21</v>
      </c>
      <c r="J152" s="182">
        <f>SUM(J145-J149)</f>
        <v>424</v>
      </c>
      <c r="K152" s="63">
        <f t="shared" si="22"/>
        <v>-3.81981981981982</v>
      </c>
      <c r="L152" s="182">
        <f>SUM(L145-L149)</f>
        <v>19</v>
      </c>
    </row>
    <row r="153" spans="1:12" ht="12.75">
      <c r="A153" s="163" t="s">
        <v>287</v>
      </c>
      <c r="B153" s="218">
        <v>46969</v>
      </c>
      <c r="C153" s="218"/>
      <c r="D153" s="218"/>
      <c r="E153" s="204">
        <f t="shared" si="21"/>
        <v>0</v>
      </c>
      <c r="F153" s="205">
        <f>D153-'[4]Oktobris'!D153</f>
        <v>0</v>
      </c>
      <c r="G153" s="163" t="s">
        <v>287</v>
      </c>
      <c r="H153" s="61">
        <f>ROUND(B153/1000,0)</f>
        <v>47</v>
      </c>
      <c r="I153" s="61">
        <f>ROUND(C153/1000,0)</f>
        <v>0</v>
      </c>
      <c r="J153" s="61">
        <f>ROUND(D153/1000,0)</f>
        <v>0</v>
      </c>
      <c r="K153" s="63">
        <f t="shared" si="22"/>
        <v>0</v>
      </c>
      <c r="L153" s="61">
        <f>J153-'[4]Oktobris'!J153</f>
        <v>0</v>
      </c>
    </row>
    <row r="154" spans="1:12" ht="28.5" customHeight="1">
      <c r="A154" s="211" t="s">
        <v>329</v>
      </c>
      <c r="B154" s="23"/>
      <c r="C154" s="23"/>
      <c r="D154" s="23"/>
      <c r="E154" s="204" t="str">
        <f t="shared" si="21"/>
        <v> </v>
      </c>
      <c r="F154" s="205"/>
      <c r="G154" s="211" t="s">
        <v>329</v>
      </c>
      <c r="H154" s="182"/>
      <c r="I154" s="182"/>
      <c r="J154" s="182"/>
      <c r="K154" s="63"/>
      <c r="L154" s="182"/>
    </row>
    <row r="155" spans="1:12" ht="12.75">
      <c r="A155" s="163" t="s">
        <v>289</v>
      </c>
      <c r="B155" s="23">
        <f>SUM(B156:B158)</f>
        <v>81671283</v>
      </c>
      <c r="C155" s="23">
        <v>76941521</v>
      </c>
      <c r="D155" s="23">
        <f>SUM(D156:D158)</f>
        <v>73526345</v>
      </c>
      <c r="E155" s="204">
        <f t="shared" si="21"/>
        <v>0.9002717026007783</v>
      </c>
      <c r="F155" s="205">
        <f>SUM(F156:F158)</f>
        <v>6298190</v>
      </c>
      <c r="G155" s="163" t="s">
        <v>289</v>
      </c>
      <c r="H155" s="182">
        <f>SUM(H156:H158)</f>
        <v>81672</v>
      </c>
      <c r="I155" s="61">
        <f>ROUND(C155/1000,0)</f>
        <v>76942</v>
      </c>
      <c r="J155" s="182">
        <f>SUM(J156:J158)</f>
        <v>73527</v>
      </c>
      <c r="K155" s="63">
        <f t="shared" si="22"/>
        <v>0.90027181898325</v>
      </c>
      <c r="L155" s="182">
        <f>SUM(L156:L158)</f>
        <v>6299</v>
      </c>
    </row>
    <row r="156" spans="1:33" s="185" customFormat="1" ht="12" customHeight="1">
      <c r="A156" s="210" t="s">
        <v>321</v>
      </c>
      <c r="B156" s="25">
        <v>79469543</v>
      </c>
      <c r="C156" s="25"/>
      <c r="D156" s="25">
        <v>70766773</v>
      </c>
      <c r="E156" s="204">
        <f t="shared" si="21"/>
        <v>0.8904892406390207</v>
      </c>
      <c r="F156" s="205">
        <f>D156-'[4]Oktobris'!D156</f>
        <v>6268642</v>
      </c>
      <c r="G156" s="210" t="s">
        <v>321</v>
      </c>
      <c r="H156" s="69">
        <f>ROUND(B156/1000,0)</f>
        <v>79470</v>
      </c>
      <c r="I156" s="69">
        <f>ROUND(C156/1000,0)</f>
        <v>0</v>
      </c>
      <c r="J156" s="69">
        <f>ROUND(D156/1000,0)</f>
        <v>70767</v>
      </c>
      <c r="K156" s="70">
        <f t="shared" si="22"/>
        <v>0.8904869762174406</v>
      </c>
      <c r="L156" s="69">
        <f>J156-'[4]Oktobris'!J156</f>
        <v>6269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185" customFormat="1" ht="12.75" hidden="1">
      <c r="A157" s="210"/>
      <c r="B157" s="25"/>
      <c r="C157" s="25"/>
      <c r="D157" s="25"/>
      <c r="E157" s="204" t="str">
        <f t="shared" si="21"/>
        <v> </v>
      </c>
      <c r="F157" s="215"/>
      <c r="G157" s="210"/>
      <c r="H157" s="219"/>
      <c r="I157" s="219"/>
      <c r="J157" s="219"/>
      <c r="K157" s="70" t="str">
        <f t="shared" si="22"/>
        <v> </v>
      </c>
      <c r="L157" s="219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185" customFormat="1" ht="12.75">
      <c r="A158" s="210" t="s">
        <v>323</v>
      </c>
      <c r="B158" s="25">
        <v>2201740</v>
      </c>
      <c r="C158" s="25"/>
      <c r="D158" s="25">
        <v>2759572</v>
      </c>
      <c r="E158" s="204">
        <f t="shared" si="21"/>
        <v>1.253359615576771</v>
      </c>
      <c r="F158" s="205">
        <f>D158-'[4]Oktobris'!D158</f>
        <v>29548</v>
      </c>
      <c r="G158" s="210" t="s">
        <v>323</v>
      </c>
      <c r="H158" s="69">
        <f>ROUND(B158/1000,0)</f>
        <v>2202</v>
      </c>
      <c r="I158" s="69">
        <f>ROUND(C158/1000,0)</f>
        <v>0</v>
      </c>
      <c r="J158" s="69">
        <f>ROUND(D158/1000,0)</f>
        <v>2760</v>
      </c>
      <c r="K158" s="70">
        <f t="shared" si="22"/>
        <v>1.2534059945504088</v>
      </c>
      <c r="L158" s="69">
        <f>J158-'[4]Oktobris'!J158</f>
        <v>30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185" customFormat="1" ht="12.75">
      <c r="A159" s="163" t="s">
        <v>290</v>
      </c>
      <c r="B159" s="25">
        <f>B160</f>
        <v>91406905</v>
      </c>
      <c r="C159" s="25">
        <f>C160</f>
        <v>84559632</v>
      </c>
      <c r="D159" s="25">
        <f>D160</f>
        <v>82294092</v>
      </c>
      <c r="E159" s="204">
        <f t="shared" si="21"/>
        <v>0.9003049824299378</v>
      </c>
      <c r="F159" s="215">
        <f>F160</f>
        <v>8020508</v>
      </c>
      <c r="G159" s="163" t="s">
        <v>290</v>
      </c>
      <c r="H159" s="182">
        <f>H160</f>
        <v>91407</v>
      </c>
      <c r="I159" s="182">
        <f>I160</f>
        <v>84560</v>
      </c>
      <c r="J159" s="182">
        <f>J160</f>
        <v>82294</v>
      </c>
      <c r="K159" s="63">
        <f t="shared" si="22"/>
        <v>0.9003030402485587</v>
      </c>
      <c r="L159" s="182">
        <f>L160</f>
        <v>8020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163" t="s">
        <v>325</v>
      </c>
      <c r="B160" s="23">
        <v>91406905</v>
      </c>
      <c r="C160" s="23">
        <v>84559632</v>
      </c>
      <c r="D160" s="23">
        <v>82294092</v>
      </c>
      <c r="E160" s="204">
        <f t="shared" si="21"/>
        <v>0.9003049824299378</v>
      </c>
      <c r="F160" s="205">
        <f>D160-'[4]Oktobris'!D160</f>
        <v>8020508</v>
      </c>
      <c r="G160" s="210" t="s">
        <v>325</v>
      </c>
      <c r="H160" s="69">
        <f>ROUND(B160/1000,0)</f>
        <v>91407</v>
      </c>
      <c r="I160" s="69">
        <f>ROUND(C160/1000,0)</f>
        <v>84560</v>
      </c>
      <c r="J160" s="69">
        <f>ROUND(D160/1000,0)</f>
        <v>82294</v>
      </c>
      <c r="K160" s="70">
        <f t="shared" si="22"/>
        <v>0.9003030402485587</v>
      </c>
      <c r="L160" s="69">
        <f>J160-'[4]Oktobris'!J160</f>
        <v>8020</v>
      </c>
    </row>
    <row r="161" spans="1:12" ht="12.75">
      <c r="A161" s="163" t="s">
        <v>286</v>
      </c>
      <c r="B161" s="23">
        <f>SUM(B155-B159)</f>
        <v>-9735622</v>
      </c>
      <c r="C161" s="23">
        <f>SUM(C155-C159)</f>
        <v>-7618111</v>
      </c>
      <c r="D161" s="23">
        <f>SUM(D155-D159)</f>
        <v>-8767747</v>
      </c>
      <c r="E161" s="204">
        <f t="shared" si="21"/>
        <v>0.9005841640112979</v>
      </c>
      <c r="F161" s="205">
        <f>SUM(F155-F159)</f>
        <v>-1722318</v>
      </c>
      <c r="G161" s="163" t="s">
        <v>286</v>
      </c>
      <c r="H161" s="182">
        <f>SUM(H155-H159)</f>
        <v>-9735</v>
      </c>
      <c r="I161" s="182">
        <f>SUM(I155-I159)</f>
        <v>-7618</v>
      </c>
      <c r="J161" s="182">
        <f>SUM(J155-J159)</f>
        <v>-8767</v>
      </c>
      <c r="K161" s="63">
        <f t="shared" si="22"/>
        <v>0.9005649717514125</v>
      </c>
      <c r="L161" s="182">
        <f>SUM(L155-L159)</f>
        <v>-1721</v>
      </c>
    </row>
    <row r="162" spans="1:12" ht="12.75">
      <c r="A162" s="163" t="s">
        <v>287</v>
      </c>
      <c r="B162" s="23">
        <v>9511117</v>
      </c>
      <c r="C162" s="23"/>
      <c r="D162" s="23">
        <v>7613283</v>
      </c>
      <c r="E162" s="204">
        <f t="shared" si="21"/>
        <v>0.8004615020507055</v>
      </c>
      <c r="F162" s="205">
        <f>D162-'[4]Oktobris'!D162</f>
        <v>1723647</v>
      </c>
      <c r="G162" s="163" t="s">
        <v>287</v>
      </c>
      <c r="H162" s="61">
        <f>ROUND(B162/1000,0)</f>
        <v>9511</v>
      </c>
      <c r="I162" s="61">
        <f>ROUND(C162/1000,0)</f>
        <v>0</v>
      </c>
      <c r="J162" s="61">
        <f>ROUND(D162/1000,0)</f>
        <v>7613</v>
      </c>
      <c r="K162" s="63">
        <f t="shared" si="22"/>
        <v>0.8004415939438545</v>
      </c>
      <c r="L162" s="61">
        <f>J162-'[4]Oktobris'!J162</f>
        <v>1723</v>
      </c>
    </row>
    <row r="163" spans="1:12" ht="12.75">
      <c r="A163" s="209" t="s">
        <v>330</v>
      </c>
      <c r="B163" s="23"/>
      <c r="C163" s="23"/>
      <c r="D163" s="23"/>
      <c r="E163" s="204" t="str">
        <f t="shared" si="21"/>
        <v> </v>
      </c>
      <c r="F163" s="205"/>
      <c r="G163" s="209" t="s">
        <v>330</v>
      </c>
      <c r="H163" s="182"/>
      <c r="I163" s="182"/>
      <c r="J163" s="182"/>
      <c r="K163" s="63"/>
      <c r="L163" s="182"/>
    </row>
    <row r="164" spans="1:12" ht="12.75">
      <c r="A164" s="163" t="s">
        <v>289</v>
      </c>
      <c r="B164" s="23">
        <f>SUM(B165:B166)</f>
        <v>9906668</v>
      </c>
      <c r="C164" s="23">
        <v>9218797</v>
      </c>
      <c r="D164" s="23">
        <f>SUM(D165:D166)</f>
        <v>9207305</v>
      </c>
      <c r="E164" s="204">
        <f t="shared" si="21"/>
        <v>0.9294048210760671</v>
      </c>
      <c r="F164" s="205">
        <f>SUM(F165:F166)</f>
        <v>-699207</v>
      </c>
      <c r="G164" s="163" t="s">
        <v>289</v>
      </c>
      <c r="H164" s="182">
        <f>SUM(H165:H166)</f>
        <v>9907</v>
      </c>
      <c r="I164" s="61">
        <f aca="true" t="shared" si="24" ref="H164:J166">ROUND(C164/1000,0)</f>
        <v>9219</v>
      </c>
      <c r="J164" s="182">
        <f>SUM(J165:J166)</f>
        <v>9207</v>
      </c>
      <c r="K164" s="63">
        <f t="shared" si="22"/>
        <v>0.9293428888664581</v>
      </c>
      <c r="L164" s="61">
        <f>SUM(L165:L166)</f>
        <v>-700</v>
      </c>
    </row>
    <row r="165" spans="1:33" s="185" customFormat="1" ht="12.75">
      <c r="A165" s="210" t="s">
        <v>322</v>
      </c>
      <c r="B165" s="25">
        <f>200000+1890000</f>
        <v>2090000</v>
      </c>
      <c r="C165" s="25"/>
      <c r="D165" s="25">
        <f>196377+1716750</f>
        <v>1913127</v>
      </c>
      <c r="E165" s="204">
        <f t="shared" si="21"/>
        <v>0.9153717703349282</v>
      </c>
      <c r="F165" s="205">
        <f>D165-'[4]Oktobris'!D165</f>
        <v>177287</v>
      </c>
      <c r="G165" s="210" t="s">
        <v>322</v>
      </c>
      <c r="H165" s="69">
        <f t="shared" si="24"/>
        <v>2090</v>
      </c>
      <c r="I165" s="69">
        <f t="shared" si="24"/>
        <v>0</v>
      </c>
      <c r="J165" s="69">
        <f t="shared" si="24"/>
        <v>1913</v>
      </c>
      <c r="K165" s="70">
        <f t="shared" si="22"/>
        <v>0.915311004784689</v>
      </c>
      <c r="L165" s="69">
        <f>J165-'[4]Oktobris'!J165</f>
        <v>177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185" customFormat="1" ht="12.75">
      <c r="A166" s="210" t="s">
        <v>323</v>
      </c>
      <c r="B166" s="25">
        <v>7816668</v>
      </c>
      <c r="C166" s="25"/>
      <c r="D166" s="25">
        <f>9207305-1913127</f>
        <v>7294178</v>
      </c>
      <c r="E166" s="204">
        <f t="shared" si="21"/>
        <v>0.9331569410393278</v>
      </c>
      <c r="F166" s="205">
        <f>D166-'[4]Oktobris'!D166</f>
        <v>-876494</v>
      </c>
      <c r="G166" s="210" t="s">
        <v>323</v>
      </c>
      <c r="H166" s="69">
        <f t="shared" si="24"/>
        <v>7817</v>
      </c>
      <c r="I166" s="69">
        <f t="shared" si="24"/>
        <v>0</v>
      </c>
      <c r="J166" s="69">
        <f t="shared" si="24"/>
        <v>7294</v>
      </c>
      <c r="K166" s="70">
        <f t="shared" si="22"/>
        <v>0.9330945375463733</v>
      </c>
      <c r="L166" s="69">
        <f>J166-'[4]Oktobris'!J166</f>
        <v>-877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185" customFormat="1" ht="12.75">
      <c r="A167" s="163" t="s">
        <v>290</v>
      </c>
      <c r="B167" s="23">
        <f>SUM(B168:B169)</f>
        <v>13433787</v>
      </c>
      <c r="C167" s="23">
        <f>SUM(C168:C169)</f>
        <v>12880552</v>
      </c>
      <c r="D167" s="23">
        <f>SUM(D168:D169)</f>
        <v>10681719</v>
      </c>
      <c r="E167" s="204">
        <f t="shared" si="21"/>
        <v>0.7951383329213125</v>
      </c>
      <c r="F167" s="205">
        <f>SUM(F168:F169)</f>
        <v>1214805</v>
      </c>
      <c r="G167" s="163" t="s">
        <v>290</v>
      </c>
      <c r="H167" s="182">
        <f>SUM(H168:H169)</f>
        <v>13434</v>
      </c>
      <c r="I167" s="182">
        <f>SUM(I168:I169)</f>
        <v>12881</v>
      </c>
      <c r="J167" s="182">
        <f>SUM(J168:J169)</f>
        <v>10682</v>
      </c>
      <c r="K167" s="63">
        <f t="shared" si="22"/>
        <v>0.7951466428465088</v>
      </c>
      <c r="L167" s="182">
        <f>SUM(L168:L169)</f>
        <v>1215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12.75">
      <c r="A168" s="115" t="s">
        <v>325</v>
      </c>
      <c r="B168" s="23">
        <v>9792787</v>
      </c>
      <c r="C168" s="23">
        <v>9326510</v>
      </c>
      <c r="D168" s="23">
        <v>8679704</v>
      </c>
      <c r="E168" s="204">
        <f t="shared" si="21"/>
        <v>0.8863364433434527</v>
      </c>
      <c r="F168" s="205">
        <f>D168-'[4]Oktobris'!D168</f>
        <v>973128</v>
      </c>
      <c r="G168" s="68" t="s">
        <v>325</v>
      </c>
      <c r="H168" s="69">
        <f aca="true" t="shared" si="25" ref="H168:J169">ROUND(B168/1000,0)</f>
        <v>9793</v>
      </c>
      <c r="I168" s="69">
        <f t="shared" si="25"/>
        <v>9327</v>
      </c>
      <c r="J168" s="69">
        <f t="shared" si="25"/>
        <v>8680</v>
      </c>
      <c r="K168" s="70">
        <f t="shared" si="22"/>
        <v>0.8863473909935669</v>
      </c>
      <c r="L168" s="69">
        <f>J168-'[4]Oktobris'!J168</f>
        <v>973</v>
      </c>
    </row>
    <row r="169" spans="1:12" ht="12.75">
      <c r="A169" s="115" t="s">
        <v>327</v>
      </c>
      <c r="B169" s="23">
        <v>3641000</v>
      </c>
      <c r="C169" s="23">
        <v>3554042</v>
      </c>
      <c r="D169" s="23">
        <v>2002015</v>
      </c>
      <c r="E169" s="204">
        <f t="shared" si="21"/>
        <v>0.5498530623455095</v>
      </c>
      <c r="F169" s="205">
        <f>D169-'[4]Oktobris'!D169</f>
        <v>241677</v>
      </c>
      <c r="G169" s="68" t="s">
        <v>327</v>
      </c>
      <c r="H169" s="69">
        <f t="shared" si="25"/>
        <v>3641</v>
      </c>
      <c r="I169" s="69">
        <f t="shared" si="25"/>
        <v>3554</v>
      </c>
      <c r="J169" s="69">
        <f t="shared" si="25"/>
        <v>2002</v>
      </c>
      <c r="K169" s="70">
        <f t="shared" si="22"/>
        <v>0.5498489425981873</v>
      </c>
      <c r="L169" s="69">
        <f>J169-'[4]Oktobris'!J169</f>
        <v>242</v>
      </c>
    </row>
    <row r="170" spans="1:12" ht="12.75">
      <c r="A170" s="163" t="s">
        <v>286</v>
      </c>
      <c r="B170" s="23">
        <f>SUM(B164-B167)</f>
        <v>-3527119</v>
      </c>
      <c r="C170" s="23">
        <f>SUM(C164-C167)</f>
        <v>-3661755</v>
      </c>
      <c r="D170" s="23">
        <f>SUM(D164-D167)</f>
        <v>-1474414</v>
      </c>
      <c r="E170" s="204">
        <f t="shared" si="21"/>
        <v>0.4180221875133785</v>
      </c>
      <c r="F170" s="205">
        <f>SUM(F164-F167)</f>
        <v>-1914012</v>
      </c>
      <c r="G170" s="163" t="s">
        <v>286</v>
      </c>
      <c r="H170" s="182">
        <f>SUM(H164-H167)</f>
        <v>-3527</v>
      </c>
      <c r="I170" s="182">
        <f>SUM(I164-I167)</f>
        <v>-3662</v>
      </c>
      <c r="J170" s="182">
        <f>SUM(J164-J167)</f>
        <v>-1475</v>
      </c>
      <c r="K170" s="63">
        <f t="shared" si="22"/>
        <v>0.4182024383328608</v>
      </c>
      <c r="L170" s="182">
        <f>SUM(L164-L167)</f>
        <v>-1915</v>
      </c>
    </row>
    <row r="171" spans="1:12" ht="12.75">
      <c r="A171" s="163" t="s">
        <v>287</v>
      </c>
      <c r="B171" s="23">
        <v>3441000</v>
      </c>
      <c r="C171" s="23"/>
      <c r="D171" s="23">
        <v>1311830</v>
      </c>
      <c r="E171" s="204">
        <f t="shared" si="21"/>
        <v>0.3812351060738158</v>
      </c>
      <c r="F171" s="205">
        <f>D171-'[4]Oktobris'!D171</f>
        <v>239056</v>
      </c>
      <c r="G171" s="163" t="s">
        <v>287</v>
      </c>
      <c r="H171" s="61">
        <f>ROUND(B171/1000,0)</f>
        <v>3441</v>
      </c>
      <c r="I171" s="61">
        <f>ROUND(C171/1000,0)</f>
        <v>0</v>
      </c>
      <c r="J171" s="61">
        <f>ROUND(D171/1000,0)</f>
        <v>1312</v>
      </c>
      <c r="K171" s="63">
        <f t="shared" si="22"/>
        <v>0.38128451031676835</v>
      </c>
      <c r="L171" s="61">
        <f>J171-'[4]Oktobris'!J171</f>
        <v>239</v>
      </c>
    </row>
    <row r="172" spans="1:12" ht="12.75">
      <c r="A172" s="209" t="s">
        <v>331</v>
      </c>
      <c r="B172" s="23"/>
      <c r="C172" s="23"/>
      <c r="D172" s="23"/>
      <c r="E172" s="204" t="str">
        <f t="shared" si="21"/>
        <v> </v>
      </c>
      <c r="F172" s="205"/>
      <c r="G172" s="209" t="s">
        <v>331</v>
      </c>
      <c r="H172" s="182"/>
      <c r="I172" s="182"/>
      <c r="J172" s="182"/>
      <c r="K172" s="63"/>
      <c r="L172" s="182"/>
    </row>
    <row r="173" spans="1:12" ht="12.75">
      <c r="A173" s="163" t="s">
        <v>289</v>
      </c>
      <c r="B173" s="23">
        <f>SUM(B174:B176)</f>
        <v>137593169</v>
      </c>
      <c r="C173" s="23">
        <v>127242842</v>
      </c>
      <c r="D173" s="23">
        <f>SUM(D174:D176)</f>
        <v>120481529</v>
      </c>
      <c r="E173" s="204">
        <f t="shared" si="21"/>
        <v>0.87563597724826</v>
      </c>
      <c r="F173" s="205">
        <f>SUM(F174:F176)</f>
        <v>8992876</v>
      </c>
      <c r="G173" s="163" t="s">
        <v>289</v>
      </c>
      <c r="H173" s="182">
        <f>SUM(H174:H176)</f>
        <v>137593</v>
      </c>
      <c r="I173" s="61">
        <f>ROUND(C173/1000,0)</f>
        <v>127243</v>
      </c>
      <c r="J173" s="182">
        <f>SUM(J174:J176)</f>
        <v>120482</v>
      </c>
      <c r="K173" s="63">
        <f t="shared" si="22"/>
        <v>0.8756404758963029</v>
      </c>
      <c r="L173" s="182">
        <f>SUM(L174:L176)</f>
        <v>8994</v>
      </c>
    </row>
    <row r="174" spans="1:12" ht="12.75">
      <c r="A174" s="163" t="s">
        <v>332</v>
      </c>
      <c r="B174" s="23">
        <v>71125600</v>
      </c>
      <c r="C174" s="23"/>
      <c r="D174" s="23">
        <v>61408089</v>
      </c>
      <c r="E174" s="204">
        <f t="shared" si="21"/>
        <v>0.863375338837212</v>
      </c>
      <c r="F174" s="205">
        <f>D174-'[4]Oktobris'!D174</f>
        <v>5305697</v>
      </c>
      <c r="G174" s="163" t="s">
        <v>332</v>
      </c>
      <c r="H174" s="61">
        <f>ROUND(B174/1000,0)</f>
        <v>71126</v>
      </c>
      <c r="I174" s="61">
        <f>ROUND(C174/1000,0)</f>
        <v>0</v>
      </c>
      <c r="J174" s="61">
        <f>ROUND(D174/1000,0)</f>
        <v>61408</v>
      </c>
      <c r="K174" s="63">
        <f t="shared" si="22"/>
        <v>0.863369232067036</v>
      </c>
      <c r="L174" s="61">
        <f>J174-'[4]Oktobris'!J174</f>
        <v>5306</v>
      </c>
    </row>
    <row r="175" spans="1:12" ht="12.75">
      <c r="A175" s="163" t="s">
        <v>333</v>
      </c>
      <c r="B175" s="23">
        <v>55986569</v>
      </c>
      <c r="C175" s="23"/>
      <c r="D175" s="23">
        <v>51860534</v>
      </c>
      <c r="E175" s="204">
        <f t="shared" si="21"/>
        <v>0.9263031281663286</v>
      </c>
      <c r="F175" s="205">
        <f>D175-'[4]Oktobris'!D175</f>
        <v>3735310</v>
      </c>
      <c r="G175" s="163" t="s">
        <v>333</v>
      </c>
      <c r="H175" s="61">
        <f>ROUND(B175/1000,0)-1</f>
        <v>55986</v>
      </c>
      <c r="I175" s="61">
        <f>ROUND(C175/1000,0)</f>
        <v>0</v>
      </c>
      <c r="J175" s="61">
        <f>ROUND(D175/1000,0)</f>
        <v>51861</v>
      </c>
      <c r="K175" s="63">
        <f t="shared" si="22"/>
        <v>0.9263208659307685</v>
      </c>
      <c r="L175" s="61">
        <f>J175-'[4]Oktobris'!J175</f>
        <v>3736</v>
      </c>
    </row>
    <row r="176" spans="1:12" ht="12.75">
      <c r="A176" s="163" t="s">
        <v>232</v>
      </c>
      <c r="B176" s="23">
        <v>10481000</v>
      </c>
      <c r="C176" s="23"/>
      <c r="D176" s="23">
        <v>7212906</v>
      </c>
      <c r="E176" s="204">
        <f t="shared" si="21"/>
        <v>0.6881887224501478</v>
      </c>
      <c r="F176" s="205">
        <f>D176-'[4]Oktobris'!D176</f>
        <v>-48131</v>
      </c>
      <c r="G176" s="163" t="s">
        <v>232</v>
      </c>
      <c r="H176" s="61">
        <f>ROUND(B176/1000,0)</f>
        <v>10481</v>
      </c>
      <c r="I176" s="61">
        <f>ROUND(C176/1000,0)</f>
        <v>0</v>
      </c>
      <c r="J176" s="61">
        <f>ROUND(D176/1000,0)</f>
        <v>7213</v>
      </c>
      <c r="K176" s="63">
        <f t="shared" si="22"/>
        <v>0.6881976910600134</v>
      </c>
      <c r="L176" s="61">
        <f>J176-'[4]Oktobris'!J176</f>
        <v>-48</v>
      </c>
    </row>
    <row r="177" spans="1:12" ht="12.75">
      <c r="A177" s="163" t="s">
        <v>290</v>
      </c>
      <c r="B177" s="23">
        <f>SUM(B178:B179)</f>
        <v>142290807</v>
      </c>
      <c r="C177" s="23">
        <f>SUM(C178:C179)</f>
        <v>130757315</v>
      </c>
      <c r="D177" s="23">
        <f>SUM(D178:D179)</f>
        <v>123810276</v>
      </c>
      <c r="E177" s="204">
        <f t="shared" si="21"/>
        <v>0.8701213986368073</v>
      </c>
      <c r="F177" s="205">
        <f>SUM(F178:F179)</f>
        <v>11049982</v>
      </c>
      <c r="G177" s="163" t="s">
        <v>290</v>
      </c>
      <c r="H177" s="182">
        <f>SUM(H178:H179)</f>
        <v>142291</v>
      </c>
      <c r="I177" s="182">
        <f>SUM(I178:I179)</f>
        <v>130758</v>
      </c>
      <c r="J177" s="182">
        <f>SUM(J178:J179)</f>
        <v>123811</v>
      </c>
      <c r="K177" s="63">
        <f t="shared" si="22"/>
        <v>0.8701253065900162</v>
      </c>
      <c r="L177" s="182">
        <f>SUM(L178:L179)</f>
        <v>11051</v>
      </c>
    </row>
    <row r="178" spans="1:12" ht="12.75">
      <c r="A178" s="115" t="s">
        <v>282</v>
      </c>
      <c r="B178" s="23">
        <v>135855869</v>
      </c>
      <c r="C178" s="23">
        <v>125554796</v>
      </c>
      <c r="D178" s="23">
        <v>119743601</v>
      </c>
      <c r="E178" s="204">
        <f t="shared" si="21"/>
        <v>0.8814017523232655</v>
      </c>
      <c r="F178" s="205">
        <f>D178-'[4]Oktobris'!D178</f>
        <v>10823322</v>
      </c>
      <c r="G178" s="115" t="s">
        <v>282</v>
      </c>
      <c r="H178" s="61">
        <f aca="true" t="shared" si="26" ref="H178:J179">ROUND(B178/1000,0)</f>
        <v>135856</v>
      </c>
      <c r="I178" s="61">
        <f t="shared" si="26"/>
        <v>125555</v>
      </c>
      <c r="J178" s="61">
        <f t="shared" si="26"/>
        <v>119744</v>
      </c>
      <c r="K178" s="63">
        <f t="shared" si="22"/>
        <v>0.8814038393593217</v>
      </c>
      <c r="L178" s="61">
        <f>J178-'[4]Oktobris'!J178</f>
        <v>10824</v>
      </c>
    </row>
    <row r="179" spans="1:12" ht="12.75">
      <c r="A179" s="163" t="s">
        <v>283</v>
      </c>
      <c r="B179" s="23">
        <v>6434938</v>
      </c>
      <c r="C179" s="23">
        <v>5202519</v>
      </c>
      <c r="D179" s="23">
        <v>4066675</v>
      </c>
      <c r="E179" s="204">
        <f t="shared" si="21"/>
        <v>0.631968015853455</v>
      </c>
      <c r="F179" s="205">
        <f>D179-'[4]Oktobris'!D179</f>
        <v>226660</v>
      </c>
      <c r="G179" s="163" t="s">
        <v>283</v>
      </c>
      <c r="H179" s="61">
        <f t="shared" si="26"/>
        <v>6435</v>
      </c>
      <c r="I179" s="61">
        <f t="shared" si="26"/>
        <v>5203</v>
      </c>
      <c r="J179" s="61">
        <f t="shared" si="26"/>
        <v>4067</v>
      </c>
      <c r="K179" s="63">
        <f t="shared" si="22"/>
        <v>0.632012432012432</v>
      </c>
      <c r="L179" s="61">
        <f>J179-'[4]Oktobris'!J179</f>
        <v>227</v>
      </c>
    </row>
    <row r="180" spans="1:12" ht="12.75">
      <c r="A180" s="163" t="s">
        <v>286</v>
      </c>
      <c r="B180" s="23">
        <f>SUM(B173-B177)</f>
        <v>-4697638</v>
      </c>
      <c r="C180" s="23">
        <f>SUM(C173-C177)</f>
        <v>-3514473</v>
      </c>
      <c r="D180" s="23">
        <f>SUM(D173-D177)</f>
        <v>-3328747</v>
      </c>
      <c r="E180" s="204">
        <f t="shared" si="21"/>
        <v>0.708600151820979</v>
      </c>
      <c r="F180" s="205">
        <f>SUM(F173-F177)</f>
        <v>-2057106</v>
      </c>
      <c r="G180" s="163" t="s">
        <v>286</v>
      </c>
      <c r="H180" s="182">
        <f>SUM(H173-H177)</f>
        <v>-4698</v>
      </c>
      <c r="I180" s="182">
        <f>SUM(I173-I177)</f>
        <v>-3515</v>
      </c>
      <c r="J180" s="182">
        <f>SUM(J173-J177)</f>
        <v>-3329</v>
      </c>
      <c r="K180" s="63">
        <f t="shared" si="22"/>
        <v>0.7085994040017028</v>
      </c>
      <c r="L180" s="182">
        <f>SUM(L173-L177)</f>
        <v>-2057</v>
      </c>
    </row>
    <row r="181" spans="1:12" ht="12.75">
      <c r="A181" s="163" t="s">
        <v>287</v>
      </c>
      <c r="B181" s="23">
        <v>4197638</v>
      </c>
      <c r="C181" s="23"/>
      <c r="D181" s="23">
        <v>2745367</v>
      </c>
      <c r="E181" s="204">
        <f t="shared" si="21"/>
        <v>0.6540266216381689</v>
      </c>
      <c r="F181" s="205">
        <f>D181-'[4]Oktobris'!D181</f>
        <v>99926</v>
      </c>
      <c r="G181" s="163" t="s">
        <v>287</v>
      </c>
      <c r="H181" s="61">
        <f>ROUND(B181/1000,0)</f>
        <v>4198</v>
      </c>
      <c r="I181" s="182">
        <f>-I180</f>
        <v>3515</v>
      </c>
      <c r="J181" s="61">
        <f>ROUND(D181/1000,0)</f>
        <v>2745</v>
      </c>
      <c r="K181" s="63"/>
      <c r="L181" s="61">
        <f>J181-'[4]Oktobris'!J181</f>
        <v>100</v>
      </c>
    </row>
    <row r="182" spans="1:12" ht="30" customHeight="1">
      <c r="A182" s="74" t="s">
        <v>204</v>
      </c>
      <c r="B182" s="6"/>
      <c r="C182" s="6"/>
      <c r="D182" s="6"/>
      <c r="E182" s="204" t="str">
        <f t="shared" si="21"/>
        <v> </v>
      </c>
      <c r="F182" s="200"/>
      <c r="G182" s="74" t="s">
        <v>204</v>
      </c>
      <c r="H182" s="208"/>
      <c r="I182" s="208"/>
      <c r="J182" s="208"/>
      <c r="K182" s="63"/>
      <c r="L182" s="208"/>
    </row>
    <row r="183" spans="1:12" ht="15" customHeight="1">
      <c r="A183" s="209" t="s">
        <v>334</v>
      </c>
      <c r="B183" s="23"/>
      <c r="C183" s="23"/>
      <c r="D183" s="23"/>
      <c r="E183" s="204" t="str">
        <f t="shared" si="21"/>
        <v> </v>
      </c>
      <c r="F183" s="205"/>
      <c r="G183" s="209" t="s">
        <v>334</v>
      </c>
      <c r="H183" s="182"/>
      <c r="I183" s="182"/>
      <c r="J183" s="182"/>
      <c r="K183" s="63"/>
      <c r="L183" s="182"/>
    </row>
    <row r="184" spans="1:12" ht="12.75">
      <c r="A184" s="163" t="s">
        <v>289</v>
      </c>
      <c r="B184" s="23">
        <f>SUM(B185:B187)</f>
        <v>8837000</v>
      </c>
      <c r="C184" s="23">
        <v>8593635</v>
      </c>
      <c r="D184" s="23">
        <f>SUM(D185:D187)</f>
        <v>6348168</v>
      </c>
      <c r="E184" s="204">
        <f t="shared" si="21"/>
        <v>0.718362340160688</v>
      </c>
      <c r="F184" s="205">
        <f>SUM(F185:F187)</f>
        <v>823540</v>
      </c>
      <c r="G184" s="163" t="s">
        <v>289</v>
      </c>
      <c r="H184" s="182">
        <f>SUM(H185:H187)</f>
        <v>8837</v>
      </c>
      <c r="I184" s="61">
        <f>ROUND(C184/1000,0)</f>
        <v>8594</v>
      </c>
      <c r="J184" s="182">
        <f>SUM(J185:J187)</f>
        <v>6348</v>
      </c>
      <c r="K184" s="63">
        <f t="shared" si="22"/>
        <v>0.7183433291841123</v>
      </c>
      <c r="L184" s="182">
        <f>SUM(L185:L187)</f>
        <v>824</v>
      </c>
    </row>
    <row r="185" spans="1:12" ht="12.75">
      <c r="A185" s="163" t="s">
        <v>335</v>
      </c>
      <c r="B185" s="23">
        <v>8245000</v>
      </c>
      <c r="C185" s="23"/>
      <c r="D185" s="23">
        <v>5953573</v>
      </c>
      <c r="E185" s="204">
        <f t="shared" si="21"/>
        <v>0.7220828380836871</v>
      </c>
      <c r="F185" s="205">
        <f>D185-'[4]Oktobris'!D185</f>
        <v>783646</v>
      </c>
      <c r="G185" s="163" t="s">
        <v>335</v>
      </c>
      <c r="H185" s="61">
        <f>ROUND(B185/1000,0)</f>
        <v>8245</v>
      </c>
      <c r="I185" s="61">
        <f>ROUND(C185/1000,0)</f>
        <v>0</v>
      </c>
      <c r="J185" s="61">
        <f>ROUND(D185/1000,0)</f>
        <v>5954</v>
      </c>
      <c r="K185" s="63">
        <f t="shared" si="22"/>
        <v>0.722134627046695</v>
      </c>
      <c r="L185" s="61">
        <f>J185-'[4]Oktobris'!J185</f>
        <v>784</v>
      </c>
    </row>
    <row r="186" spans="1:12" ht="12.75">
      <c r="A186" s="163" t="s">
        <v>336</v>
      </c>
      <c r="B186" s="23">
        <v>300000</v>
      </c>
      <c r="C186" s="23"/>
      <c r="D186" s="23">
        <v>181287</v>
      </c>
      <c r="E186" s="204">
        <f t="shared" si="21"/>
        <v>0.60429</v>
      </c>
      <c r="F186" s="205">
        <f>D186-'[4]Oktobris'!D186</f>
        <v>23986</v>
      </c>
      <c r="G186" s="163" t="s">
        <v>336</v>
      </c>
      <c r="H186" s="61">
        <f>ROUND(B186/1000,0)</f>
        <v>300</v>
      </c>
      <c r="I186" s="61">
        <f>ROUND(C186/1000,0)</f>
        <v>0</v>
      </c>
      <c r="J186" s="61">
        <f>ROUND(D186/1000,0)</f>
        <v>181</v>
      </c>
      <c r="K186" s="63">
        <f t="shared" si="22"/>
        <v>0.6033333333333334</v>
      </c>
      <c r="L186" s="61">
        <f>J186-'[4]Oktobris'!J186</f>
        <v>24</v>
      </c>
    </row>
    <row r="187" spans="1:12" ht="12.75">
      <c r="A187" s="163" t="s">
        <v>232</v>
      </c>
      <c r="B187" s="23">
        <v>292000</v>
      </c>
      <c r="C187" s="23"/>
      <c r="D187" s="23">
        <f>175950+37358</f>
        <v>213308</v>
      </c>
      <c r="E187" s="204">
        <f t="shared" si="21"/>
        <v>0.7305068493150685</v>
      </c>
      <c r="F187" s="205">
        <f>D187-'[4]Oktobris'!D187</f>
        <v>15908</v>
      </c>
      <c r="G187" s="163" t="s">
        <v>232</v>
      </c>
      <c r="H187" s="61">
        <f>ROUND(B187/1000,0)</f>
        <v>292</v>
      </c>
      <c r="I187" s="61">
        <f>ROUND(C187/1000,0)</f>
        <v>0</v>
      </c>
      <c r="J187" s="61">
        <f>ROUND(D187/1000,0)</f>
        <v>213</v>
      </c>
      <c r="K187" s="63">
        <f t="shared" si="22"/>
        <v>0.7294520547945206</v>
      </c>
      <c r="L187" s="61">
        <f>J187-'[4]Oktobris'!J187</f>
        <v>16</v>
      </c>
    </row>
    <row r="188" spans="1:12" ht="12.75">
      <c r="A188" s="163" t="s">
        <v>290</v>
      </c>
      <c r="B188" s="23">
        <f>SUM(B189:B190)</f>
        <v>7808770</v>
      </c>
      <c r="C188" s="23">
        <f>SUM(C189:C190)</f>
        <v>7734990</v>
      </c>
      <c r="D188" s="23">
        <f>SUM(D189:D190)</f>
        <v>6123049</v>
      </c>
      <c r="E188" s="204">
        <f t="shared" si="21"/>
        <v>0.7841246444702559</v>
      </c>
      <c r="F188" s="205">
        <f>SUM(F189:F190)</f>
        <v>331274</v>
      </c>
      <c r="G188" s="163" t="s">
        <v>290</v>
      </c>
      <c r="H188" s="182">
        <f>SUM(H189:H190)</f>
        <v>7808</v>
      </c>
      <c r="I188" s="182">
        <f>SUM(I189:I190)</f>
        <v>7735</v>
      </c>
      <c r="J188" s="182">
        <f>SUM(J189:J190)</f>
        <v>6123</v>
      </c>
      <c r="K188" s="63">
        <f t="shared" si="22"/>
        <v>0.7841956967213115</v>
      </c>
      <c r="L188" s="182">
        <f>SUM(L189:L190)</f>
        <v>331</v>
      </c>
    </row>
    <row r="189" spans="1:12" ht="12.75">
      <c r="A189" s="163" t="s">
        <v>282</v>
      </c>
      <c r="B189" s="23">
        <v>5934415</v>
      </c>
      <c r="C189" s="23">
        <v>5860635</v>
      </c>
      <c r="D189" s="23">
        <v>5257627</v>
      </c>
      <c r="E189" s="204">
        <f t="shared" si="21"/>
        <v>0.8859553974570367</v>
      </c>
      <c r="F189" s="205">
        <f>D189-'[4]Oktobris'!D189</f>
        <v>152407</v>
      </c>
      <c r="G189" s="163" t="s">
        <v>282</v>
      </c>
      <c r="H189" s="61">
        <f aca="true" t="shared" si="27" ref="H189:J190">ROUND(B189/1000,0)</f>
        <v>5934</v>
      </c>
      <c r="I189" s="61">
        <f t="shared" si="27"/>
        <v>5861</v>
      </c>
      <c r="J189" s="61">
        <f t="shared" si="27"/>
        <v>5258</v>
      </c>
      <c r="K189" s="63">
        <f t="shared" si="22"/>
        <v>0.8860802157061004</v>
      </c>
      <c r="L189" s="61">
        <f>J189-'[4]Oktobris'!J189</f>
        <v>153</v>
      </c>
    </row>
    <row r="190" spans="1:12" ht="12.75">
      <c r="A190" s="163" t="s">
        <v>283</v>
      </c>
      <c r="B190" s="23">
        <v>1874355</v>
      </c>
      <c r="C190" s="23">
        <v>1874355</v>
      </c>
      <c r="D190" s="23">
        <v>865422</v>
      </c>
      <c r="E190" s="204">
        <f t="shared" si="21"/>
        <v>0.4617172307273702</v>
      </c>
      <c r="F190" s="205">
        <f>D190-'[4]Oktobris'!D190</f>
        <v>178867</v>
      </c>
      <c r="G190" s="163" t="s">
        <v>283</v>
      </c>
      <c r="H190" s="61">
        <f t="shared" si="27"/>
        <v>1874</v>
      </c>
      <c r="I190" s="61">
        <f t="shared" si="27"/>
        <v>1874</v>
      </c>
      <c r="J190" s="61">
        <f t="shared" si="27"/>
        <v>865</v>
      </c>
      <c r="K190" s="63">
        <f t="shared" si="22"/>
        <v>0.4615795090715048</v>
      </c>
      <c r="L190" s="61">
        <f>J190-'[4]Oktobris'!J190</f>
        <v>178</v>
      </c>
    </row>
    <row r="191" spans="1:12" ht="16.5" customHeight="1">
      <c r="A191" s="209" t="s">
        <v>337</v>
      </c>
      <c r="B191" s="23"/>
      <c r="C191" s="23"/>
      <c r="D191" s="23"/>
      <c r="E191" s="204" t="str">
        <f t="shared" si="21"/>
        <v> </v>
      </c>
      <c r="F191" s="205"/>
      <c r="G191" s="209" t="s">
        <v>337</v>
      </c>
      <c r="H191" s="182"/>
      <c r="I191" s="182"/>
      <c r="J191" s="182"/>
      <c r="K191" s="63"/>
      <c r="L191" s="182"/>
    </row>
    <row r="192" spans="1:12" ht="12.75">
      <c r="A192" s="163" t="s">
        <v>289</v>
      </c>
      <c r="B192" s="23">
        <v>1450000</v>
      </c>
      <c r="C192" s="23">
        <v>1450000</v>
      </c>
      <c r="D192" s="23">
        <v>1462500</v>
      </c>
      <c r="E192" s="204">
        <f t="shared" si="21"/>
        <v>1.0086206896551724</v>
      </c>
      <c r="F192" s="205">
        <f>D192-'[4]Oktobris'!D192</f>
        <v>0</v>
      </c>
      <c r="G192" s="163" t="s">
        <v>289</v>
      </c>
      <c r="H192" s="61">
        <f>ROUND(B192/1000,0)</f>
        <v>1450</v>
      </c>
      <c r="I192" s="61">
        <f>ROUND(C192/1000,0)</f>
        <v>1450</v>
      </c>
      <c r="J192" s="61">
        <f>ROUND(D192/1000,0)</f>
        <v>1463</v>
      </c>
      <c r="K192" s="63">
        <f t="shared" si="22"/>
        <v>1.0089655172413794</v>
      </c>
      <c r="L192" s="61">
        <f>J192-'[4]Oktobris'!J192</f>
        <v>0</v>
      </c>
    </row>
    <row r="193" spans="1:12" ht="12.75">
      <c r="A193" s="163" t="s">
        <v>290</v>
      </c>
      <c r="B193" s="23">
        <f>SUM(B194:B195)</f>
        <v>1450000</v>
      </c>
      <c r="C193" s="23">
        <f>SUM(C194:C195)</f>
        <v>1450000</v>
      </c>
      <c r="D193" s="23">
        <f>SUM(D194:D195)</f>
        <v>1410286</v>
      </c>
      <c r="E193" s="204">
        <f t="shared" si="21"/>
        <v>0.9726110344827587</v>
      </c>
      <c r="F193" s="205">
        <f>SUM(F194:F195)</f>
        <v>19071</v>
      </c>
      <c r="G193" s="163" t="s">
        <v>290</v>
      </c>
      <c r="H193" s="182">
        <f>SUM(H194:H195)</f>
        <v>1450</v>
      </c>
      <c r="I193" s="182">
        <f>SUM(I194:I195)</f>
        <v>1450</v>
      </c>
      <c r="J193" s="182">
        <f>SUM(J194:J195)</f>
        <v>1411</v>
      </c>
      <c r="K193" s="63">
        <f t="shared" si="22"/>
        <v>0.973103448275862</v>
      </c>
      <c r="L193" s="182">
        <f>SUM(L194:L195)</f>
        <v>20</v>
      </c>
    </row>
    <row r="194" spans="1:12" ht="12.75">
      <c r="A194" s="163" t="s">
        <v>282</v>
      </c>
      <c r="B194" s="23">
        <v>45000</v>
      </c>
      <c r="C194" s="23">
        <v>45000</v>
      </c>
      <c r="D194" s="23">
        <v>38754</v>
      </c>
      <c r="E194" s="204">
        <f t="shared" si="21"/>
        <v>0.8612</v>
      </c>
      <c r="F194" s="205">
        <f>D194-'[4]Oktobris'!D194</f>
        <v>1015</v>
      </c>
      <c r="G194" s="163" t="s">
        <v>282</v>
      </c>
      <c r="H194" s="61">
        <f aca="true" t="shared" si="28" ref="H194:J195">ROUND(B194/1000,0)</f>
        <v>45</v>
      </c>
      <c r="I194" s="61">
        <f t="shared" si="28"/>
        <v>45</v>
      </c>
      <c r="J194" s="61">
        <f t="shared" si="28"/>
        <v>39</v>
      </c>
      <c r="K194" s="63">
        <f t="shared" si="22"/>
        <v>0.8666666666666667</v>
      </c>
      <c r="L194" s="61">
        <f>J194-'[4]Oktobris'!J194</f>
        <v>1</v>
      </c>
    </row>
    <row r="195" spans="1:12" ht="12.75">
      <c r="A195" s="163" t="s">
        <v>283</v>
      </c>
      <c r="B195" s="23">
        <v>1405000</v>
      </c>
      <c r="C195" s="23">
        <v>1405000</v>
      </c>
      <c r="D195" s="23">
        <v>1371532</v>
      </c>
      <c r="E195" s="204">
        <f t="shared" si="21"/>
        <v>0.976179359430605</v>
      </c>
      <c r="F195" s="205">
        <f>D195-'[4]Oktobris'!D195</f>
        <v>18056</v>
      </c>
      <c r="G195" s="163" t="s">
        <v>283</v>
      </c>
      <c r="H195" s="61">
        <f t="shared" si="28"/>
        <v>1405</v>
      </c>
      <c r="I195" s="61">
        <f t="shared" si="28"/>
        <v>1405</v>
      </c>
      <c r="J195" s="61">
        <f>ROUND(D195/1000,0)</f>
        <v>1372</v>
      </c>
      <c r="K195" s="63">
        <f t="shared" si="22"/>
        <v>0.9765124555160143</v>
      </c>
      <c r="L195" s="61">
        <f>J195-'[4]Oktobris'!J195</f>
        <v>19</v>
      </c>
    </row>
    <row r="196" spans="1:12" ht="16.5" customHeight="1">
      <c r="A196" s="30" t="s">
        <v>205</v>
      </c>
      <c r="B196" s="6"/>
      <c r="C196" s="6"/>
      <c r="D196" s="6"/>
      <c r="E196" s="204" t="str">
        <f t="shared" si="21"/>
        <v> </v>
      </c>
      <c r="F196" s="200"/>
      <c r="G196" s="30" t="s">
        <v>205</v>
      </c>
      <c r="H196" s="208"/>
      <c r="I196" s="208"/>
      <c r="J196" s="208"/>
      <c r="K196" s="63"/>
      <c r="L196" s="208"/>
    </row>
    <row r="197" spans="1:12" ht="15" customHeight="1">
      <c r="A197" s="209" t="s">
        <v>338</v>
      </c>
      <c r="B197" s="23"/>
      <c r="C197" s="23"/>
      <c r="D197" s="23"/>
      <c r="E197" s="204" t="str">
        <f t="shared" si="21"/>
        <v> </v>
      </c>
      <c r="F197" s="205"/>
      <c r="G197" s="209" t="s">
        <v>338</v>
      </c>
      <c r="H197" s="182"/>
      <c r="I197" s="182"/>
      <c r="J197" s="182"/>
      <c r="K197" s="63"/>
      <c r="L197" s="182"/>
    </row>
    <row r="198" spans="1:12" ht="12.75">
      <c r="A198" s="163" t="s">
        <v>289</v>
      </c>
      <c r="B198" s="23">
        <f>SUM(B199:B200)</f>
        <v>2400000</v>
      </c>
      <c r="C198" s="23">
        <v>2200000</v>
      </c>
      <c r="D198" s="23">
        <f>SUM(D199:D200)</f>
        <v>2044309</v>
      </c>
      <c r="E198" s="204">
        <f t="shared" si="21"/>
        <v>0.8517954166666667</v>
      </c>
      <c r="F198" s="205">
        <f>SUM(F199:F200)</f>
        <v>148747</v>
      </c>
      <c r="G198" s="163" t="s">
        <v>289</v>
      </c>
      <c r="H198" s="182">
        <f>SUM(H199:H200)</f>
        <v>2400</v>
      </c>
      <c r="I198" s="61">
        <f>ROUND(C198/1000,0)</f>
        <v>2200</v>
      </c>
      <c r="J198" s="182">
        <f>SUM(J199:J200)</f>
        <v>2043</v>
      </c>
      <c r="K198" s="63">
        <f t="shared" si="22"/>
        <v>0.85125</v>
      </c>
      <c r="L198" s="182">
        <f>SUM(L199:L200)</f>
        <v>147</v>
      </c>
    </row>
    <row r="199" spans="1:12" ht="22.5">
      <c r="A199" s="115" t="s">
        <v>339</v>
      </c>
      <c r="B199" s="23">
        <v>2032476</v>
      </c>
      <c r="C199" s="23"/>
      <c r="D199" s="23">
        <f>2044309-368000</f>
        <v>1676309</v>
      </c>
      <c r="E199" s="204">
        <f t="shared" si="21"/>
        <v>0.8247620144100103</v>
      </c>
      <c r="F199" s="205">
        <f>D199-'[4]Oktobris'!D199</f>
        <v>148747</v>
      </c>
      <c r="G199" s="115" t="s">
        <v>339</v>
      </c>
      <c r="H199" s="61">
        <f>ROUND(B199/1000,0)</f>
        <v>2032</v>
      </c>
      <c r="I199" s="61">
        <f>ROUND(C199/1000,0)</f>
        <v>0</v>
      </c>
      <c r="J199" s="61">
        <f>ROUND(D199/1000,0)-1</f>
        <v>1675</v>
      </c>
      <c r="K199" s="63">
        <f t="shared" si="22"/>
        <v>0.8243110236220472</v>
      </c>
      <c r="L199" s="61">
        <f>J199-'[4]Oktobris'!J199</f>
        <v>147</v>
      </c>
    </row>
    <row r="200" spans="1:12" ht="12.75">
      <c r="A200" s="163" t="s">
        <v>333</v>
      </c>
      <c r="B200" s="23">
        <v>367524</v>
      </c>
      <c r="C200" s="23"/>
      <c r="D200" s="23">
        <v>368000</v>
      </c>
      <c r="E200" s="204">
        <f t="shared" si="21"/>
        <v>1.0012951535137842</v>
      </c>
      <c r="F200" s="205">
        <f>D200-'[4]Oktobris'!D200</f>
        <v>0</v>
      </c>
      <c r="G200" s="163" t="s">
        <v>333</v>
      </c>
      <c r="H200" s="61">
        <f>ROUND(B200/1000,0)</f>
        <v>368</v>
      </c>
      <c r="I200" s="61">
        <f>ROUND(C200/1000,0)</f>
        <v>0</v>
      </c>
      <c r="J200" s="61">
        <f>ROUND(D200/1000,0)</f>
        <v>368</v>
      </c>
      <c r="K200" s="63">
        <f t="shared" si="22"/>
        <v>1</v>
      </c>
      <c r="L200" s="61">
        <f>J200-'[4]Oktobris'!J200</f>
        <v>0</v>
      </c>
    </row>
    <row r="201" spans="1:12" ht="12.75">
      <c r="A201" s="163" t="s">
        <v>290</v>
      </c>
      <c r="B201" s="23">
        <f>B202</f>
        <v>2750000</v>
      </c>
      <c r="C201" s="23">
        <f>C202</f>
        <v>2550000</v>
      </c>
      <c r="D201" s="23">
        <f>D202</f>
        <v>2550000</v>
      </c>
      <c r="E201" s="204">
        <f t="shared" si="21"/>
        <v>0.9272727272727272</v>
      </c>
      <c r="F201" s="205">
        <f>F202</f>
        <v>100000</v>
      </c>
      <c r="G201" s="163" t="s">
        <v>290</v>
      </c>
      <c r="H201" s="182">
        <f>H202</f>
        <v>2750</v>
      </c>
      <c r="I201" s="182">
        <f>I202</f>
        <v>2550</v>
      </c>
      <c r="J201" s="182">
        <f>J202</f>
        <v>2550</v>
      </c>
      <c r="K201" s="63">
        <f t="shared" si="22"/>
        <v>0.9272727272727272</v>
      </c>
      <c r="L201" s="182">
        <f>L202</f>
        <v>100</v>
      </c>
    </row>
    <row r="202" spans="1:12" ht="12.75">
      <c r="A202" s="163" t="s">
        <v>282</v>
      </c>
      <c r="B202" s="23">
        <v>2750000</v>
      </c>
      <c r="C202" s="23">
        <v>2550000</v>
      </c>
      <c r="D202" s="23">
        <v>2550000</v>
      </c>
      <c r="E202" s="204">
        <f aca="true" t="shared" si="29" ref="E202:E217">IF(ISERROR(D202/B202)," ",(D202/B202))</f>
        <v>0.9272727272727272</v>
      </c>
      <c r="F202" s="205">
        <f>D202-'[4]Oktobris'!D202</f>
        <v>100000</v>
      </c>
      <c r="G202" s="163" t="s">
        <v>282</v>
      </c>
      <c r="H202" s="61">
        <f>ROUND(B202/1000,0)</f>
        <v>2750</v>
      </c>
      <c r="I202" s="61">
        <f>ROUND(C202/1000,0)</f>
        <v>2550</v>
      </c>
      <c r="J202" s="61">
        <f>ROUND(D202/1000,0)</f>
        <v>2550</v>
      </c>
      <c r="K202" s="63">
        <f aca="true" t="shared" si="30" ref="K202:K216">IF(ISERROR(ROUND(J202,0)/ROUND(H202,0))," ",(ROUND(J202,)/ROUND(H202,)))</f>
        <v>0.9272727272727272</v>
      </c>
      <c r="L202" s="61">
        <f>J202-'[4]Oktobris'!J202</f>
        <v>100</v>
      </c>
    </row>
    <row r="203" spans="1:12" ht="15.75" customHeight="1">
      <c r="A203" s="30" t="s">
        <v>214</v>
      </c>
      <c r="B203" s="6"/>
      <c r="C203" s="6"/>
      <c r="D203" s="6"/>
      <c r="E203" s="204" t="str">
        <f t="shared" si="29"/>
        <v> </v>
      </c>
      <c r="F203" s="200"/>
      <c r="G203" s="30" t="s">
        <v>214</v>
      </c>
      <c r="H203" s="208"/>
      <c r="I203" s="208"/>
      <c r="J203" s="208"/>
      <c r="K203" s="63"/>
      <c r="L203" s="208"/>
    </row>
    <row r="204" spans="1:12" ht="12.75">
      <c r="A204" s="163" t="s">
        <v>289</v>
      </c>
      <c r="B204" s="23">
        <f>SUM(B205:B206)</f>
        <v>105000</v>
      </c>
      <c r="C204" s="23">
        <v>104700</v>
      </c>
      <c r="D204" s="23">
        <f>SUM(D205:D206)</f>
        <v>90600</v>
      </c>
      <c r="E204" s="204">
        <f t="shared" si="29"/>
        <v>0.8628571428571429</v>
      </c>
      <c r="F204" s="205">
        <f>SUM(F205:F206)</f>
        <v>3580</v>
      </c>
      <c r="G204" s="163" t="s">
        <v>289</v>
      </c>
      <c r="H204" s="182">
        <f>SUM(H205:H206)</f>
        <v>105</v>
      </c>
      <c r="I204" s="61">
        <f aca="true" t="shared" si="31" ref="I204:J206">ROUND(C204/1000,0)</f>
        <v>105</v>
      </c>
      <c r="J204" s="61">
        <f t="shared" si="31"/>
        <v>91</v>
      </c>
      <c r="K204" s="63">
        <f t="shared" si="30"/>
        <v>0.8666666666666667</v>
      </c>
      <c r="L204" s="182">
        <f>SUM(L205:L206)</f>
        <v>4</v>
      </c>
    </row>
    <row r="205" spans="1:12" ht="12.75">
      <c r="A205" s="163" t="s">
        <v>340</v>
      </c>
      <c r="B205" s="23">
        <v>101000</v>
      </c>
      <c r="C205" s="23"/>
      <c r="D205" s="23">
        <v>74715</v>
      </c>
      <c r="E205" s="204">
        <f t="shared" si="29"/>
        <v>0.7397524752475247</v>
      </c>
      <c r="F205" s="205">
        <f>D205-'[4]Oktobris'!D205</f>
        <v>62250</v>
      </c>
      <c r="G205" s="163" t="s">
        <v>340</v>
      </c>
      <c r="H205" s="61">
        <f>ROUND(B205/1000,0)</f>
        <v>101</v>
      </c>
      <c r="I205" s="61">
        <f t="shared" si="31"/>
        <v>0</v>
      </c>
      <c r="J205" s="61">
        <f t="shared" si="31"/>
        <v>75</v>
      </c>
      <c r="K205" s="63">
        <f t="shared" si="30"/>
        <v>0.7425742574257426</v>
      </c>
      <c r="L205" s="61">
        <f>J205-'[4]Oktobris'!J205</f>
        <v>63</v>
      </c>
    </row>
    <row r="206" spans="1:33" s="60" customFormat="1" ht="12.75">
      <c r="A206" s="163" t="s">
        <v>341</v>
      </c>
      <c r="B206" s="163">
        <v>4000</v>
      </c>
      <c r="C206" s="163"/>
      <c r="D206" s="163">
        <v>15885</v>
      </c>
      <c r="E206" s="204">
        <f t="shared" si="29"/>
        <v>3.97125</v>
      </c>
      <c r="F206" s="205">
        <f>D206-'[4]Oktobris'!D206</f>
        <v>-58670</v>
      </c>
      <c r="G206" s="163" t="s">
        <v>341</v>
      </c>
      <c r="H206" s="61">
        <f>ROUND(B206/1000,0)</f>
        <v>4</v>
      </c>
      <c r="I206" s="61">
        <f t="shared" si="31"/>
        <v>0</v>
      </c>
      <c r="J206" s="61">
        <f>ROUND(D206/1000,0)</f>
        <v>16</v>
      </c>
      <c r="K206" s="63">
        <f t="shared" si="30"/>
        <v>4</v>
      </c>
      <c r="L206" s="61">
        <f>J206-'[4]Oktobris'!J206</f>
        <v>-59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60" customFormat="1" ht="12.75">
      <c r="A207" s="163" t="s">
        <v>290</v>
      </c>
      <c r="B207" s="23">
        <f>SUM(B208:B209)</f>
        <v>105000</v>
      </c>
      <c r="C207" s="23">
        <f>SUM(C208:C209)</f>
        <v>104700</v>
      </c>
      <c r="D207" s="23">
        <f>SUM(D208:D209)</f>
        <v>99899</v>
      </c>
      <c r="E207" s="204">
        <f t="shared" si="29"/>
        <v>0.9514190476190476</v>
      </c>
      <c r="F207" s="205">
        <f>SUM(F208:F209)</f>
        <v>7187</v>
      </c>
      <c r="G207" s="163" t="s">
        <v>290</v>
      </c>
      <c r="H207" s="182">
        <f>SUM(H208:H209)</f>
        <v>105</v>
      </c>
      <c r="I207" s="182">
        <f>SUM(I208:I209)</f>
        <v>105</v>
      </c>
      <c r="J207" s="182">
        <f>SUM(J208:J209)</f>
        <v>100</v>
      </c>
      <c r="K207" s="63">
        <f t="shared" si="30"/>
        <v>0.9523809523809523</v>
      </c>
      <c r="L207" s="182">
        <f>SUM(L208:L209)</f>
        <v>7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163" t="s">
        <v>282</v>
      </c>
      <c r="B208" s="23">
        <v>102000</v>
      </c>
      <c r="C208" s="23">
        <v>101700</v>
      </c>
      <c r="D208" s="23">
        <f>99899-750</f>
        <v>99149</v>
      </c>
      <c r="E208" s="204">
        <f t="shared" si="29"/>
        <v>0.9720490196078432</v>
      </c>
      <c r="F208" s="205">
        <f>D208-'[4]Oktobris'!D208</f>
        <v>7187</v>
      </c>
      <c r="G208" s="163" t="s">
        <v>282</v>
      </c>
      <c r="H208" s="61">
        <f aca="true" t="shared" si="32" ref="H208:J209">ROUND(B208/1000,0)</f>
        <v>102</v>
      </c>
      <c r="I208" s="61">
        <f t="shared" si="32"/>
        <v>102</v>
      </c>
      <c r="J208" s="61">
        <f t="shared" si="32"/>
        <v>99</v>
      </c>
      <c r="K208" s="63">
        <f t="shared" si="30"/>
        <v>0.9705882352941176</v>
      </c>
      <c r="L208" s="61">
        <f>J208-'[4]Oktobris'!J208</f>
        <v>7</v>
      </c>
    </row>
    <row r="209" spans="1:12" ht="12.75">
      <c r="A209" s="163" t="s">
        <v>283</v>
      </c>
      <c r="B209" s="23">
        <v>3000</v>
      </c>
      <c r="C209" s="23">
        <v>3000</v>
      </c>
      <c r="D209" s="23">
        <v>750</v>
      </c>
      <c r="E209" s="204">
        <f t="shared" si="29"/>
        <v>0.25</v>
      </c>
      <c r="F209" s="205"/>
      <c r="G209" s="163" t="s">
        <v>283</v>
      </c>
      <c r="H209" s="61">
        <f t="shared" si="32"/>
        <v>3</v>
      </c>
      <c r="I209" s="61">
        <f t="shared" si="32"/>
        <v>3</v>
      </c>
      <c r="J209" s="61">
        <f t="shared" si="32"/>
        <v>1</v>
      </c>
      <c r="K209" s="63">
        <f t="shared" si="30"/>
        <v>0.3333333333333333</v>
      </c>
      <c r="L209" s="61">
        <f>J209-'[4]Oktobris'!J209</f>
        <v>0</v>
      </c>
    </row>
    <row r="210" spans="1:33" s="60" customFormat="1" ht="27" customHeight="1">
      <c r="A210" s="74" t="s">
        <v>342</v>
      </c>
      <c r="B210" s="163"/>
      <c r="C210" s="163"/>
      <c r="D210" s="163"/>
      <c r="E210" s="204" t="str">
        <f t="shared" si="29"/>
        <v> </v>
      </c>
      <c r="F210" s="220"/>
      <c r="G210" s="74" t="s">
        <v>342</v>
      </c>
      <c r="H210" s="182"/>
      <c r="I210" s="182"/>
      <c r="J210" s="182"/>
      <c r="K210" s="63"/>
      <c r="L210" s="182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60" customFormat="1" ht="12.75">
      <c r="A211" s="163" t="s">
        <v>289</v>
      </c>
      <c r="B211" s="163">
        <f>B212</f>
        <v>69988</v>
      </c>
      <c r="C211" s="163">
        <v>62211</v>
      </c>
      <c r="D211" s="163">
        <f>D212</f>
        <v>59068</v>
      </c>
      <c r="E211" s="204">
        <f t="shared" si="29"/>
        <v>0.8439732525575813</v>
      </c>
      <c r="F211" s="220">
        <f>F212</f>
        <v>1793</v>
      </c>
      <c r="G211" s="163" t="s">
        <v>289</v>
      </c>
      <c r="H211" s="182">
        <f>H212</f>
        <v>70</v>
      </c>
      <c r="I211" s="61">
        <f>ROUND(C211/1000,0)-1</f>
        <v>61</v>
      </c>
      <c r="J211" s="182">
        <f>J212</f>
        <v>59</v>
      </c>
      <c r="K211" s="63">
        <f t="shared" si="30"/>
        <v>0.8428571428571429</v>
      </c>
      <c r="L211" s="182">
        <f>L212</f>
        <v>2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60" customFormat="1" ht="18.75" customHeight="1">
      <c r="A212" s="115" t="s">
        <v>343</v>
      </c>
      <c r="B212" s="163">
        <v>69988</v>
      </c>
      <c r="C212" s="163"/>
      <c r="D212" s="163">
        <v>59068</v>
      </c>
      <c r="E212" s="204">
        <f t="shared" si="29"/>
        <v>0.8439732525575813</v>
      </c>
      <c r="F212" s="205">
        <f>D212-'[4]Oktobris'!D212</f>
        <v>1793</v>
      </c>
      <c r="G212" s="115" t="s">
        <v>343</v>
      </c>
      <c r="H212" s="61">
        <f>ROUND(B212/1000,0)</f>
        <v>70</v>
      </c>
      <c r="I212" s="61">
        <f>ROUND(C212/1000,0)</f>
        <v>0</v>
      </c>
      <c r="J212" s="61">
        <f>ROUND(D212/1000,0)</f>
        <v>59</v>
      </c>
      <c r="K212" s="63">
        <f t="shared" si="30"/>
        <v>0.8428571428571429</v>
      </c>
      <c r="L212" s="61">
        <f>J212-'[4]Oktobris'!J212</f>
        <v>2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163" t="s">
        <v>290</v>
      </c>
      <c r="B213" s="23">
        <f>SUM(B214:B215)</f>
        <v>122568</v>
      </c>
      <c r="C213" s="23">
        <f>SUM(C214:C215)</f>
        <v>110339</v>
      </c>
      <c r="D213" s="23">
        <f>SUM(D214:D215)</f>
        <v>37916</v>
      </c>
      <c r="E213" s="204">
        <f t="shared" si="29"/>
        <v>0.3093466483910972</v>
      </c>
      <c r="F213" s="205">
        <f>SUM(F214:F215)</f>
        <v>9035</v>
      </c>
      <c r="G213" s="163" t="s">
        <v>290</v>
      </c>
      <c r="H213" s="182">
        <f>SUM(H214:H215)</f>
        <v>122</v>
      </c>
      <c r="I213" s="182">
        <f>SUM(I214:I215)</f>
        <v>110</v>
      </c>
      <c r="J213" s="182">
        <f>SUM(J214:J215)</f>
        <v>38</v>
      </c>
      <c r="K213" s="63">
        <f t="shared" si="30"/>
        <v>0.3114754098360656</v>
      </c>
      <c r="L213" s="182">
        <f>SUM(L214:L215)</f>
        <v>9</v>
      </c>
    </row>
    <row r="214" spans="1:12" ht="12.75">
      <c r="A214" s="163" t="s">
        <v>282</v>
      </c>
      <c r="B214" s="23">
        <v>114433</v>
      </c>
      <c r="C214" s="23">
        <v>103107</v>
      </c>
      <c r="D214" s="23">
        <v>32571</v>
      </c>
      <c r="E214" s="204">
        <f t="shared" si="29"/>
        <v>0.2846294338171681</v>
      </c>
      <c r="F214" s="205">
        <f>D214-'[4]Oktobris'!D214</f>
        <v>9035</v>
      </c>
      <c r="G214" s="163" t="s">
        <v>282</v>
      </c>
      <c r="H214" s="61">
        <f aca="true" t="shared" si="33" ref="H214:J215">ROUND(B214/1000,0)</f>
        <v>114</v>
      </c>
      <c r="I214" s="61">
        <f t="shared" si="33"/>
        <v>103</v>
      </c>
      <c r="J214" s="61">
        <f>ROUND(D214/1000,0)</f>
        <v>33</v>
      </c>
      <c r="K214" s="63">
        <f t="shared" si="30"/>
        <v>0.2894736842105263</v>
      </c>
      <c r="L214" s="61">
        <f>J214-'[4]Oktobris'!J214</f>
        <v>9</v>
      </c>
    </row>
    <row r="215" spans="1:12" ht="12.75">
      <c r="A215" s="163" t="s">
        <v>283</v>
      </c>
      <c r="B215" s="23">
        <v>8135</v>
      </c>
      <c r="C215" s="23">
        <v>7232</v>
      </c>
      <c r="D215" s="23">
        <v>5345</v>
      </c>
      <c r="E215" s="204">
        <f t="shared" si="29"/>
        <v>0.6570374923171481</v>
      </c>
      <c r="F215" s="205">
        <f>D215-'[4]Oktobris'!D215</f>
        <v>0</v>
      </c>
      <c r="G215" s="163" t="s">
        <v>283</v>
      </c>
      <c r="H215" s="61">
        <f t="shared" si="33"/>
        <v>8</v>
      </c>
      <c r="I215" s="61">
        <f t="shared" si="33"/>
        <v>7</v>
      </c>
      <c r="J215" s="61">
        <f t="shared" si="33"/>
        <v>5</v>
      </c>
      <c r="K215" s="63">
        <f t="shared" si="30"/>
        <v>0.625</v>
      </c>
      <c r="L215" s="61">
        <f>J215-'[4]Oktobris'!J215</f>
        <v>0</v>
      </c>
    </row>
    <row r="216" spans="1:12" ht="12.75">
      <c r="A216" s="163" t="s">
        <v>286</v>
      </c>
      <c r="B216" s="23">
        <f>SUM(B211-B213)</f>
        <v>-52580</v>
      </c>
      <c r="C216" s="23">
        <f>SUM(C211-C213)</f>
        <v>-48128</v>
      </c>
      <c r="D216" s="23">
        <f>SUM(D211-D213)</f>
        <v>21152</v>
      </c>
      <c r="E216" s="204">
        <f t="shared" si="29"/>
        <v>-0.40228223659186</v>
      </c>
      <c r="F216" s="205">
        <f>SUM(F211-F213)</f>
        <v>-7242</v>
      </c>
      <c r="G216" s="163" t="s">
        <v>286</v>
      </c>
      <c r="H216" s="182">
        <f>SUM(H211-H213)</f>
        <v>-52</v>
      </c>
      <c r="I216" s="182">
        <f>SUM(I211-I213)</f>
        <v>-49</v>
      </c>
      <c r="J216" s="182">
        <f>SUM(J211-J213)</f>
        <v>21</v>
      </c>
      <c r="K216" s="63">
        <f t="shared" si="30"/>
        <v>-0.40384615384615385</v>
      </c>
      <c r="L216" s="182">
        <f>SUM(L211-L213)</f>
        <v>-7</v>
      </c>
    </row>
    <row r="217" spans="1:12" ht="12.75">
      <c r="A217" s="163" t="s">
        <v>287</v>
      </c>
      <c r="B217" s="23">
        <f>-B216</f>
        <v>52580</v>
      </c>
      <c r="C217" s="23"/>
      <c r="D217" s="23"/>
      <c r="E217" s="204">
        <f t="shared" si="29"/>
        <v>0</v>
      </c>
      <c r="F217" s="205">
        <f>-F216</f>
        <v>7242</v>
      </c>
      <c r="G217" s="163" t="s">
        <v>287</v>
      </c>
      <c r="H217" s="182">
        <f>-H216</f>
        <v>52</v>
      </c>
      <c r="I217" s="182"/>
      <c r="J217" s="182"/>
      <c r="K217" s="63"/>
      <c r="L217" s="182"/>
    </row>
    <row r="218" spans="1:12" ht="14.25">
      <c r="A218" s="221"/>
      <c r="B218" s="222"/>
      <c r="C218" s="222"/>
      <c r="D218" s="222"/>
      <c r="E218" s="222"/>
      <c r="G218" s="221"/>
      <c r="H218" s="222"/>
      <c r="I218" s="222"/>
      <c r="J218" s="222"/>
      <c r="K218" s="222"/>
      <c r="L218" s="79"/>
    </row>
    <row r="219" spans="1:12" ht="14.25">
      <c r="A219" s="221"/>
      <c r="B219" s="222"/>
      <c r="C219" s="222"/>
      <c r="D219" s="222"/>
      <c r="E219" s="222"/>
      <c r="G219" s="285" t="s">
        <v>409</v>
      </c>
      <c r="I219" s="222"/>
      <c r="J219" s="222"/>
      <c r="K219" s="222"/>
      <c r="L219" s="196"/>
    </row>
    <row r="220" spans="1:12" ht="12.75">
      <c r="A220" s="79"/>
      <c r="B220" s="222"/>
      <c r="C220" s="222"/>
      <c r="D220" s="222"/>
      <c r="E220" s="222"/>
      <c r="G220" s="285" t="s">
        <v>410</v>
      </c>
      <c r="H220" s="285"/>
      <c r="I220" s="222"/>
      <c r="J220" s="222"/>
      <c r="K220" s="222"/>
      <c r="L220" s="196"/>
    </row>
    <row r="221" spans="1:12" ht="12.75">
      <c r="A221" s="81" t="s">
        <v>344</v>
      </c>
      <c r="B221" s="84"/>
      <c r="C221" s="84"/>
      <c r="D221" s="84"/>
      <c r="E221" s="82"/>
      <c r="G221" s="222" t="s">
        <v>411</v>
      </c>
      <c r="H221" s="84"/>
      <c r="I221" s="84"/>
      <c r="J221" s="84"/>
      <c r="K221" s="82"/>
      <c r="L221" s="196"/>
    </row>
    <row r="222" spans="1:12" ht="12.75">
      <c r="A222" s="223"/>
      <c r="B222" s="223"/>
      <c r="C222" s="223"/>
      <c r="D222" s="223"/>
      <c r="E222" s="31"/>
      <c r="G222" s="223"/>
      <c r="H222" s="223"/>
      <c r="I222" s="223"/>
      <c r="J222" s="223"/>
      <c r="K222" s="31"/>
      <c r="L222" s="196"/>
    </row>
    <row r="223" spans="1:12" ht="12.75">
      <c r="A223" s="223"/>
      <c r="B223" s="223"/>
      <c r="C223" s="223"/>
      <c r="D223" s="223"/>
      <c r="E223" s="31"/>
      <c r="G223" s="223"/>
      <c r="H223" s="223"/>
      <c r="I223" s="223"/>
      <c r="J223" s="223"/>
      <c r="K223" s="31"/>
      <c r="L223" s="196"/>
    </row>
    <row r="224" spans="1:12" ht="12.75">
      <c r="A224" s="223"/>
      <c r="B224" s="223"/>
      <c r="C224" s="223"/>
      <c r="D224" s="223"/>
      <c r="E224" s="31"/>
      <c r="G224" s="223"/>
      <c r="H224" s="223"/>
      <c r="I224" s="223"/>
      <c r="J224" s="223"/>
      <c r="K224" s="31"/>
      <c r="L224" s="196"/>
    </row>
    <row r="225" spans="1:12" ht="12.75">
      <c r="A225" s="223" t="s">
        <v>144</v>
      </c>
      <c r="B225" s="223"/>
      <c r="C225" s="223"/>
      <c r="D225" s="223"/>
      <c r="E225" s="31"/>
      <c r="G225" s="223"/>
      <c r="H225" s="223"/>
      <c r="I225" s="223"/>
      <c r="J225" s="223"/>
      <c r="K225" s="31"/>
      <c r="L225" s="196"/>
    </row>
    <row r="226" spans="1:12" ht="12.75">
      <c r="A226" s="223" t="s">
        <v>401</v>
      </c>
      <c r="B226" s="223"/>
      <c r="C226" s="223"/>
      <c r="D226" s="223"/>
      <c r="E226" s="31"/>
      <c r="G226" s="81" t="s">
        <v>344</v>
      </c>
      <c r="J226" s="223"/>
      <c r="K226" s="31"/>
      <c r="L226" s="196"/>
    </row>
    <row r="227" spans="1:12" ht="12.75">
      <c r="A227" s="223"/>
      <c r="B227" s="223"/>
      <c r="C227" s="223"/>
      <c r="D227" s="223"/>
      <c r="E227" s="31"/>
      <c r="G227" s="223"/>
      <c r="H227" s="223"/>
      <c r="I227" s="223"/>
      <c r="J227" s="223"/>
      <c r="K227" s="31"/>
      <c r="L227" s="196"/>
    </row>
    <row r="228" spans="1:12" ht="12.75">
      <c r="A228" s="223"/>
      <c r="B228" s="223"/>
      <c r="C228" s="223"/>
      <c r="D228" s="223"/>
      <c r="E228" s="31"/>
      <c r="G228" s="223"/>
      <c r="H228" s="223"/>
      <c r="I228" s="223"/>
      <c r="J228" s="223"/>
      <c r="K228" s="31"/>
      <c r="L228" s="196"/>
    </row>
    <row r="229" spans="2:11" ht="12.75">
      <c r="B229" s="223"/>
      <c r="C229" s="223"/>
      <c r="D229" s="223"/>
      <c r="E229" s="31"/>
      <c r="K229" s="224"/>
    </row>
    <row r="230" spans="1:11" ht="12.75">
      <c r="A230" s="223"/>
      <c r="B230" s="223"/>
      <c r="C230" s="223"/>
      <c r="D230" s="223"/>
      <c r="E230" s="31"/>
      <c r="K230" s="224"/>
    </row>
    <row r="231" spans="1:7" ht="12.75">
      <c r="A231" s="223"/>
      <c r="B231" s="223"/>
      <c r="C231" s="223"/>
      <c r="D231" s="223"/>
      <c r="E231" s="31"/>
      <c r="G231" s="81"/>
    </row>
    <row r="232" spans="1:7" ht="12.75">
      <c r="A232" s="223"/>
      <c r="B232" s="31"/>
      <c r="C232" s="31"/>
      <c r="D232" s="31"/>
      <c r="E232" s="31"/>
      <c r="G232" s="223"/>
    </row>
    <row r="233" spans="1:5" ht="12.75">
      <c r="A233" s="223"/>
      <c r="B233" s="31"/>
      <c r="C233" s="31"/>
      <c r="D233" s="31"/>
      <c r="E233" s="31"/>
    </row>
    <row r="234" spans="1:5" ht="12.75">
      <c r="A234" s="31"/>
      <c r="B234" s="31"/>
      <c r="C234" s="31"/>
      <c r="D234" s="31"/>
      <c r="E234" s="31"/>
    </row>
    <row r="235" spans="1:5" ht="12.75">
      <c r="A235" s="31"/>
      <c r="B235" s="31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31"/>
      <c r="C237" s="31"/>
      <c r="D237" s="31"/>
      <c r="E237" s="31"/>
    </row>
    <row r="238" spans="1:5" ht="12.75">
      <c r="A238" s="31"/>
      <c r="B238" s="31"/>
      <c r="C238" s="31"/>
      <c r="D238" s="31"/>
      <c r="E238" s="31"/>
    </row>
    <row r="239" spans="1:5" ht="12.75">
      <c r="A239" s="31"/>
      <c r="B239" s="31"/>
      <c r="C239" s="31"/>
      <c r="D239" s="31"/>
      <c r="E239" s="31"/>
    </row>
    <row r="240" spans="1:5" ht="12.75">
      <c r="A240" s="31"/>
      <c r="B240" s="31"/>
      <c r="C240" s="31"/>
      <c r="D240" s="31"/>
      <c r="E240" s="31"/>
    </row>
    <row r="241" spans="1:7" ht="12.75">
      <c r="A241" s="31"/>
      <c r="B241" s="31"/>
      <c r="C241" s="31"/>
      <c r="D241" s="31"/>
      <c r="E241" s="31"/>
      <c r="G241" s="81"/>
    </row>
    <row r="242" spans="1:5" ht="12.75">
      <c r="A242" s="31"/>
      <c r="B242" s="31"/>
      <c r="C242" s="31"/>
      <c r="D242" s="31"/>
      <c r="E242" s="31"/>
    </row>
    <row r="243" spans="1:5" ht="12.75">
      <c r="A243" s="31"/>
      <c r="B243" s="31"/>
      <c r="C243" s="31"/>
      <c r="D243" s="31"/>
      <c r="E243" s="31"/>
    </row>
    <row r="244" spans="1:5" ht="12.75">
      <c r="A244" s="31"/>
      <c r="B244" s="31"/>
      <c r="C244" s="31"/>
      <c r="D244" s="31"/>
      <c r="E244" s="31"/>
    </row>
    <row r="245" spans="1:5" ht="12.75">
      <c r="A245" s="31"/>
      <c r="B245" s="31"/>
      <c r="C245" s="31"/>
      <c r="D245" s="31"/>
      <c r="E245" s="31"/>
    </row>
    <row r="246" ht="12.75">
      <c r="G246" s="223"/>
    </row>
    <row r="247" ht="12.75">
      <c r="G247" s="223"/>
    </row>
    <row r="254" ht="12.75">
      <c r="G254" s="223" t="s">
        <v>144</v>
      </c>
    </row>
    <row r="255" ht="12.75">
      <c r="G255" s="223" t="s">
        <v>401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23"/>
  <sheetViews>
    <sheetView workbookViewId="0" topLeftCell="H49">
      <selection activeCell="A53" sqref="A53"/>
    </sheetView>
  </sheetViews>
  <sheetFormatPr defaultColWidth="9.140625" defaultRowHeight="12.75"/>
  <cols>
    <col min="1" max="1" width="47.28125" style="48" hidden="1" customWidth="1"/>
    <col min="2" max="3" width="10.57421875" style="48" hidden="1" customWidth="1"/>
    <col min="4" max="4" width="11.28125" style="48" hidden="1" customWidth="1"/>
    <col min="5" max="5" width="6.140625" style="48" hidden="1" customWidth="1"/>
    <col min="6" max="6" width="9.421875" style="48" hidden="1" customWidth="1"/>
    <col min="7" max="7" width="12.7109375" style="48" hidden="1" customWidth="1"/>
    <col min="8" max="8" width="32.8515625" style="48" customWidth="1"/>
    <col min="9" max="9" width="11.28125" style="48" customWidth="1"/>
    <col min="10" max="10" width="11.140625" style="48" customWidth="1"/>
    <col min="11" max="11" width="10.421875" style="48" customWidth="1"/>
    <col min="12" max="12" width="10.00390625" style="48" customWidth="1"/>
    <col min="13" max="14" width="10.421875" style="48" customWidth="1"/>
    <col min="15" max="16384" width="9.140625" style="48" customWidth="1"/>
  </cols>
  <sheetData>
    <row r="1" spans="1:14" ht="21" customHeight="1">
      <c r="A1" s="36" t="s">
        <v>345</v>
      </c>
      <c r="B1" s="36"/>
      <c r="C1" s="82"/>
      <c r="D1" s="82"/>
      <c r="E1" s="36"/>
      <c r="F1" s="36"/>
      <c r="G1" s="48" t="s">
        <v>346</v>
      </c>
      <c r="H1" s="36" t="s">
        <v>345</v>
      </c>
      <c r="I1" s="36"/>
      <c r="J1" s="82"/>
      <c r="K1" s="82"/>
      <c r="L1" s="36"/>
      <c r="M1" s="36"/>
      <c r="N1" s="225" t="s">
        <v>346</v>
      </c>
    </row>
    <row r="2" spans="1:11" ht="0.75" customHeight="1" hidden="1">
      <c r="A2" s="43"/>
      <c r="B2" s="43"/>
      <c r="C2" s="43"/>
      <c r="D2" s="43"/>
      <c r="H2" s="43"/>
      <c r="I2" s="43"/>
      <c r="J2" s="43"/>
      <c r="K2" s="43"/>
    </row>
    <row r="3" spans="1:11" ht="20.25" customHeight="1">
      <c r="A3" s="43"/>
      <c r="B3" s="43"/>
      <c r="C3" s="43"/>
      <c r="D3" s="43"/>
      <c r="H3" s="43"/>
      <c r="I3" s="43"/>
      <c r="J3" s="43"/>
      <c r="K3" s="43"/>
    </row>
    <row r="4" spans="1:14" ht="18.75" customHeight="1">
      <c r="A4" s="306" t="s">
        <v>347</v>
      </c>
      <c r="B4" s="306"/>
      <c r="C4" s="306"/>
      <c r="D4" s="306"/>
      <c r="E4" s="306"/>
      <c r="F4" s="306"/>
      <c r="G4" s="306"/>
      <c r="H4" s="306" t="s">
        <v>347</v>
      </c>
      <c r="I4" s="306"/>
      <c r="J4" s="306"/>
      <c r="K4" s="306"/>
      <c r="L4" s="306"/>
      <c r="M4" s="306"/>
      <c r="N4" s="306"/>
    </row>
    <row r="5" spans="1:14" ht="20.25" customHeight="1">
      <c r="A5" s="306" t="s">
        <v>225</v>
      </c>
      <c r="B5" s="306"/>
      <c r="C5" s="306"/>
      <c r="D5" s="306"/>
      <c r="E5" s="306"/>
      <c r="F5" s="306"/>
      <c r="G5" s="306"/>
      <c r="H5" s="306" t="s">
        <v>225</v>
      </c>
      <c r="I5" s="306"/>
      <c r="J5" s="306"/>
      <c r="K5" s="306"/>
      <c r="L5" s="306"/>
      <c r="M5" s="306"/>
      <c r="N5" s="306"/>
    </row>
    <row r="6" spans="1:14" ht="18" customHeight="1">
      <c r="A6" s="306" t="s">
        <v>402</v>
      </c>
      <c r="B6" s="306"/>
      <c r="C6" s="306"/>
      <c r="D6" s="306"/>
      <c r="E6" s="306"/>
      <c r="F6" s="306"/>
      <c r="G6" s="306"/>
      <c r="H6" s="306" t="s">
        <v>402</v>
      </c>
      <c r="I6" s="306"/>
      <c r="J6" s="306"/>
      <c r="K6" s="306"/>
      <c r="L6" s="306"/>
      <c r="M6" s="306"/>
      <c r="N6" s="306"/>
    </row>
    <row r="7" spans="1:14" ht="36" customHeight="1">
      <c r="A7" s="43"/>
      <c r="B7" s="43"/>
      <c r="C7" s="43"/>
      <c r="D7" s="43"/>
      <c r="G7" s="43"/>
      <c r="H7" s="43"/>
      <c r="I7" s="43"/>
      <c r="J7" s="43"/>
      <c r="K7" s="43"/>
      <c r="N7" s="226" t="s">
        <v>149</v>
      </c>
    </row>
    <row r="8" spans="1:14" ht="67.5" customHeight="1">
      <c r="A8" s="4" t="s">
        <v>17</v>
      </c>
      <c r="B8" s="4" t="s">
        <v>62</v>
      </c>
      <c r="C8" s="4" t="s">
        <v>226</v>
      </c>
      <c r="D8" s="4" t="s">
        <v>63</v>
      </c>
      <c r="E8" s="4" t="s">
        <v>227</v>
      </c>
      <c r="F8" s="4" t="s">
        <v>348</v>
      </c>
      <c r="G8" s="198" t="s">
        <v>398</v>
      </c>
      <c r="H8" s="4" t="s">
        <v>17</v>
      </c>
      <c r="I8" s="4" t="s">
        <v>62</v>
      </c>
      <c r="J8" s="4" t="s">
        <v>226</v>
      </c>
      <c r="K8" s="4" t="s">
        <v>63</v>
      </c>
      <c r="L8" s="4" t="s">
        <v>227</v>
      </c>
      <c r="M8" s="4" t="s">
        <v>348</v>
      </c>
      <c r="N8" s="4" t="s">
        <v>398</v>
      </c>
    </row>
    <row r="9" spans="1:14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198">
        <v>7</v>
      </c>
      <c r="H9" s="4">
        <v>1</v>
      </c>
      <c r="I9" s="4">
        <v>2</v>
      </c>
      <c r="J9" s="4">
        <v>3</v>
      </c>
      <c r="K9" s="4">
        <v>4</v>
      </c>
      <c r="L9" s="4">
        <v>5</v>
      </c>
      <c r="M9" s="4">
        <v>6</v>
      </c>
      <c r="N9" s="4">
        <v>7</v>
      </c>
    </row>
    <row r="10" spans="1:14" ht="18.75" customHeight="1">
      <c r="A10" s="187" t="s">
        <v>349</v>
      </c>
      <c r="B10" s="227">
        <f>SUM(B11:B12)</f>
        <v>732871551</v>
      </c>
      <c r="C10" s="227">
        <f>SUM(C11:C12)</f>
        <v>684608496</v>
      </c>
      <c r="D10" s="227">
        <f>SUM(D11:D12)</f>
        <v>629915525</v>
      </c>
      <c r="E10" s="59">
        <f>IF(ISERROR(D10/B10)," ",(D10/B10))</f>
        <v>0.8595169564714077</v>
      </c>
      <c r="F10" s="59">
        <f>IF(ISERROR(D10/C10)," ",(D10/C10))</f>
        <v>0.9201105868250866</v>
      </c>
      <c r="G10" s="228">
        <f>SUM(G11:G12)</f>
        <v>52972455</v>
      </c>
      <c r="H10" s="187" t="s">
        <v>349</v>
      </c>
      <c r="I10" s="229">
        <f>SUM(I11:I12)</f>
        <v>732871</v>
      </c>
      <c r="J10" s="229">
        <f>SUM(J11:J12)</f>
        <v>684608</v>
      </c>
      <c r="K10" s="229">
        <f>SUM(K11:K12)</f>
        <v>629915</v>
      </c>
      <c r="L10" s="230">
        <f>IF(ISERROR(ROUND(K10,0)/ROUND(I10,0))," ",(ROUND(K10,)/ROUND(I10,)))</f>
        <v>0.8595168863278804</v>
      </c>
      <c r="M10" s="230">
        <f>IF(ISERROR(ROUND(K10,0)/ROUND(J10,0))," ",(ROUND(K10,)/ROUND(J10,)))</f>
        <v>0.9201104865850238</v>
      </c>
      <c r="N10" s="229">
        <f>SUM(N11:N12)</f>
        <v>52972</v>
      </c>
    </row>
    <row r="11" spans="1:14" ht="22.5" customHeight="1">
      <c r="A11" s="115" t="s">
        <v>350</v>
      </c>
      <c r="B11" s="97">
        <v>698124288</v>
      </c>
      <c r="C11" s="231">
        <f>453824764-30424321+231648905-2271000</f>
        <v>652778348</v>
      </c>
      <c r="D11" s="97">
        <f>631418331-11616058-1502806</f>
        <v>618299467</v>
      </c>
      <c r="E11" s="63">
        <f aca="true" t="shared" si="0" ref="E11:E16">IF(ISERROR(D11/B11)," ",(D11/B11))</f>
        <v>0.8856581523202929</v>
      </c>
      <c r="F11" s="63">
        <f aca="true" t="shared" si="1" ref="F11:F16">IF(ISERROR(D11/C11)," ",(D11/C11))</f>
        <v>0.9471813348196408</v>
      </c>
      <c r="G11" s="232">
        <f>D11-'[3]Oktobris'!D11</f>
        <v>100597250</v>
      </c>
      <c r="H11" s="115" t="s">
        <v>350</v>
      </c>
      <c r="I11" s="164">
        <f aca="true" t="shared" si="2" ref="I11:K12">ROUND(B11/1000,0)</f>
        <v>698124</v>
      </c>
      <c r="J11" s="164">
        <f>ROUND(C11/1000,0)</f>
        <v>652778</v>
      </c>
      <c r="K11" s="164">
        <f>ROUND(D11/1000,0)</f>
        <v>618299</v>
      </c>
      <c r="L11" s="63">
        <f aca="true" t="shared" si="3" ref="L11:L16">IF(ISERROR(ROUND(K11,0)/ROUND(I11,0))," ",(ROUND(K11,)/ROUND(I11,)))</f>
        <v>0.8856578487489328</v>
      </c>
      <c r="M11" s="63">
        <f aca="true" t="shared" si="4" ref="M11:M16">IF(ISERROR(ROUND(K11,0)/ROUND(J11,0))," ",(ROUND(K11,)/ROUND(J11,)))</f>
        <v>0.9471811243638726</v>
      </c>
      <c r="N11" s="164">
        <f>K11-'[3]Oktobris'!K11</f>
        <v>100597</v>
      </c>
    </row>
    <row r="12" spans="1:14" ht="15.75" customHeight="1">
      <c r="A12" s="115" t="s">
        <v>351</v>
      </c>
      <c r="B12" s="97">
        <v>34747263</v>
      </c>
      <c r="C12" s="231">
        <f>31830148</f>
        <v>31830148</v>
      </c>
      <c r="D12" s="97">
        <v>11616058</v>
      </c>
      <c r="E12" s="63">
        <f t="shared" si="0"/>
        <v>0.3343013808022807</v>
      </c>
      <c r="F12" s="63">
        <f t="shared" si="1"/>
        <v>0.3649388623640707</v>
      </c>
      <c r="G12" s="232">
        <f>D12-'[3]Oktobris'!D12</f>
        <v>-47624795</v>
      </c>
      <c r="H12" s="115" t="s">
        <v>351</v>
      </c>
      <c r="I12" s="164">
        <f t="shared" si="2"/>
        <v>34747</v>
      </c>
      <c r="J12" s="164">
        <f>ROUND(C12/1000,0)</f>
        <v>31830</v>
      </c>
      <c r="K12" s="164">
        <f t="shared" si="2"/>
        <v>11616</v>
      </c>
      <c r="L12" s="63">
        <f t="shared" si="3"/>
        <v>0.3343022419201658</v>
      </c>
      <c r="M12" s="63">
        <f t="shared" si="4"/>
        <v>0.3649387370405278</v>
      </c>
      <c r="N12" s="164">
        <f>K12-'[3]Oktobris'!K12</f>
        <v>-47625</v>
      </c>
    </row>
    <row r="13" spans="1:14" ht="21.75" customHeight="1">
      <c r="A13" s="187" t="s">
        <v>233</v>
      </c>
      <c r="B13" s="6">
        <f>SUM(B14,B40)</f>
        <v>824566386</v>
      </c>
      <c r="C13" s="6">
        <f>SUM(C14,C40)</f>
        <v>764578922</v>
      </c>
      <c r="D13" s="6">
        <f>SUM(D14,D40)</f>
        <v>713659914</v>
      </c>
      <c r="E13" s="59">
        <f t="shared" si="0"/>
        <v>0.8654972190438042</v>
      </c>
      <c r="F13" s="59">
        <f t="shared" si="1"/>
        <v>0.9334025480759983</v>
      </c>
      <c r="G13" s="200">
        <f>SUM(G14,G40)</f>
        <v>63480407</v>
      </c>
      <c r="H13" s="187" t="s">
        <v>233</v>
      </c>
      <c r="I13" s="208">
        <f>SUM(I14,I40)</f>
        <v>824567</v>
      </c>
      <c r="J13" s="208">
        <f>SUM(J14,J40)</f>
        <v>764579</v>
      </c>
      <c r="K13" s="208">
        <f>SUM(K14,K40)</f>
        <v>713660</v>
      </c>
      <c r="L13" s="230">
        <f t="shared" si="3"/>
        <v>0.8654966788629669</v>
      </c>
      <c r="M13" s="230">
        <f t="shared" si="4"/>
        <v>0.9334025653333403</v>
      </c>
      <c r="N13" s="208">
        <f>SUM(N14,N40)</f>
        <v>63480</v>
      </c>
    </row>
    <row r="14" spans="1:14" ht="20.25" customHeight="1">
      <c r="A14" s="102" t="s">
        <v>352</v>
      </c>
      <c r="B14" s="138">
        <f>SUM(B15,B24,B27)</f>
        <v>775772753</v>
      </c>
      <c r="C14" s="138">
        <f>SUM(C15,C24,C27)</f>
        <v>717201051</v>
      </c>
      <c r="D14" s="138">
        <f>SUM(D15,D24,D27)</f>
        <v>670333775</v>
      </c>
      <c r="E14" s="59">
        <f t="shared" si="0"/>
        <v>0.8640852265147807</v>
      </c>
      <c r="F14" s="59">
        <f t="shared" si="1"/>
        <v>0.9346525274403147</v>
      </c>
      <c r="G14" s="233">
        <f>SUM(G15,G24,G27)</f>
        <v>61384800</v>
      </c>
      <c r="H14" s="102" t="s">
        <v>352</v>
      </c>
      <c r="I14" s="53">
        <f>SUM(I15,I24,I27)-2</f>
        <v>775773</v>
      </c>
      <c r="J14" s="53">
        <f>SUM(J15,J24,J27)</f>
        <v>717201</v>
      </c>
      <c r="K14" s="53">
        <f>SUM(K15,K24,K27)</f>
        <v>670334</v>
      </c>
      <c r="L14" s="230">
        <f t="shared" si="3"/>
        <v>0.8640852414301606</v>
      </c>
      <c r="M14" s="230">
        <f t="shared" si="4"/>
        <v>0.9346529076228282</v>
      </c>
      <c r="N14" s="53">
        <f>SUM(N15,N24,N27)</f>
        <v>61385</v>
      </c>
    </row>
    <row r="15" spans="1:14" ht="18.75" customHeight="1">
      <c r="A15" s="106" t="s">
        <v>235</v>
      </c>
      <c r="B15" s="166">
        <v>84728591</v>
      </c>
      <c r="C15" s="166">
        <f>77052119+5054090-203984-2271000</f>
        <v>79631225</v>
      </c>
      <c r="D15" s="166">
        <f>SUM(D16,D17,D18,D23)</f>
        <v>55899299</v>
      </c>
      <c r="E15" s="59">
        <f t="shared" si="0"/>
        <v>0.6597454099053766</v>
      </c>
      <c r="F15" s="59">
        <f t="shared" si="1"/>
        <v>0.7019771327139573</v>
      </c>
      <c r="G15" s="234">
        <f>SUM(G16,G17,G18,G23)</f>
        <v>4326571</v>
      </c>
      <c r="H15" s="106" t="s">
        <v>235</v>
      </c>
      <c r="I15" s="167">
        <f>ROUND(B15/1000,0)</f>
        <v>84729</v>
      </c>
      <c r="J15" s="167">
        <f>ROUND(C15/1000,0)</f>
        <v>79631</v>
      </c>
      <c r="K15" s="235">
        <f>SUM(K16,K17,K18,K23)</f>
        <v>55899</v>
      </c>
      <c r="L15" s="59">
        <f t="shared" si="3"/>
        <v>0.659738696314131</v>
      </c>
      <c r="M15" s="59">
        <f t="shared" si="4"/>
        <v>0.7019753613542464</v>
      </c>
      <c r="N15" s="58">
        <f>SUM(N16,N17,N18,N23)</f>
        <v>4327</v>
      </c>
    </row>
    <row r="16" spans="1:14" ht="12.75">
      <c r="A16" s="163" t="s">
        <v>236</v>
      </c>
      <c r="B16" s="141">
        <v>13936016</v>
      </c>
      <c r="C16" s="141">
        <f>13096516+125000-7914</f>
        <v>13213602</v>
      </c>
      <c r="D16" s="141">
        <v>11311034</v>
      </c>
      <c r="E16" s="63">
        <f t="shared" si="0"/>
        <v>0.8116404286562243</v>
      </c>
      <c r="F16" s="63">
        <f t="shared" si="1"/>
        <v>0.8560144311899208</v>
      </c>
      <c r="G16" s="236">
        <f>D16-'[3]Oktobris'!D16</f>
        <v>522137</v>
      </c>
      <c r="H16" s="163" t="s">
        <v>236</v>
      </c>
      <c r="I16" s="181">
        <f>ROUND(B16/1000,0)</f>
        <v>13936</v>
      </c>
      <c r="J16" s="181">
        <f>ROUND(C16/1000,0)</f>
        <v>13214</v>
      </c>
      <c r="K16" s="164">
        <f>ROUND(D16/1000,0)</f>
        <v>11311</v>
      </c>
      <c r="L16" s="63">
        <f t="shared" si="3"/>
        <v>0.8116389207807119</v>
      </c>
      <c r="M16" s="63">
        <f t="shared" si="4"/>
        <v>0.8559860753746027</v>
      </c>
      <c r="N16" s="164">
        <f>K16-'[3]Oktobris'!K16</f>
        <v>522</v>
      </c>
    </row>
    <row r="17" spans="1:14" ht="22.5">
      <c r="A17" s="115" t="s">
        <v>237</v>
      </c>
      <c r="B17" s="21" t="s">
        <v>23</v>
      </c>
      <c r="C17" s="21" t="s">
        <v>23</v>
      </c>
      <c r="D17" s="141">
        <v>3009293</v>
      </c>
      <c r="E17" s="169" t="s">
        <v>23</v>
      </c>
      <c r="F17" s="21" t="s">
        <v>23</v>
      </c>
      <c r="G17" s="236">
        <f>D17-'[3]Oktobris'!D17</f>
        <v>119250</v>
      </c>
      <c r="H17" s="115" t="s">
        <v>237</v>
      </c>
      <c r="I17" s="171" t="s">
        <v>23</v>
      </c>
      <c r="J17" s="171" t="s">
        <v>23</v>
      </c>
      <c r="K17" s="164">
        <f>ROUND(D17/1000,0)</f>
        <v>3009</v>
      </c>
      <c r="L17" s="169" t="s">
        <v>23</v>
      </c>
      <c r="M17" s="21" t="s">
        <v>23</v>
      </c>
      <c r="N17" s="164">
        <f>K17-'[3]Oktobris'!K17</f>
        <v>119</v>
      </c>
    </row>
    <row r="18" spans="1:14" ht="12.75">
      <c r="A18" s="115" t="s">
        <v>238</v>
      </c>
      <c r="B18" s="21" t="s">
        <v>23</v>
      </c>
      <c r="C18" s="21" t="s">
        <v>23</v>
      </c>
      <c r="D18" s="141">
        <f>SUM(D19:D22)</f>
        <v>39978811</v>
      </c>
      <c r="E18" s="169" t="s">
        <v>23</v>
      </c>
      <c r="F18" s="21" t="s">
        <v>23</v>
      </c>
      <c r="G18" s="236">
        <f>G19+G20+G21+G22</f>
        <v>3660184</v>
      </c>
      <c r="H18" s="115" t="s">
        <v>238</v>
      </c>
      <c r="I18" s="171" t="s">
        <v>23</v>
      </c>
      <c r="J18" s="171" t="s">
        <v>23</v>
      </c>
      <c r="K18" s="164">
        <f>SUM(K19:K22)</f>
        <v>39979</v>
      </c>
      <c r="L18" s="169" t="s">
        <v>23</v>
      </c>
      <c r="M18" s="21" t="s">
        <v>23</v>
      </c>
      <c r="N18" s="164">
        <f>N19+N20+N21+N22</f>
        <v>3661</v>
      </c>
    </row>
    <row r="19" spans="1:14" s="185" customFormat="1" ht="21.75" customHeight="1">
      <c r="A19" s="116" t="s">
        <v>353</v>
      </c>
      <c r="B19" s="11" t="s">
        <v>23</v>
      </c>
      <c r="C19" s="11" t="s">
        <v>23</v>
      </c>
      <c r="D19" s="172">
        <v>38487138</v>
      </c>
      <c r="E19" s="173" t="s">
        <v>23</v>
      </c>
      <c r="F19" s="11" t="s">
        <v>23</v>
      </c>
      <c r="G19" s="236">
        <f>D19-'[3]Oktobris'!D19</f>
        <v>3587669</v>
      </c>
      <c r="H19" s="116" t="s">
        <v>353</v>
      </c>
      <c r="I19" s="175" t="s">
        <v>23</v>
      </c>
      <c r="J19" s="175" t="s">
        <v>23</v>
      </c>
      <c r="K19" s="176">
        <f>ROUND(D19/1000,0)</f>
        <v>38487</v>
      </c>
      <c r="L19" s="173" t="s">
        <v>23</v>
      </c>
      <c r="M19" s="11" t="s">
        <v>23</v>
      </c>
      <c r="N19" s="176">
        <f>K19-'[3]Oktobris'!K19</f>
        <v>3588</v>
      </c>
    </row>
    <row r="20" spans="1:14" s="185" customFormat="1" ht="0.75" customHeight="1" hidden="1">
      <c r="A20" s="116" t="s">
        <v>354</v>
      </c>
      <c r="B20" s="12"/>
      <c r="C20" s="11" t="s">
        <v>23</v>
      </c>
      <c r="D20" s="172"/>
      <c r="E20" s="70" t="str">
        <f>IF(ISERROR(D20/B20)," ",(D20/B20))</f>
        <v> </v>
      </c>
      <c r="F20" s="237" t="s">
        <v>23</v>
      </c>
      <c r="G20" s="236"/>
      <c r="H20" s="116" t="s">
        <v>354</v>
      </c>
      <c r="I20" s="176">
        <f>ROUND(B20/1000,0)</f>
        <v>0</v>
      </c>
      <c r="J20" s="175" t="s">
        <v>23</v>
      </c>
      <c r="K20" s="176">
        <f>ROUND(D20/1000,0)</f>
        <v>0</v>
      </c>
      <c r="L20" s="70" t="str">
        <f>IF(ISERROR(ROUND(K20,0)/ROUND(I20,0))," ",(ROUND(K20,)/ROUND(I20,)))</f>
        <v> </v>
      </c>
      <c r="M20" s="237" t="s">
        <v>23</v>
      </c>
      <c r="N20" s="176"/>
    </row>
    <row r="21" spans="1:14" s="185" customFormat="1" ht="25.5" customHeight="1">
      <c r="A21" s="116" t="s">
        <v>355</v>
      </c>
      <c r="B21" s="12">
        <v>7138000</v>
      </c>
      <c r="C21" s="11" t="s">
        <v>23</v>
      </c>
      <c r="D21" s="172">
        <v>851354</v>
      </c>
      <c r="E21" s="70">
        <f>IF(ISERROR(D21/B21)," ",(D21/B21))</f>
        <v>0.11927066405155506</v>
      </c>
      <c r="F21" s="11" t="s">
        <v>23</v>
      </c>
      <c r="G21" s="236">
        <f>D21-'[3]Oktobris'!D21</f>
        <v>0</v>
      </c>
      <c r="H21" s="116" t="s">
        <v>355</v>
      </c>
      <c r="I21" s="176">
        <f>ROUND(B21/1000,0)</f>
        <v>7138</v>
      </c>
      <c r="J21" s="175" t="s">
        <v>23</v>
      </c>
      <c r="K21" s="176">
        <f>ROUND(D21/1000,0)</f>
        <v>851</v>
      </c>
      <c r="L21" s="70">
        <f>IF(ISERROR(ROUND(K21,0)/ROUND(I21,0))," ",(ROUND(K21,)/ROUND(I21,)))</f>
        <v>0.11922107032782292</v>
      </c>
      <c r="M21" s="11" t="s">
        <v>23</v>
      </c>
      <c r="N21" s="176">
        <f>K21-'[3]Oktobris'!K21</f>
        <v>0</v>
      </c>
    </row>
    <row r="22" spans="1:14" s="185" customFormat="1" ht="12.75">
      <c r="A22" s="116" t="s">
        <v>241</v>
      </c>
      <c r="B22" s="11" t="s">
        <v>23</v>
      </c>
      <c r="C22" s="11" t="s">
        <v>23</v>
      </c>
      <c r="D22" s="172">
        <f>2143125-1502806</f>
        <v>640319</v>
      </c>
      <c r="E22" s="173" t="s">
        <v>23</v>
      </c>
      <c r="F22" s="11" t="s">
        <v>23</v>
      </c>
      <c r="G22" s="236">
        <f>D22-'[3]Oktobris'!D22</f>
        <v>72515</v>
      </c>
      <c r="H22" s="116" t="s">
        <v>241</v>
      </c>
      <c r="I22" s="175" t="s">
        <v>23</v>
      </c>
      <c r="J22" s="175" t="s">
        <v>23</v>
      </c>
      <c r="K22" s="176">
        <f>ROUND(D22/1000,0)+1</f>
        <v>641</v>
      </c>
      <c r="L22" s="173" t="s">
        <v>23</v>
      </c>
      <c r="M22" s="11" t="s">
        <v>23</v>
      </c>
      <c r="N22" s="176">
        <f>K22-'[3]Oktobris'!K22</f>
        <v>73</v>
      </c>
    </row>
    <row r="23" spans="1:14" ht="12.75">
      <c r="A23" s="115" t="s">
        <v>356</v>
      </c>
      <c r="B23" s="21" t="s">
        <v>23</v>
      </c>
      <c r="C23" s="21" t="s">
        <v>23</v>
      </c>
      <c r="D23" s="141">
        <f>1600161</f>
        <v>1600161</v>
      </c>
      <c r="E23" s="169" t="s">
        <v>23</v>
      </c>
      <c r="F23" s="21" t="s">
        <v>23</v>
      </c>
      <c r="G23" s="236">
        <f>D23-'[3]Oktobris'!D23</f>
        <v>25000</v>
      </c>
      <c r="H23" s="115" t="s">
        <v>356</v>
      </c>
      <c r="I23" s="171" t="s">
        <v>23</v>
      </c>
      <c r="J23" s="171" t="s">
        <v>23</v>
      </c>
      <c r="K23" s="164">
        <f>ROUND(D23/1000,0)</f>
        <v>1600</v>
      </c>
      <c r="L23" s="169" t="s">
        <v>23</v>
      </c>
      <c r="M23" s="21" t="s">
        <v>23</v>
      </c>
      <c r="N23" s="164">
        <f>K23-'[3]Oktobris'!K23</f>
        <v>25</v>
      </c>
    </row>
    <row r="24" spans="1:14" ht="26.25" customHeight="1">
      <c r="A24" s="114" t="s">
        <v>244</v>
      </c>
      <c r="B24" s="141">
        <v>2967619</v>
      </c>
      <c r="C24" s="141">
        <f>1815298+1084350-290350</f>
        <v>2609298</v>
      </c>
      <c r="D24" s="141">
        <f>SUM(D25:D26)</f>
        <v>1800303</v>
      </c>
      <c r="E24" s="63">
        <f>IF(ISERROR(D24/B24)," ",(D24/B24))</f>
        <v>0.6066489667305675</v>
      </c>
      <c r="F24" s="63">
        <f>IF(ISERROR(D24/C24)," ",(D24/C24))</f>
        <v>0.6899568389658828</v>
      </c>
      <c r="G24" s="236">
        <f>SUM(G25:G26)</f>
        <v>5655</v>
      </c>
      <c r="H24" s="114" t="s">
        <v>244</v>
      </c>
      <c r="I24" s="167">
        <f>ROUND(B24/1000,0)</f>
        <v>2968</v>
      </c>
      <c r="J24" s="167">
        <f>ROUND(C24/1000,0)</f>
        <v>2609</v>
      </c>
      <c r="K24" s="235">
        <f>SUM(K25:K26)</f>
        <v>1800</v>
      </c>
      <c r="L24" s="59">
        <f>IF(ISERROR(ROUND(K24,0)/ROUND(I24,0))," ",(ROUND(K24,)/ROUND(I24,)))</f>
        <v>0.6064690026954178</v>
      </c>
      <c r="M24" s="59">
        <f>IF(ISERROR(ROUND(K24,0)/ROUND(J24,0))," ",(ROUND(K24,)/ROUND(J24,)))</f>
        <v>0.6899195093905711</v>
      </c>
      <c r="N24" s="235">
        <f>SUM(N25:N26)</f>
        <v>5</v>
      </c>
    </row>
    <row r="25" spans="1:14" ht="23.25" customHeight="1">
      <c r="A25" s="115" t="s">
        <v>357</v>
      </c>
      <c r="B25" s="21" t="s">
        <v>23</v>
      </c>
      <c r="C25" s="21" t="s">
        <v>23</v>
      </c>
      <c r="D25" s="141">
        <v>489275</v>
      </c>
      <c r="E25" s="169" t="s">
        <v>23</v>
      </c>
      <c r="F25" s="21" t="s">
        <v>23</v>
      </c>
      <c r="G25" s="236">
        <f>D25-'[3]Oktobris'!D25</f>
        <v>3891</v>
      </c>
      <c r="H25" s="115" t="s">
        <v>357</v>
      </c>
      <c r="I25" s="171" t="s">
        <v>23</v>
      </c>
      <c r="J25" s="171" t="s">
        <v>23</v>
      </c>
      <c r="K25" s="164">
        <f>ROUND(D25/1000,0)</f>
        <v>489</v>
      </c>
      <c r="L25" s="169" t="s">
        <v>23</v>
      </c>
      <c r="M25" s="21" t="s">
        <v>23</v>
      </c>
      <c r="N25" s="164">
        <f>K25-'[3]Oktobris'!K25</f>
        <v>3</v>
      </c>
    </row>
    <row r="26" spans="1:14" ht="24.75" customHeight="1">
      <c r="A26" s="115" t="s">
        <v>358</v>
      </c>
      <c r="B26" s="21" t="s">
        <v>23</v>
      </c>
      <c r="C26" s="21" t="s">
        <v>23</v>
      </c>
      <c r="D26" s="141">
        <v>1311028</v>
      </c>
      <c r="E26" s="169" t="s">
        <v>23</v>
      </c>
      <c r="F26" s="21" t="s">
        <v>23</v>
      </c>
      <c r="G26" s="236">
        <f>D26-'[3]Oktobris'!D26</f>
        <v>1764</v>
      </c>
      <c r="H26" s="115" t="s">
        <v>358</v>
      </c>
      <c r="I26" s="171" t="s">
        <v>23</v>
      </c>
      <c r="J26" s="171" t="s">
        <v>23</v>
      </c>
      <c r="K26" s="164">
        <f>ROUND(D26/1000,0)</f>
        <v>1311</v>
      </c>
      <c r="L26" s="169" t="s">
        <v>23</v>
      </c>
      <c r="M26" s="21" t="s">
        <v>23</v>
      </c>
      <c r="N26" s="164">
        <f>K26-'[3]Oktobris'!K26</f>
        <v>2</v>
      </c>
    </row>
    <row r="27" spans="1:14" ht="16.5" customHeight="1">
      <c r="A27" s="238" t="s">
        <v>248</v>
      </c>
      <c r="B27" s="141">
        <v>688076543</v>
      </c>
      <c r="C27" s="141">
        <f>513518326-40983461+162425663</f>
        <v>634960528</v>
      </c>
      <c r="D27" s="141">
        <f>SUM(D28,D29,D30,D31,D34,D39)</f>
        <v>612634173</v>
      </c>
      <c r="E27" s="63">
        <f>IF(ISERROR(D27/B27)," ",(D27/B27))</f>
        <v>0.8903575906379939</v>
      </c>
      <c r="F27" s="63">
        <f>IF(ISERROR(D27/C27)," ",(D27/C27))</f>
        <v>0.9648382001471436</v>
      </c>
      <c r="G27" s="239">
        <f>SUM(G28,G29,G30,G31,G34,G39)</f>
        <v>57052574</v>
      </c>
      <c r="H27" s="238" t="s">
        <v>248</v>
      </c>
      <c r="I27" s="167">
        <f>ROUND(B27/1000,0)+1</f>
        <v>688078</v>
      </c>
      <c r="J27" s="167">
        <f>ROUND(C27/1000,0)</f>
        <v>634961</v>
      </c>
      <c r="K27" s="235">
        <f>SUM(K28,K29,K30,K31,K34,K39)</f>
        <v>612635</v>
      </c>
      <c r="L27" s="59">
        <f>IF(ISERROR(ROUND(K27,0)/ROUND(I27,0))," ",(ROUND(K27,)/ROUND(I27,)))</f>
        <v>0.8903569072111011</v>
      </c>
      <c r="M27" s="59">
        <f>IF(ISERROR(ROUND(K27,0)/ROUND(J27,0))," ",(ROUND(K27,)/ROUND(J27,)))</f>
        <v>0.9648387853742199</v>
      </c>
      <c r="N27" s="235">
        <f>SUM(N28,N29,N30,N31,N34,N39)</f>
        <v>57053</v>
      </c>
    </row>
    <row r="28" spans="1:14" ht="15.75" customHeight="1">
      <c r="A28" s="163" t="s">
        <v>249</v>
      </c>
      <c r="B28" s="21" t="s">
        <v>23</v>
      </c>
      <c r="C28" s="21" t="s">
        <v>23</v>
      </c>
      <c r="D28" s="141">
        <v>2120559</v>
      </c>
      <c r="E28" s="169" t="s">
        <v>23</v>
      </c>
      <c r="F28" s="21" t="s">
        <v>23</v>
      </c>
      <c r="G28" s="236">
        <f>D28-'[3]Oktobris'!D28</f>
        <v>68749</v>
      </c>
      <c r="H28" s="163" t="s">
        <v>249</v>
      </c>
      <c r="I28" s="171" t="s">
        <v>23</v>
      </c>
      <c r="J28" s="171" t="s">
        <v>23</v>
      </c>
      <c r="K28" s="164">
        <f>ROUND(D28/1000,0)</f>
        <v>2121</v>
      </c>
      <c r="L28" s="169" t="s">
        <v>23</v>
      </c>
      <c r="M28" s="21" t="s">
        <v>23</v>
      </c>
      <c r="N28" s="164">
        <f>K28-'[3]Oktobris'!K28</f>
        <v>69</v>
      </c>
    </row>
    <row r="29" spans="1:14" ht="15" customHeight="1">
      <c r="A29" s="163" t="s">
        <v>250</v>
      </c>
      <c r="B29" s="21" t="s">
        <v>23</v>
      </c>
      <c r="C29" s="21" t="s">
        <v>23</v>
      </c>
      <c r="D29" s="141">
        <v>18481586</v>
      </c>
      <c r="E29" s="169" t="s">
        <v>23</v>
      </c>
      <c r="F29" s="21" t="s">
        <v>23</v>
      </c>
      <c r="G29" s="236">
        <f>D29-'[3]Oktobris'!D29</f>
        <v>1280880</v>
      </c>
      <c r="H29" s="163" t="s">
        <v>250</v>
      </c>
      <c r="I29" s="171" t="s">
        <v>23</v>
      </c>
      <c r="J29" s="171" t="s">
        <v>23</v>
      </c>
      <c r="K29" s="164">
        <f>ROUND(D29/1000,0)</f>
        <v>18482</v>
      </c>
      <c r="L29" s="169" t="s">
        <v>23</v>
      </c>
      <c r="M29" s="21" t="s">
        <v>23</v>
      </c>
      <c r="N29" s="164">
        <f>K29-'[3]Oktobris'!K29</f>
        <v>1281</v>
      </c>
    </row>
    <row r="30" spans="1:14" ht="1.5" customHeight="1" hidden="1">
      <c r="A30" s="115" t="s">
        <v>251</v>
      </c>
      <c r="B30" s="21" t="s">
        <v>23</v>
      </c>
      <c r="C30" s="21" t="s">
        <v>23</v>
      </c>
      <c r="D30" s="141"/>
      <c r="E30" s="169" t="s">
        <v>23</v>
      </c>
      <c r="F30" s="21" t="s">
        <v>23</v>
      </c>
      <c r="G30" s="236">
        <f>D30-'[3]Oktobris'!D30</f>
        <v>0</v>
      </c>
      <c r="H30" s="115" t="s">
        <v>251</v>
      </c>
      <c r="I30" s="171" t="s">
        <v>23</v>
      </c>
      <c r="J30" s="171" t="s">
        <v>23</v>
      </c>
      <c r="K30" s="164">
        <f>ROUND(D30/1000,0)</f>
        <v>0</v>
      </c>
      <c r="L30" s="169" t="s">
        <v>23</v>
      </c>
      <c r="M30" s="21" t="s">
        <v>23</v>
      </c>
      <c r="N30" s="164">
        <f>K30-'[3]Oktobris'!K30</f>
        <v>0</v>
      </c>
    </row>
    <row r="31" spans="1:14" ht="12.75">
      <c r="A31" s="115" t="s">
        <v>252</v>
      </c>
      <c r="B31" s="21" t="s">
        <v>23</v>
      </c>
      <c r="C31" s="21" t="s">
        <v>23</v>
      </c>
      <c r="D31" s="141">
        <f>SUM(D32:D33)</f>
        <v>136489906</v>
      </c>
      <c r="E31" s="169" t="s">
        <v>23</v>
      </c>
      <c r="F31" s="21" t="s">
        <v>23</v>
      </c>
      <c r="G31" s="236">
        <f>SUM(G32:G33)</f>
        <v>12740891</v>
      </c>
      <c r="H31" s="115" t="s">
        <v>252</v>
      </c>
      <c r="I31" s="171" t="s">
        <v>23</v>
      </c>
      <c r="J31" s="171" t="s">
        <v>23</v>
      </c>
      <c r="K31" s="182">
        <f>SUM(K32:K33)</f>
        <v>136490</v>
      </c>
      <c r="L31" s="169" t="s">
        <v>23</v>
      </c>
      <c r="M31" s="21" t="s">
        <v>23</v>
      </c>
      <c r="N31" s="182">
        <f>SUM(N32:N33)</f>
        <v>12741</v>
      </c>
    </row>
    <row r="32" spans="1:14" s="185" customFormat="1" ht="26.25" customHeight="1">
      <c r="A32" s="116" t="s">
        <v>354</v>
      </c>
      <c r="B32" s="12">
        <f>1201200+10938476</f>
        <v>12139676</v>
      </c>
      <c r="C32" s="11" t="s">
        <v>23</v>
      </c>
      <c r="D32" s="172">
        <f>1101099+5820085+3636000+302476</f>
        <v>10859660</v>
      </c>
      <c r="E32" s="63">
        <f>IF(ISERROR(D32/B32)," ",(D32/B32))</f>
        <v>0.8945592946632184</v>
      </c>
      <c r="F32" s="11" t="s">
        <v>23</v>
      </c>
      <c r="G32" s="236">
        <f>D32-'[3]Oktobris'!D32</f>
        <v>417575</v>
      </c>
      <c r="H32" s="116" t="s">
        <v>354</v>
      </c>
      <c r="I32" s="176">
        <f>ROUND(B32/1000,0)</f>
        <v>12140</v>
      </c>
      <c r="J32" s="175" t="s">
        <v>23</v>
      </c>
      <c r="K32" s="176">
        <f>ROUND(D32/1000,0)</f>
        <v>10860</v>
      </c>
      <c r="L32" s="70">
        <f>IF(ISERROR(ROUND(K32,0)/ROUND(I32,0))," ",(ROUND(K32,)/ROUND(I32,)))</f>
        <v>0.8945634266886326</v>
      </c>
      <c r="M32" s="11" t="s">
        <v>23</v>
      </c>
      <c r="N32" s="176">
        <f>K32-'[3]Oktobris'!K32</f>
        <v>418</v>
      </c>
    </row>
    <row r="33" spans="1:14" s="185" customFormat="1" ht="12.75">
      <c r="A33" s="116" t="s">
        <v>359</v>
      </c>
      <c r="B33" s="11" t="s">
        <v>23</v>
      </c>
      <c r="C33" s="11" t="s">
        <v>23</v>
      </c>
      <c r="D33" s="172">
        <f>126481600-851354</f>
        <v>125630246</v>
      </c>
      <c r="E33" s="173" t="s">
        <v>23</v>
      </c>
      <c r="F33" s="11" t="s">
        <v>23</v>
      </c>
      <c r="G33" s="236">
        <f>D33-'[3]Oktobris'!D33</f>
        <v>12323316</v>
      </c>
      <c r="H33" s="116" t="s">
        <v>359</v>
      </c>
      <c r="I33" s="175" t="s">
        <v>23</v>
      </c>
      <c r="J33" s="175" t="s">
        <v>23</v>
      </c>
      <c r="K33" s="176">
        <f>ROUND(D33/1000,0)</f>
        <v>125630</v>
      </c>
      <c r="L33" s="173" t="s">
        <v>23</v>
      </c>
      <c r="M33" s="11" t="s">
        <v>23</v>
      </c>
      <c r="N33" s="176">
        <f>K33-'[3]Oktobris'!K33</f>
        <v>12323</v>
      </c>
    </row>
    <row r="34" spans="1:14" ht="15" customHeight="1">
      <c r="A34" s="115" t="s">
        <v>257</v>
      </c>
      <c r="B34" s="21" t="s">
        <v>23</v>
      </c>
      <c r="C34" s="21" t="s">
        <v>23</v>
      </c>
      <c r="D34" s="141">
        <f>SUM(D35:D38)</f>
        <v>455457924</v>
      </c>
      <c r="E34" s="169" t="s">
        <v>23</v>
      </c>
      <c r="F34" s="21" t="s">
        <v>23</v>
      </c>
      <c r="G34" s="236">
        <f>SUM(G35:G38)</f>
        <v>42934874</v>
      </c>
      <c r="H34" s="115" t="s">
        <v>257</v>
      </c>
      <c r="I34" s="171" t="s">
        <v>23</v>
      </c>
      <c r="J34" s="171" t="s">
        <v>23</v>
      </c>
      <c r="K34" s="182">
        <f>SUM(K35:K38)</f>
        <v>455458</v>
      </c>
      <c r="L34" s="169" t="s">
        <v>23</v>
      </c>
      <c r="M34" s="21" t="s">
        <v>23</v>
      </c>
      <c r="N34" s="182">
        <f>SUM(N35:N38)</f>
        <v>42935</v>
      </c>
    </row>
    <row r="35" spans="1:14" s="185" customFormat="1" ht="15" customHeight="1">
      <c r="A35" s="116" t="s">
        <v>360</v>
      </c>
      <c r="B35" s="11" t="s">
        <v>23</v>
      </c>
      <c r="C35" s="11" t="s">
        <v>23</v>
      </c>
      <c r="D35" s="172">
        <v>413825401</v>
      </c>
      <c r="E35" s="173" t="s">
        <v>23</v>
      </c>
      <c r="F35" s="11" t="s">
        <v>23</v>
      </c>
      <c r="G35" s="236">
        <f>D35-'[3]Oktobris'!D35</f>
        <v>39209520</v>
      </c>
      <c r="H35" s="116" t="s">
        <v>360</v>
      </c>
      <c r="I35" s="175" t="s">
        <v>23</v>
      </c>
      <c r="J35" s="175" t="s">
        <v>23</v>
      </c>
      <c r="K35" s="164">
        <f>ROUND(D35/1000,0)</f>
        <v>413825</v>
      </c>
      <c r="L35" s="173" t="s">
        <v>23</v>
      </c>
      <c r="M35" s="11" t="s">
        <v>23</v>
      </c>
      <c r="N35" s="176">
        <f>K35-'[3]Oktobris'!K35</f>
        <v>39209</v>
      </c>
    </row>
    <row r="36" spans="1:14" s="185" customFormat="1" ht="15" customHeight="1">
      <c r="A36" s="116" t="s">
        <v>361</v>
      </c>
      <c r="B36" s="11" t="s">
        <v>23</v>
      </c>
      <c r="C36" s="11" t="s">
        <v>23</v>
      </c>
      <c r="D36" s="172">
        <v>40345812</v>
      </c>
      <c r="E36" s="173" t="s">
        <v>23</v>
      </c>
      <c r="F36" s="11" t="s">
        <v>23</v>
      </c>
      <c r="G36" s="236">
        <f>D36-'[3]Oktobris'!D36</f>
        <v>3486504</v>
      </c>
      <c r="H36" s="116" t="s">
        <v>361</v>
      </c>
      <c r="I36" s="175" t="s">
        <v>23</v>
      </c>
      <c r="J36" s="175" t="s">
        <v>23</v>
      </c>
      <c r="K36" s="164">
        <f>ROUND(D36/1000,0)</f>
        <v>40346</v>
      </c>
      <c r="L36" s="173" t="s">
        <v>23</v>
      </c>
      <c r="M36" s="11" t="s">
        <v>23</v>
      </c>
      <c r="N36" s="176">
        <f>K36-'[3]Oktobris'!K36</f>
        <v>3487</v>
      </c>
    </row>
    <row r="37" spans="1:14" s="185" customFormat="1" ht="15" customHeight="1">
      <c r="A37" s="116" t="s">
        <v>362</v>
      </c>
      <c r="B37" s="11" t="s">
        <v>23</v>
      </c>
      <c r="C37" s="11" t="s">
        <v>23</v>
      </c>
      <c r="D37" s="172">
        <v>1002771</v>
      </c>
      <c r="E37" s="173" t="s">
        <v>23</v>
      </c>
      <c r="F37" s="11" t="s">
        <v>23</v>
      </c>
      <c r="G37" s="236">
        <f>D37-'[3]Oktobris'!D37</f>
        <v>201748</v>
      </c>
      <c r="H37" s="116" t="s">
        <v>362</v>
      </c>
      <c r="I37" s="175" t="s">
        <v>23</v>
      </c>
      <c r="J37" s="175" t="s">
        <v>23</v>
      </c>
      <c r="K37" s="164">
        <f>ROUND(D37/1000,0)</f>
        <v>1003</v>
      </c>
      <c r="L37" s="173" t="s">
        <v>23</v>
      </c>
      <c r="M37" s="11" t="s">
        <v>23</v>
      </c>
      <c r="N37" s="176">
        <f>K37-'[3]Oktobris'!K37</f>
        <v>202</v>
      </c>
    </row>
    <row r="38" spans="1:14" s="185" customFormat="1" ht="15" customHeight="1">
      <c r="A38" s="116" t="s">
        <v>363</v>
      </c>
      <c r="B38" s="11" t="s">
        <v>23</v>
      </c>
      <c r="C38" s="11" t="s">
        <v>23</v>
      </c>
      <c r="D38" s="172">
        <v>283940</v>
      </c>
      <c r="E38" s="173" t="s">
        <v>23</v>
      </c>
      <c r="F38" s="11" t="s">
        <v>23</v>
      </c>
      <c r="G38" s="236">
        <f>D38-'[3]Oktobris'!D38</f>
        <v>37102</v>
      </c>
      <c r="H38" s="116" t="s">
        <v>363</v>
      </c>
      <c r="I38" s="175" t="s">
        <v>23</v>
      </c>
      <c r="J38" s="175" t="s">
        <v>23</v>
      </c>
      <c r="K38" s="176">
        <f>ROUND(D38/1000,0)</f>
        <v>284</v>
      </c>
      <c r="L38" s="173" t="s">
        <v>23</v>
      </c>
      <c r="M38" s="11" t="s">
        <v>23</v>
      </c>
      <c r="N38" s="176">
        <f>K38-'[3]Oktobris'!K38</f>
        <v>37</v>
      </c>
    </row>
    <row r="39" spans="1:14" ht="12.75">
      <c r="A39" s="115" t="s">
        <v>364</v>
      </c>
      <c r="B39" s="27">
        <v>84198</v>
      </c>
      <c r="C39" s="27">
        <f>84198</f>
        <v>84198</v>
      </c>
      <c r="D39" s="141">
        <v>84198</v>
      </c>
      <c r="E39" s="63">
        <f>IF(ISERROR(D39/B39)," ",(D39/B39))</f>
        <v>1</v>
      </c>
      <c r="F39" s="63">
        <f>IF(ISERROR(D39/C39)," ",(D39/C39))</f>
        <v>1</v>
      </c>
      <c r="G39" s="236">
        <f>D39-'[3]Oktobris'!D39</f>
        <v>27180</v>
      </c>
      <c r="H39" s="115" t="s">
        <v>364</v>
      </c>
      <c r="I39" s="164">
        <f>ROUND(B39/1000,0)</f>
        <v>84</v>
      </c>
      <c r="J39" s="164">
        <f>ROUND(C39/1000,0)</f>
        <v>84</v>
      </c>
      <c r="K39" s="164">
        <f>ROUND(D39/1000,0)</f>
        <v>84</v>
      </c>
      <c r="L39" s="63">
        <f>IF(ISERROR(ROUND(K39,0)/ROUND(I39,0))," ",(ROUND(K39,)/ROUND(I39,)))</f>
        <v>1</v>
      </c>
      <c r="M39" s="63">
        <f>IF(ISERROR(ROUND(K39,0)/ROUND(J39,0))," ",(ROUND(K39,)/ROUND(J39,)))</f>
        <v>1</v>
      </c>
      <c r="N39" s="164">
        <f>K39-'[3]Oktobris'!K39</f>
        <v>27</v>
      </c>
    </row>
    <row r="40" spans="1:14" ht="32.25" customHeight="1">
      <c r="A40" s="119" t="s">
        <v>267</v>
      </c>
      <c r="B40" s="133">
        <f>SUM(B41:B42)</f>
        <v>48793633</v>
      </c>
      <c r="C40" s="133">
        <f>SUM(C41:C42)</f>
        <v>47377871</v>
      </c>
      <c r="D40" s="133">
        <f>SUM(D41:D42)</f>
        <v>43326139</v>
      </c>
      <c r="E40" s="59">
        <f>IF(ISERROR(D40/B40)," ",(D40/B40))</f>
        <v>0.8879465687664618</v>
      </c>
      <c r="F40" s="59">
        <f>IF(ISERROR(D40/C40)," ",(D40/C40))</f>
        <v>0.9144804966014619</v>
      </c>
      <c r="G40" s="240">
        <f>SUM(G41:G42)</f>
        <v>2095607</v>
      </c>
      <c r="H40" s="119" t="s">
        <v>267</v>
      </c>
      <c r="I40" s="241">
        <f>SUM(I41:I42)</f>
        <v>48794</v>
      </c>
      <c r="J40" s="241">
        <f>SUM(J41:J42)</f>
        <v>47378</v>
      </c>
      <c r="K40" s="241">
        <f>SUM(K41:K42)</f>
        <v>43326</v>
      </c>
      <c r="L40" s="56">
        <f>IF(ISERROR(ROUND(K40,0)/ROUND(I40,0))," ",(ROUND(K40,)/ROUND(I40,)))</f>
        <v>0.8879370414395212</v>
      </c>
      <c r="M40" s="56">
        <f>IF(ISERROR(ROUND(K40,0)/ROUND(J40,0))," ",(ROUND(K40,)/ROUND(J40,)))</f>
        <v>0.9144750728186078</v>
      </c>
      <c r="N40" s="241">
        <f>SUM(N41:N42)</f>
        <v>2095</v>
      </c>
    </row>
    <row r="41" spans="1:14" ht="18" customHeight="1">
      <c r="A41" s="115" t="s">
        <v>268</v>
      </c>
      <c r="B41" s="27">
        <v>16279929</v>
      </c>
      <c r="C41" s="27">
        <f>16218571+15000</f>
        <v>16233571</v>
      </c>
      <c r="D41" s="141">
        <v>17395419</v>
      </c>
      <c r="E41" s="63">
        <f>IF(ISERROR(D41/B41)," ",(D41/B41))</f>
        <v>1.0685193405941757</v>
      </c>
      <c r="F41" s="63">
        <f>IF(ISERROR(D41/C41)," ",(D41/C41))</f>
        <v>1.071570697537837</v>
      </c>
      <c r="G41" s="236">
        <f>D41-'[3]Oktobris'!D41</f>
        <v>-665669</v>
      </c>
      <c r="H41" s="115" t="s">
        <v>268</v>
      </c>
      <c r="I41" s="181">
        <f aca="true" t="shared" si="5" ref="I41:K42">ROUND(B41/1000,0)</f>
        <v>16280</v>
      </c>
      <c r="J41" s="181">
        <f t="shared" si="5"/>
        <v>16234</v>
      </c>
      <c r="K41" s="164">
        <f t="shared" si="5"/>
        <v>17395</v>
      </c>
      <c r="L41" s="63">
        <f>IF(ISERROR(ROUND(K41,0)/ROUND(I41,0))," ",(ROUND(K41,)/ROUND(I41,)))</f>
        <v>1.0684889434889435</v>
      </c>
      <c r="M41" s="63">
        <f>IF(ISERROR(ROUND(K41,0)/ROUND(J41,0))," ",(ROUND(K41,)/ROUND(J41,)))</f>
        <v>1.0715165701613896</v>
      </c>
      <c r="N41" s="164">
        <f>K41-'[3]Oktobris'!K41</f>
        <v>-666</v>
      </c>
    </row>
    <row r="42" spans="1:14" ht="15.75" customHeight="1">
      <c r="A42" s="115" t="s">
        <v>269</v>
      </c>
      <c r="B42" s="12">
        <v>32513704</v>
      </c>
      <c r="C42" s="27">
        <f>27590258+3641000-86958</f>
        <v>31144300</v>
      </c>
      <c r="D42" s="172">
        <v>25930720</v>
      </c>
      <c r="E42" s="63">
        <f>IF(ISERROR(D42/B42)," ",(D42/B42))</f>
        <v>0.7975320191141557</v>
      </c>
      <c r="F42" s="63">
        <f>IF(ISERROR(D42/C42)," ",(D42/C42))</f>
        <v>0.8325992236139518</v>
      </c>
      <c r="G42" s="236">
        <f>D42-'[3]Oktobris'!D42</f>
        <v>2761276</v>
      </c>
      <c r="H42" s="115" t="s">
        <v>269</v>
      </c>
      <c r="I42" s="181">
        <f t="shared" si="5"/>
        <v>32514</v>
      </c>
      <c r="J42" s="181">
        <f t="shared" si="5"/>
        <v>31144</v>
      </c>
      <c r="K42" s="164">
        <f t="shared" si="5"/>
        <v>25931</v>
      </c>
      <c r="L42" s="63">
        <f>IF(ISERROR(ROUND(K42,0)/ROUND(I42,0))," ",(ROUND(K42,)/ROUND(I42,)))</f>
        <v>0.7975333702405117</v>
      </c>
      <c r="M42" s="63">
        <f>IF(ISERROR(ROUND(K42,0)/ROUND(J42,0))," ",(ROUND(K42,)/ROUND(J42,)))</f>
        <v>0.8326162342666324</v>
      </c>
      <c r="N42" s="164">
        <f>K42-'[3]Oktobris'!K42</f>
        <v>2761</v>
      </c>
    </row>
    <row r="43" spans="1:14" ht="67.5" customHeight="1" hidden="1">
      <c r="A43" s="4" t="s">
        <v>17</v>
      </c>
      <c r="B43" s="4" t="s">
        <v>62</v>
      </c>
      <c r="C43" s="4" t="s">
        <v>226</v>
      </c>
      <c r="D43" s="4" t="s">
        <v>63</v>
      </c>
      <c r="E43" s="4" t="s">
        <v>227</v>
      </c>
      <c r="F43" s="4" t="s">
        <v>348</v>
      </c>
      <c r="G43" s="198" t="s">
        <v>365</v>
      </c>
      <c r="H43" s="4" t="s">
        <v>17</v>
      </c>
      <c r="I43" s="52" t="s">
        <v>62</v>
      </c>
      <c r="J43" s="4" t="s">
        <v>226</v>
      </c>
      <c r="K43" s="4" t="s">
        <v>63</v>
      </c>
      <c r="L43" s="4" t="s">
        <v>227</v>
      </c>
      <c r="M43" s="4" t="s">
        <v>348</v>
      </c>
      <c r="N43" s="4" t="s">
        <v>365</v>
      </c>
    </row>
    <row r="44" spans="1:14" ht="12.75" hidden="1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  <c r="G44" s="198">
        <v>8</v>
      </c>
      <c r="H44" s="4">
        <v>1</v>
      </c>
      <c r="I44" s="52">
        <v>2</v>
      </c>
      <c r="J44" s="4">
        <v>3</v>
      </c>
      <c r="K44" s="4">
        <v>4</v>
      </c>
      <c r="L44" s="4">
        <v>5</v>
      </c>
      <c r="M44" s="4">
        <v>6</v>
      </c>
      <c r="N44" s="4">
        <v>8</v>
      </c>
    </row>
    <row r="45" spans="1:14" ht="30.75" customHeight="1">
      <c r="A45" s="74" t="s">
        <v>366</v>
      </c>
      <c r="B45" s="21">
        <v>3750750</v>
      </c>
      <c r="C45" s="21" t="s">
        <v>23</v>
      </c>
      <c r="D45" s="138">
        <f>SUM(D46-D47)</f>
        <v>2557031</v>
      </c>
      <c r="E45" s="169" t="s">
        <v>23</v>
      </c>
      <c r="F45" s="21" t="s">
        <v>23</v>
      </c>
      <c r="G45" s="233">
        <f>SUM(G46-G47)</f>
        <v>485493</v>
      </c>
      <c r="H45" s="74" t="s">
        <v>366</v>
      </c>
      <c r="I45" s="161">
        <f aca="true" t="shared" si="6" ref="I45:I51">ROUND(B45/1000,0)</f>
        <v>3751</v>
      </c>
      <c r="J45" s="171" t="s">
        <v>23</v>
      </c>
      <c r="K45" s="53">
        <f>SUM(K46-K47)</f>
        <v>2557</v>
      </c>
      <c r="L45" s="169" t="s">
        <v>23</v>
      </c>
      <c r="M45" s="21" t="s">
        <v>23</v>
      </c>
      <c r="N45" s="53">
        <f>SUM(N46-N47)</f>
        <v>486</v>
      </c>
    </row>
    <row r="46" spans="1:14" ht="19.5" customHeight="1">
      <c r="A46" s="163" t="s">
        <v>271</v>
      </c>
      <c r="B46" s="27"/>
      <c r="C46" s="21">
        <f>3474518</f>
        <v>3474518</v>
      </c>
      <c r="D46" s="141">
        <v>2557031</v>
      </c>
      <c r="E46" s="63" t="str">
        <f aca="true" t="shared" si="7" ref="E46:E51">IF(ISERROR(D46/B46)," ",(D46/B46))</f>
        <v> </v>
      </c>
      <c r="F46" s="63">
        <f>IF(ISERROR(D46/C46)," ",(D46/C46))</f>
        <v>0.7359383373463599</v>
      </c>
      <c r="G46" s="236">
        <f>D46-'[3]Oktobris'!D46</f>
        <v>470662</v>
      </c>
      <c r="H46" s="163" t="s">
        <v>271</v>
      </c>
      <c r="I46" s="171" t="s">
        <v>23</v>
      </c>
      <c r="J46" s="164">
        <f>ROUND(C46/1000,0)</f>
        <v>3475</v>
      </c>
      <c r="K46" s="164">
        <f>ROUND(D46/1000,0)</f>
        <v>2557</v>
      </c>
      <c r="L46" s="63" t="str">
        <f aca="true" t="shared" si="8" ref="L46:L51">IF(ISERROR(ROUND(K46,0)/ROUND(I46,0))," ",(ROUND(K46,)/ROUND(I46,)))</f>
        <v> </v>
      </c>
      <c r="M46" s="63">
        <f>IF(ISERROR(ROUND(K46,0)/ROUND(J46,0))," ",(ROUND(K46,)/ROUND(J46,)))</f>
        <v>0.7358273381294964</v>
      </c>
      <c r="N46" s="164">
        <f>K46-'[3]Oktobris'!K46</f>
        <v>471</v>
      </c>
    </row>
    <row r="47" spans="1:14" ht="27.75" customHeight="1">
      <c r="A47" s="143" t="s">
        <v>272</v>
      </c>
      <c r="B47" s="27"/>
      <c r="C47" s="21">
        <v>3936</v>
      </c>
      <c r="D47" s="141">
        <v>0</v>
      </c>
      <c r="E47" s="63" t="str">
        <f t="shared" si="7"/>
        <v> </v>
      </c>
      <c r="F47" s="63">
        <f>IF(ISERROR(D47/C47)," ",(D47/C47))</f>
        <v>0</v>
      </c>
      <c r="G47" s="236">
        <f>D47-'[3]Oktobris'!D47</f>
        <v>-14831</v>
      </c>
      <c r="H47" s="143" t="s">
        <v>272</v>
      </c>
      <c r="I47" s="171" t="s">
        <v>23</v>
      </c>
      <c r="J47" s="164">
        <f>ROUND(C47/1000,0)</f>
        <v>4</v>
      </c>
      <c r="K47" s="164">
        <f>ROUND(D47/1000,0)</f>
        <v>0</v>
      </c>
      <c r="L47" s="63" t="str">
        <f t="shared" si="8"/>
        <v> </v>
      </c>
      <c r="M47" s="63">
        <f>IF(ISERROR(ROUND(K47,0)/ROUND(J47,0))," ",(ROUND(K47,)/ROUND(J47,)))</f>
        <v>0</v>
      </c>
      <c r="N47" s="164">
        <f>K47-'[3]Oktobris'!K47</f>
        <v>-15</v>
      </c>
    </row>
    <row r="48" spans="1:163" s="60" customFormat="1" ht="21.75" customHeight="1">
      <c r="A48" s="74" t="s">
        <v>273</v>
      </c>
      <c r="B48" s="133">
        <v>-95445585</v>
      </c>
      <c r="C48" s="21" t="s">
        <v>23</v>
      </c>
      <c r="D48" s="133">
        <f>SUM(D10-D13-D45)</f>
        <v>-86301420</v>
      </c>
      <c r="E48" s="59">
        <f t="shared" si="7"/>
        <v>0.9041949923613544</v>
      </c>
      <c r="F48" s="21" t="s">
        <v>23</v>
      </c>
      <c r="G48" s="240">
        <f>SUM(G10-G13-G45)</f>
        <v>-10993445</v>
      </c>
      <c r="H48" s="74" t="s">
        <v>273</v>
      </c>
      <c r="I48" s="161">
        <f t="shared" si="6"/>
        <v>-95446</v>
      </c>
      <c r="J48" s="242" t="s">
        <v>23</v>
      </c>
      <c r="K48" s="241">
        <f>SUM(K10-K13-K45)</f>
        <v>-86302</v>
      </c>
      <c r="L48" s="56">
        <f t="shared" si="8"/>
        <v>0.9041971376485133</v>
      </c>
      <c r="M48" s="243" t="s">
        <v>23</v>
      </c>
      <c r="N48" s="241">
        <f>SUM(N10-N13-N45)</f>
        <v>-10994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60" customFormat="1" ht="18" customHeight="1">
      <c r="A49" s="74" t="s">
        <v>367</v>
      </c>
      <c r="B49" s="138">
        <f>SUM(B50:B51)</f>
        <v>95445585</v>
      </c>
      <c r="C49" s="21" t="s">
        <v>23</v>
      </c>
      <c r="D49" s="138">
        <f>SUM(D50:D51)</f>
        <v>86301420</v>
      </c>
      <c r="E49" s="63">
        <f t="shared" si="7"/>
        <v>0.9041949923613544</v>
      </c>
      <c r="F49" s="21" t="s">
        <v>23</v>
      </c>
      <c r="G49" s="233">
        <f>SUM(G50:G51)</f>
        <v>10993445</v>
      </c>
      <c r="H49" s="74" t="s">
        <v>367</v>
      </c>
      <c r="I49" s="161">
        <f t="shared" si="6"/>
        <v>95446</v>
      </c>
      <c r="J49" s="242" t="s">
        <v>23</v>
      </c>
      <c r="K49" s="161">
        <f>K50+K51</f>
        <v>86302</v>
      </c>
      <c r="L49" s="56">
        <f t="shared" si="8"/>
        <v>0.9041971376485133</v>
      </c>
      <c r="M49" s="243" t="s">
        <v>23</v>
      </c>
      <c r="N49" s="139">
        <f>SUM(N50:N51)</f>
        <v>10994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60" customFormat="1" ht="17.25" customHeight="1">
      <c r="A50" s="115" t="s">
        <v>287</v>
      </c>
      <c r="B50" s="27">
        <v>78216127</v>
      </c>
      <c r="C50" s="21" t="s">
        <v>23</v>
      </c>
      <c r="D50" s="141">
        <f>86301420-20937765</f>
        <v>65363655</v>
      </c>
      <c r="E50" s="63">
        <f t="shared" si="7"/>
        <v>0.8356800254249357</v>
      </c>
      <c r="F50" s="21" t="s">
        <v>23</v>
      </c>
      <c r="G50" s="236">
        <f>D50-'[3]Oktobris'!D50</f>
        <v>9324713</v>
      </c>
      <c r="H50" s="115" t="s">
        <v>287</v>
      </c>
      <c r="I50" s="164">
        <f t="shared" si="6"/>
        <v>78216</v>
      </c>
      <c r="J50" s="171" t="s">
        <v>23</v>
      </c>
      <c r="K50" s="164">
        <f>ROUND(D50/1000,0)-1</f>
        <v>65363</v>
      </c>
      <c r="L50" s="63">
        <f t="shared" si="8"/>
        <v>0.8356730080801882</v>
      </c>
      <c r="M50" s="21" t="s">
        <v>23</v>
      </c>
      <c r="N50" s="164">
        <f>K50-'[3]Oktobris'!K50</f>
        <v>9324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60" customFormat="1" ht="39.75" customHeight="1">
      <c r="A51" s="115" t="s">
        <v>368</v>
      </c>
      <c r="B51" s="27">
        <v>17229458</v>
      </c>
      <c r="C51" s="21" t="s">
        <v>23</v>
      </c>
      <c r="D51" s="141">
        <v>20937765</v>
      </c>
      <c r="E51" s="63">
        <f t="shared" si="7"/>
        <v>1.2152306242018756</v>
      </c>
      <c r="F51" s="21" t="s">
        <v>23</v>
      </c>
      <c r="G51" s="236">
        <f>D51-'[3]Oktobris'!D51</f>
        <v>1668732</v>
      </c>
      <c r="H51" s="115" t="s">
        <v>368</v>
      </c>
      <c r="I51" s="164">
        <f t="shared" si="6"/>
        <v>17229</v>
      </c>
      <c r="J51" s="171" t="s">
        <v>23</v>
      </c>
      <c r="K51" s="164">
        <f>ROUND(D51/1000,0)+1</f>
        <v>20939</v>
      </c>
      <c r="L51" s="63">
        <f t="shared" si="8"/>
        <v>1.2153346102501597</v>
      </c>
      <c r="M51" s="21" t="s">
        <v>23</v>
      </c>
      <c r="N51" s="164">
        <f>K51-'[3]Oktobris'!K51</f>
        <v>1670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78" customFormat="1" ht="12.75">
      <c r="A52" s="145"/>
      <c r="B52" s="244"/>
      <c r="C52" s="244"/>
      <c r="D52" s="149"/>
      <c r="E52" s="245"/>
      <c r="F52" s="246"/>
      <c r="H52" s="145"/>
      <c r="I52" s="244"/>
      <c r="J52" s="244"/>
      <c r="K52" s="149"/>
      <c r="L52" s="245"/>
      <c r="M52" s="246"/>
    </row>
    <row r="53" spans="1:13" s="78" customFormat="1" ht="12.75">
      <c r="A53" s="145"/>
      <c r="B53" s="244"/>
      <c r="C53" s="244"/>
      <c r="D53" s="149"/>
      <c r="E53" s="245"/>
      <c r="F53" s="246"/>
      <c r="H53" s="145"/>
      <c r="I53" s="244"/>
      <c r="J53" s="244"/>
      <c r="K53" s="149"/>
      <c r="L53" s="245"/>
      <c r="M53" s="246"/>
    </row>
    <row r="54" spans="1:13" s="78" customFormat="1" ht="12.75">
      <c r="A54" s="145"/>
      <c r="B54" s="244"/>
      <c r="C54" s="244"/>
      <c r="D54" s="149"/>
      <c r="E54" s="245"/>
      <c r="F54" s="246"/>
      <c r="H54" s="145"/>
      <c r="I54" s="244"/>
      <c r="J54" s="244"/>
      <c r="K54" s="149"/>
      <c r="L54" s="245"/>
      <c r="M54" s="246"/>
    </row>
    <row r="55" spans="1:13" s="78" customFormat="1" ht="12.75">
      <c r="A55" s="145"/>
      <c r="B55" s="244"/>
      <c r="C55" s="244"/>
      <c r="D55" s="149"/>
      <c r="E55" s="245"/>
      <c r="F55" s="246"/>
      <c r="I55" s="244"/>
      <c r="J55" s="244"/>
      <c r="K55" s="149"/>
      <c r="L55" s="245"/>
      <c r="M55" s="246"/>
    </row>
    <row r="56" spans="1:13" s="78" customFormat="1" ht="12.75">
      <c r="A56" s="145"/>
      <c r="B56" s="244"/>
      <c r="C56" s="244"/>
      <c r="D56" s="149"/>
      <c r="E56" s="245"/>
      <c r="F56" s="246"/>
      <c r="I56" s="244"/>
      <c r="J56" s="244"/>
      <c r="K56" s="149"/>
      <c r="L56" s="245"/>
      <c r="M56" s="246"/>
    </row>
    <row r="57" spans="1:13" s="78" customFormat="1" ht="12.75">
      <c r="A57" s="145"/>
      <c r="B57" s="244"/>
      <c r="C57" s="244"/>
      <c r="D57" s="149"/>
      <c r="E57" s="245"/>
      <c r="F57" s="246"/>
      <c r="I57" s="244"/>
      <c r="J57" s="244"/>
      <c r="K57" s="149"/>
      <c r="L57" s="245"/>
      <c r="M57" s="246"/>
    </row>
    <row r="58" spans="1:13" ht="12.75">
      <c r="A58" s="247"/>
      <c r="B58" s="248"/>
      <c r="C58" s="248"/>
      <c r="D58" s="34"/>
      <c r="E58" s="245"/>
      <c r="F58" s="249"/>
      <c r="I58" s="248"/>
      <c r="J58" s="248"/>
      <c r="K58" s="34"/>
      <c r="L58" s="245"/>
      <c r="M58" s="249"/>
    </row>
    <row r="59" spans="1:13" ht="14.25">
      <c r="A59" s="91"/>
      <c r="B59" s="248"/>
      <c r="C59" s="248"/>
      <c r="D59" s="34"/>
      <c r="E59" s="194"/>
      <c r="F59" s="249"/>
      <c r="I59" s="248"/>
      <c r="J59" s="248"/>
      <c r="K59" s="34"/>
      <c r="L59" s="194"/>
      <c r="M59" s="249"/>
    </row>
    <row r="60" spans="1:13" ht="12.75">
      <c r="A60" s="81" t="s">
        <v>275</v>
      </c>
      <c r="B60" s="127"/>
      <c r="C60" s="127"/>
      <c r="D60" s="127"/>
      <c r="E60" s="153"/>
      <c r="F60" s="195"/>
      <c r="I60" s="127"/>
      <c r="J60" s="127"/>
      <c r="K60" s="127"/>
      <c r="L60" s="153"/>
      <c r="M60" s="195"/>
    </row>
    <row r="61" spans="1:13" ht="12.75">
      <c r="A61" s="2"/>
      <c r="B61" s="250"/>
      <c r="C61" s="251"/>
      <c r="D61" s="131"/>
      <c r="E61" s="252"/>
      <c r="F61" s="253"/>
      <c r="I61" s="250"/>
      <c r="J61" s="251"/>
      <c r="K61" s="131"/>
      <c r="L61" s="252"/>
      <c r="M61" s="253"/>
    </row>
    <row r="62" spans="1:13" ht="12.75">
      <c r="A62" s="2"/>
      <c r="B62" s="250"/>
      <c r="C62" s="251"/>
      <c r="D62" s="131"/>
      <c r="E62" s="252"/>
      <c r="F62" s="254"/>
      <c r="H62" s="81" t="s">
        <v>275</v>
      </c>
      <c r="I62" s="132"/>
      <c r="J62" s="132"/>
      <c r="K62" s="43"/>
      <c r="L62" s="132"/>
      <c r="M62" s="254"/>
    </row>
    <row r="63" spans="1:13" ht="12.75">
      <c r="A63" s="2"/>
      <c r="B63" s="250"/>
      <c r="C63" s="251"/>
      <c r="D63" s="131"/>
      <c r="E63" s="252"/>
      <c r="F63" s="254"/>
      <c r="I63" s="250"/>
      <c r="J63" s="251"/>
      <c r="K63" s="131"/>
      <c r="L63" s="252"/>
      <c r="M63" s="254"/>
    </row>
    <row r="64" spans="1:13" ht="12.75">
      <c r="A64" s="2"/>
      <c r="B64" s="250"/>
      <c r="C64" s="251"/>
      <c r="D64" s="131"/>
      <c r="E64" s="252"/>
      <c r="F64" s="254"/>
      <c r="H64" s="2"/>
      <c r="I64" s="250"/>
      <c r="J64" s="251"/>
      <c r="K64" s="131"/>
      <c r="L64" s="252"/>
      <c r="M64" s="254"/>
    </row>
    <row r="65" spans="1:13" ht="12.75">
      <c r="A65" s="2"/>
      <c r="B65" s="250"/>
      <c r="C65" s="251"/>
      <c r="D65" s="131"/>
      <c r="E65" s="252"/>
      <c r="F65" s="254"/>
      <c r="H65" s="2"/>
      <c r="I65" s="250"/>
      <c r="J65" s="251"/>
      <c r="K65" s="131"/>
      <c r="L65" s="252"/>
      <c r="M65" s="254"/>
    </row>
    <row r="66" spans="1:13" ht="12.75">
      <c r="A66" s="2"/>
      <c r="B66" s="250"/>
      <c r="C66" s="251"/>
      <c r="D66" s="131"/>
      <c r="E66" s="252"/>
      <c r="F66" s="254"/>
      <c r="H66" s="2"/>
      <c r="I66" s="250"/>
      <c r="J66" s="251"/>
      <c r="K66" s="131"/>
      <c r="L66" s="252"/>
      <c r="M66" s="254"/>
    </row>
    <row r="67" spans="2:13" ht="12.75">
      <c r="B67" s="132"/>
      <c r="C67" s="132"/>
      <c r="E67" s="132"/>
      <c r="F67" s="132"/>
      <c r="I67" s="132"/>
      <c r="J67" s="132"/>
      <c r="L67" s="132"/>
      <c r="M67" s="132"/>
    </row>
    <row r="68" spans="2:13" ht="12.75">
      <c r="B68" s="132"/>
      <c r="C68" s="132"/>
      <c r="E68" s="132"/>
      <c r="F68" s="132"/>
      <c r="I68" s="132"/>
      <c r="J68" s="132"/>
      <c r="L68" s="132"/>
      <c r="M68" s="132"/>
    </row>
    <row r="69" spans="1:13" ht="12.75">
      <c r="A69" s="2" t="s">
        <v>144</v>
      </c>
      <c r="B69" s="132"/>
      <c r="C69" s="132"/>
      <c r="D69" s="43"/>
      <c r="E69" s="132"/>
      <c r="F69" s="132"/>
      <c r="H69" s="81"/>
      <c r="I69" s="132"/>
      <c r="J69" s="132"/>
      <c r="K69" s="43"/>
      <c r="L69" s="132"/>
      <c r="M69" s="132"/>
    </row>
    <row r="70" spans="1:13" ht="12.75">
      <c r="A70" s="2" t="s">
        <v>401</v>
      </c>
      <c r="B70" s="43"/>
      <c r="C70" s="43"/>
      <c r="D70" s="43"/>
      <c r="E70" s="132"/>
      <c r="F70" s="132"/>
      <c r="H70" s="145"/>
      <c r="I70" s="43"/>
      <c r="J70" s="43"/>
      <c r="K70" s="43"/>
      <c r="L70" s="132"/>
      <c r="M70" s="132"/>
    </row>
    <row r="71" spans="1:13" ht="12.75">
      <c r="A71" s="43"/>
      <c r="B71" s="43"/>
      <c r="C71" s="43"/>
      <c r="D71" s="43"/>
      <c r="E71" s="132"/>
      <c r="F71" s="132"/>
      <c r="H71" s="145"/>
      <c r="I71" s="43"/>
      <c r="J71" s="43"/>
      <c r="K71" s="43"/>
      <c r="L71" s="132"/>
      <c r="M71" s="132"/>
    </row>
    <row r="72" spans="1:13" ht="12.75">
      <c r="A72" s="43"/>
      <c r="B72" s="43"/>
      <c r="C72" s="43"/>
      <c r="D72" s="43"/>
      <c r="E72" s="132"/>
      <c r="F72" s="132"/>
      <c r="H72" s="247"/>
      <c r="I72" s="43"/>
      <c r="J72" s="43"/>
      <c r="K72" s="43"/>
      <c r="L72" s="132"/>
      <c r="M72" s="132"/>
    </row>
    <row r="73" spans="1:8" ht="14.25">
      <c r="A73" s="43"/>
      <c r="B73" s="43"/>
      <c r="C73" s="43"/>
      <c r="D73" s="43"/>
      <c r="E73" s="132"/>
      <c r="F73" s="132"/>
      <c r="H73" s="91"/>
    </row>
    <row r="74" spans="1:6" ht="12.75">
      <c r="A74" s="43"/>
      <c r="B74" s="43"/>
      <c r="C74" s="43"/>
      <c r="D74" s="43"/>
      <c r="E74" s="132"/>
      <c r="F74" s="132"/>
    </row>
    <row r="75" spans="1:8" ht="12.75">
      <c r="A75" s="43"/>
      <c r="B75" s="43"/>
      <c r="C75" s="43"/>
      <c r="D75" s="43"/>
      <c r="E75" s="132"/>
      <c r="F75" s="132"/>
      <c r="H75" s="2"/>
    </row>
    <row r="76" spans="1:8" ht="12.75">
      <c r="A76" s="43"/>
      <c r="B76" s="43"/>
      <c r="C76" s="43"/>
      <c r="D76" s="43"/>
      <c r="E76" s="132"/>
      <c r="F76" s="132"/>
      <c r="H76" s="2"/>
    </row>
    <row r="77" spans="1:8" ht="12.75">
      <c r="A77" s="43"/>
      <c r="B77" s="43"/>
      <c r="C77" s="43"/>
      <c r="D77" s="43"/>
      <c r="E77" s="132"/>
      <c r="F77" s="132"/>
      <c r="H77" s="2"/>
    </row>
    <row r="78" spans="1:6" ht="12.75">
      <c r="A78" s="43"/>
      <c r="B78" s="43"/>
      <c r="C78" s="43"/>
      <c r="D78" s="43"/>
      <c r="E78" s="132"/>
      <c r="F78" s="132"/>
    </row>
    <row r="79" spans="1:6" ht="12.75">
      <c r="A79" s="43"/>
      <c r="B79" s="43"/>
      <c r="C79" s="43"/>
      <c r="D79" s="43"/>
      <c r="E79" s="132"/>
      <c r="F79" s="132"/>
    </row>
    <row r="80" spans="1:6" ht="12.75">
      <c r="A80" s="43"/>
      <c r="B80" s="43"/>
      <c r="C80" s="43"/>
      <c r="D80" s="43"/>
      <c r="E80" s="132"/>
      <c r="F80" s="132"/>
    </row>
    <row r="81" spans="1:6" ht="12.75">
      <c r="A81" s="43"/>
      <c r="B81" s="43"/>
      <c r="C81" s="43"/>
      <c r="D81" s="43"/>
      <c r="E81" s="132"/>
      <c r="F81" s="132"/>
    </row>
    <row r="82" spans="1:6" ht="12.75">
      <c r="A82" s="43"/>
      <c r="B82" s="43"/>
      <c r="C82" s="43"/>
      <c r="D82" s="43"/>
      <c r="E82" s="132"/>
      <c r="F82" s="132"/>
    </row>
    <row r="83" spans="1:6" ht="12.75">
      <c r="A83" s="43"/>
      <c r="B83" s="43"/>
      <c r="C83" s="43"/>
      <c r="D83" s="43"/>
      <c r="E83" s="132"/>
      <c r="F83" s="132"/>
    </row>
    <row r="84" spans="1:6" ht="12.75">
      <c r="A84" s="43"/>
      <c r="B84" s="43"/>
      <c r="C84" s="43"/>
      <c r="D84" s="43"/>
      <c r="E84" s="132"/>
      <c r="F84" s="132"/>
    </row>
    <row r="85" spans="5:6" ht="12.75">
      <c r="E85" s="40"/>
      <c r="F85" s="40"/>
    </row>
    <row r="86" spans="5:6" ht="12.75">
      <c r="E86" s="40"/>
      <c r="F86" s="40"/>
    </row>
    <row r="87" spans="5:6" ht="12.75">
      <c r="E87" s="40"/>
      <c r="F87" s="40"/>
    </row>
    <row r="88" spans="5:6" ht="12.75">
      <c r="E88" s="40"/>
      <c r="F88" s="40"/>
    </row>
    <row r="89" spans="5:8" ht="12.75">
      <c r="E89" s="40"/>
      <c r="F89" s="40"/>
      <c r="H89" s="2" t="s">
        <v>144</v>
      </c>
    </row>
    <row r="90" spans="5:8" ht="12.75">
      <c r="E90" s="40"/>
      <c r="F90" s="40"/>
      <c r="H90" s="2" t="s">
        <v>401</v>
      </c>
    </row>
    <row r="91" spans="5:6" ht="12.75">
      <c r="E91" s="40"/>
      <c r="F91" s="40"/>
    </row>
    <row r="92" spans="5:6" ht="12.75">
      <c r="E92" s="40"/>
      <c r="F92" s="40"/>
    </row>
    <row r="93" spans="5:6" ht="12.75">
      <c r="E93" s="40"/>
      <c r="F93" s="40"/>
    </row>
    <row r="94" spans="5:6" ht="12.75">
      <c r="E94" s="40"/>
      <c r="F94" s="40"/>
    </row>
    <row r="95" spans="5:6" ht="12.75">
      <c r="E95" s="40"/>
      <c r="F95" s="40"/>
    </row>
    <row r="96" spans="5:6" ht="12.75">
      <c r="E96" s="40"/>
      <c r="F96" s="40"/>
    </row>
    <row r="97" spans="5:6" ht="12.75">
      <c r="E97" s="40"/>
      <c r="F97" s="40"/>
    </row>
    <row r="98" spans="5:6" ht="12.75">
      <c r="E98" s="40"/>
      <c r="F98" s="40"/>
    </row>
    <row r="99" spans="5:6" ht="12.75">
      <c r="E99" s="40"/>
      <c r="F99" s="40"/>
    </row>
    <row r="100" spans="5:6" ht="12.75">
      <c r="E100" s="40"/>
      <c r="F100" s="40"/>
    </row>
    <row r="101" spans="5:6" ht="12.75">
      <c r="E101" s="40"/>
      <c r="F101" s="40"/>
    </row>
    <row r="102" spans="5:6" ht="12.75">
      <c r="E102" s="40"/>
      <c r="F102" s="40"/>
    </row>
    <row r="103" spans="5:6" ht="12.75">
      <c r="E103" s="40"/>
      <c r="F103" s="40"/>
    </row>
    <row r="104" spans="5:6" ht="12.75">
      <c r="E104" s="40"/>
      <c r="F104" s="40"/>
    </row>
    <row r="105" spans="5:6" ht="12.75">
      <c r="E105" s="40"/>
      <c r="F105" s="40"/>
    </row>
    <row r="106" spans="5:6" ht="12.75">
      <c r="E106" s="40"/>
      <c r="F106" s="40"/>
    </row>
    <row r="107" spans="5:6" ht="12.75">
      <c r="E107" s="40"/>
      <c r="F107" s="40"/>
    </row>
    <row r="108" spans="5:6" ht="12.75">
      <c r="E108" s="40"/>
      <c r="F108" s="40"/>
    </row>
    <row r="109" spans="5:6" ht="12.75">
      <c r="E109" s="40"/>
      <c r="F109" s="40"/>
    </row>
    <row r="110" spans="5:6" ht="12.75">
      <c r="E110" s="40"/>
      <c r="F110" s="40"/>
    </row>
    <row r="111" spans="5:6" ht="12.75">
      <c r="E111" s="40"/>
      <c r="F111" s="40"/>
    </row>
    <row r="112" spans="5:6" ht="12.75">
      <c r="E112" s="40"/>
      <c r="F112" s="40"/>
    </row>
    <row r="113" spans="5:6" ht="12.75">
      <c r="E113" s="40"/>
      <c r="F113" s="40"/>
    </row>
    <row r="114" spans="5:6" ht="12.75">
      <c r="E114" s="40"/>
      <c r="F114" s="40"/>
    </row>
    <row r="115" spans="5:6" ht="12.75">
      <c r="E115" s="40"/>
      <c r="F115" s="40"/>
    </row>
    <row r="116" spans="5:6" ht="12.75">
      <c r="E116" s="40"/>
      <c r="F116" s="40"/>
    </row>
    <row r="117" spans="5:6" ht="12.75">
      <c r="E117" s="40"/>
      <c r="F117" s="40"/>
    </row>
    <row r="118" spans="5:6" ht="12.75">
      <c r="E118" s="40"/>
      <c r="F118" s="40"/>
    </row>
    <row r="119" spans="5:6" ht="12.75">
      <c r="E119" s="40"/>
      <c r="F119" s="40"/>
    </row>
    <row r="120" spans="5:6" ht="12.75">
      <c r="E120" s="40"/>
      <c r="F120" s="40"/>
    </row>
    <row r="121" spans="5:6" ht="12.75">
      <c r="E121" s="40"/>
      <c r="F121" s="40"/>
    </row>
    <row r="122" spans="5:6" ht="12.75">
      <c r="E122" s="40"/>
      <c r="F122" s="40"/>
    </row>
    <row r="123" spans="5:6" ht="12.75">
      <c r="E123" s="40"/>
      <c r="F123" s="40"/>
    </row>
    <row r="124" spans="5:6" ht="12.75">
      <c r="E124" s="40"/>
      <c r="F124" s="40"/>
    </row>
    <row r="125" spans="5:6" ht="12.75">
      <c r="E125" s="40"/>
      <c r="F125" s="40"/>
    </row>
    <row r="126" spans="5:6" ht="12.75">
      <c r="E126" s="40"/>
      <c r="F126" s="40"/>
    </row>
    <row r="127" spans="5:6" ht="12.75">
      <c r="E127" s="40"/>
      <c r="F127" s="40"/>
    </row>
    <row r="128" spans="5:6" ht="12.75">
      <c r="E128" s="40"/>
      <c r="F128" s="40"/>
    </row>
    <row r="129" spans="5:6" ht="12.75">
      <c r="E129" s="40"/>
      <c r="F129" s="40"/>
    </row>
    <row r="130" spans="5:6" ht="12.75">
      <c r="E130" s="40"/>
      <c r="F130" s="40"/>
    </row>
    <row r="131" spans="5:6" ht="12.75">
      <c r="E131" s="40"/>
      <c r="F131" s="40"/>
    </row>
    <row r="132" spans="5:6" ht="12.75">
      <c r="E132" s="40"/>
      <c r="F132" s="40"/>
    </row>
    <row r="133" spans="5:6" ht="12.75">
      <c r="E133" s="40"/>
      <c r="F133" s="40"/>
    </row>
    <row r="134" spans="5:6" ht="12.75">
      <c r="E134" s="40"/>
      <c r="F134" s="40"/>
    </row>
    <row r="135" spans="5:6" ht="12.75">
      <c r="E135" s="40"/>
      <c r="F135" s="40"/>
    </row>
    <row r="136" spans="5:6" ht="12.75">
      <c r="E136" s="40"/>
      <c r="F136" s="40"/>
    </row>
    <row r="137" spans="5:6" ht="12.75">
      <c r="E137" s="40"/>
      <c r="F137" s="40"/>
    </row>
    <row r="138" spans="5:6" ht="12.75">
      <c r="E138" s="40"/>
      <c r="F138" s="40"/>
    </row>
    <row r="139" spans="5:6" ht="12.75">
      <c r="E139" s="40"/>
      <c r="F139" s="40"/>
    </row>
    <row r="140" spans="5:6" ht="12.75">
      <c r="E140" s="40"/>
      <c r="F140" s="40"/>
    </row>
    <row r="141" spans="5:6" ht="12.75">
      <c r="E141" s="40"/>
      <c r="F141" s="40"/>
    </row>
    <row r="142" spans="5:6" ht="12.75">
      <c r="E142" s="40"/>
      <c r="F142" s="40"/>
    </row>
    <row r="143" spans="5:6" ht="12.75">
      <c r="E143" s="40"/>
      <c r="F143" s="40"/>
    </row>
    <row r="144" spans="5:6" ht="12.75">
      <c r="E144" s="40"/>
      <c r="F144" s="40"/>
    </row>
    <row r="145" spans="5:6" ht="12.75">
      <c r="E145" s="40"/>
      <c r="F145" s="40"/>
    </row>
    <row r="146" spans="5:6" ht="12.75">
      <c r="E146" s="40"/>
      <c r="F146" s="40"/>
    </row>
    <row r="147" spans="5:6" ht="12.75">
      <c r="E147" s="40"/>
      <c r="F147" s="40"/>
    </row>
    <row r="148" spans="5:6" ht="12.75">
      <c r="E148" s="40"/>
      <c r="F148" s="40"/>
    </row>
    <row r="149" spans="5:6" ht="12.75">
      <c r="E149" s="40"/>
      <c r="F149" s="40"/>
    </row>
    <row r="150" spans="5:6" ht="12.75">
      <c r="E150" s="40"/>
      <c r="F150" s="40"/>
    </row>
    <row r="151" spans="5:6" ht="12.75">
      <c r="E151" s="40"/>
      <c r="F151" s="40"/>
    </row>
    <row r="152" spans="5:6" ht="12.75">
      <c r="E152" s="40"/>
      <c r="F152" s="40"/>
    </row>
    <row r="153" spans="5:6" ht="12.75">
      <c r="E153" s="40"/>
      <c r="F153" s="40"/>
    </row>
    <row r="154" spans="5:6" ht="12.75">
      <c r="E154" s="40"/>
      <c r="F154" s="40"/>
    </row>
    <row r="155" spans="5:6" ht="12.75">
      <c r="E155" s="40"/>
      <c r="F155" s="40"/>
    </row>
    <row r="156" spans="5:6" ht="12.75">
      <c r="E156" s="40"/>
      <c r="F156" s="40"/>
    </row>
    <row r="157" spans="5:6" ht="12.75">
      <c r="E157" s="40"/>
      <c r="F157" s="40"/>
    </row>
    <row r="158" spans="5:6" ht="12.75">
      <c r="E158" s="40"/>
      <c r="F158" s="40"/>
    </row>
    <row r="159" spans="5:6" ht="12.75">
      <c r="E159" s="40"/>
      <c r="F159" s="40"/>
    </row>
    <row r="160" spans="5:6" ht="12.75">
      <c r="E160" s="40"/>
      <c r="F160" s="40"/>
    </row>
    <row r="161" spans="5:6" ht="12.75">
      <c r="E161" s="40"/>
      <c r="F161" s="40"/>
    </row>
    <row r="162" spans="5:6" ht="12.75">
      <c r="E162" s="40"/>
      <c r="F162" s="40"/>
    </row>
    <row r="163" spans="5:6" ht="12.75">
      <c r="E163" s="40"/>
      <c r="F163" s="40"/>
    </row>
    <row r="164" spans="5:6" ht="12.75">
      <c r="E164" s="40"/>
      <c r="F164" s="40"/>
    </row>
    <row r="165" spans="5:6" ht="12.75">
      <c r="E165" s="40"/>
      <c r="F165" s="40"/>
    </row>
    <row r="166" spans="5:6" ht="12.75">
      <c r="E166" s="40"/>
      <c r="F166" s="40"/>
    </row>
    <row r="167" spans="5:6" ht="12.75">
      <c r="E167" s="40"/>
      <c r="F167" s="40"/>
    </row>
    <row r="168" spans="5:6" ht="12.75">
      <c r="E168" s="40"/>
      <c r="F168" s="40"/>
    </row>
    <row r="169" spans="5:6" ht="12.75">
      <c r="E169" s="40"/>
      <c r="F169" s="40"/>
    </row>
    <row r="170" spans="5:6" ht="12.75">
      <c r="E170" s="40"/>
      <c r="F170" s="40"/>
    </row>
    <row r="171" spans="5:6" ht="12.75">
      <c r="E171" s="40"/>
      <c r="F171" s="40"/>
    </row>
    <row r="172" spans="5:6" ht="12.75">
      <c r="E172" s="40"/>
      <c r="F172" s="40"/>
    </row>
    <row r="173" spans="5:6" ht="12.75">
      <c r="E173" s="40"/>
      <c r="F173" s="40"/>
    </row>
    <row r="174" spans="5:6" ht="12.75">
      <c r="E174" s="40"/>
      <c r="F174" s="40"/>
    </row>
    <row r="175" spans="5:6" ht="12.75">
      <c r="E175" s="40"/>
      <c r="F175" s="40"/>
    </row>
    <row r="176" spans="5:6" ht="12.75">
      <c r="E176" s="40"/>
      <c r="F176" s="40"/>
    </row>
    <row r="177" spans="5:6" ht="12.75">
      <c r="E177" s="40"/>
      <c r="F177" s="40"/>
    </row>
    <row r="178" spans="5:6" ht="12.75">
      <c r="E178" s="40"/>
      <c r="F178" s="40"/>
    </row>
    <row r="179" spans="5:6" ht="12.75">
      <c r="E179" s="40"/>
      <c r="F179" s="40"/>
    </row>
    <row r="180" spans="5:6" ht="12.75">
      <c r="E180" s="40"/>
      <c r="F180" s="40"/>
    </row>
    <row r="181" spans="5:6" ht="12.75">
      <c r="E181" s="40"/>
      <c r="F181" s="40"/>
    </row>
    <row r="182" spans="5:6" ht="12.75">
      <c r="E182" s="40"/>
      <c r="F182" s="40"/>
    </row>
    <row r="183" spans="5:6" ht="12.75">
      <c r="E183" s="40"/>
      <c r="F183" s="40"/>
    </row>
    <row r="184" spans="5:6" ht="12.75">
      <c r="E184" s="40"/>
      <c r="F184" s="40"/>
    </row>
    <row r="185" spans="5:6" ht="12.75">
      <c r="E185" s="40"/>
      <c r="F185" s="40"/>
    </row>
    <row r="186" spans="5:6" ht="12.75">
      <c r="E186" s="40"/>
      <c r="F186" s="40"/>
    </row>
    <row r="187" spans="5:6" ht="12.75">
      <c r="E187" s="40"/>
      <c r="F187" s="40"/>
    </row>
    <row r="188" spans="5:6" ht="12.75">
      <c r="E188" s="40"/>
      <c r="F188" s="40"/>
    </row>
    <row r="189" spans="5:6" ht="12.75">
      <c r="E189" s="40"/>
      <c r="F189" s="40"/>
    </row>
    <row r="190" spans="5:6" ht="12.75">
      <c r="E190" s="40"/>
      <c r="F190" s="40"/>
    </row>
    <row r="191" spans="5:6" ht="12.75">
      <c r="E191" s="40"/>
      <c r="F191" s="40"/>
    </row>
    <row r="192" spans="5:6" ht="12.75">
      <c r="E192" s="40"/>
      <c r="F192" s="40"/>
    </row>
    <row r="193" spans="5:6" ht="12.75">
      <c r="E193" s="40"/>
      <c r="F193" s="40"/>
    </row>
    <row r="194" spans="5:6" ht="12.75">
      <c r="E194" s="40"/>
      <c r="F194" s="40"/>
    </row>
    <row r="195" spans="5:6" ht="12.75">
      <c r="E195" s="40"/>
      <c r="F195" s="40"/>
    </row>
    <row r="196" spans="5:6" ht="12.75">
      <c r="E196" s="40"/>
      <c r="F196" s="40"/>
    </row>
    <row r="197" spans="5:6" ht="12.75">
      <c r="E197" s="40"/>
      <c r="F197" s="40"/>
    </row>
    <row r="198" spans="5:6" ht="12.75">
      <c r="E198" s="40"/>
      <c r="F198" s="40"/>
    </row>
    <row r="199" spans="5:6" ht="12.75">
      <c r="E199" s="40"/>
      <c r="F199" s="40"/>
    </row>
    <row r="200" spans="5:6" ht="12.75">
      <c r="E200" s="40"/>
      <c r="F200" s="40"/>
    </row>
    <row r="201" spans="5:6" ht="12.75">
      <c r="E201" s="40"/>
      <c r="F201" s="40"/>
    </row>
    <row r="202" spans="5:6" ht="12.75">
      <c r="E202" s="40"/>
      <c r="F202" s="40"/>
    </row>
    <row r="203" spans="5:6" ht="12.75">
      <c r="E203" s="40"/>
      <c r="F203" s="40"/>
    </row>
    <row r="204" spans="5:6" ht="12.75">
      <c r="E204" s="40"/>
      <c r="F204" s="40"/>
    </row>
    <row r="205" spans="5:6" ht="12.75">
      <c r="E205" s="40"/>
      <c r="F205" s="40"/>
    </row>
    <row r="206" spans="5:6" ht="12.75">
      <c r="E206" s="40"/>
      <c r="F206" s="40"/>
    </row>
    <row r="207" spans="5:6" ht="12.75">
      <c r="E207" s="40"/>
      <c r="F207" s="40"/>
    </row>
    <row r="208" spans="5:6" ht="12.75">
      <c r="E208" s="40"/>
      <c r="F208" s="40"/>
    </row>
    <row r="209" spans="5:6" ht="12.75">
      <c r="E209" s="40"/>
      <c r="F209" s="40"/>
    </row>
    <row r="210" spans="5:6" ht="12.75">
      <c r="E210" s="40"/>
      <c r="F210" s="40"/>
    </row>
    <row r="211" spans="5:6" ht="12.75">
      <c r="E211" s="40"/>
      <c r="F211" s="40"/>
    </row>
    <row r="212" spans="5:6" ht="12.75">
      <c r="E212" s="40"/>
      <c r="F212" s="40"/>
    </row>
    <row r="213" spans="5:6" ht="12.75">
      <c r="E213" s="40"/>
      <c r="F213" s="40"/>
    </row>
    <row r="214" spans="5:6" ht="12.75">
      <c r="E214" s="40"/>
      <c r="F214" s="40"/>
    </row>
    <row r="215" spans="5:6" ht="12.75">
      <c r="E215" s="40"/>
      <c r="F215" s="40"/>
    </row>
    <row r="216" spans="5:6" ht="12.75">
      <c r="E216" s="40"/>
      <c r="F216" s="40"/>
    </row>
    <row r="217" spans="5:6" ht="12.75">
      <c r="E217" s="40"/>
      <c r="F217" s="40"/>
    </row>
    <row r="218" spans="5:6" ht="12.75">
      <c r="E218" s="40"/>
      <c r="F218" s="40"/>
    </row>
    <row r="219" spans="5:6" ht="12.75">
      <c r="E219" s="40"/>
      <c r="F219" s="40"/>
    </row>
    <row r="220" spans="5:6" ht="12.75">
      <c r="E220" s="40"/>
      <c r="F220" s="40"/>
    </row>
    <row r="221" spans="5:6" ht="12.75">
      <c r="E221" s="40"/>
      <c r="F221" s="40"/>
    </row>
    <row r="222" spans="5:6" ht="12.75">
      <c r="E222" s="40"/>
      <c r="F222" s="40"/>
    </row>
    <row r="223" spans="5:6" ht="12.75">
      <c r="E223" s="40"/>
      <c r="F223" s="40"/>
    </row>
    <row r="224" spans="5:6" ht="12.75">
      <c r="E224" s="40"/>
      <c r="F224" s="40"/>
    </row>
    <row r="225" spans="5:6" ht="12.75">
      <c r="E225" s="40"/>
      <c r="F225" s="40"/>
    </row>
    <row r="226" spans="5:6" ht="12.75">
      <c r="E226" s="40"/>
      <c r="F226" s="40"/>
    </row>
    <row r="227" spans="5:6" ht="12.75">
      <c r="E227" s="40"/>
      <c r="F227" s="40"/>
    </row>
    <row r="228" spans="5:6" ht="12.75">
      <c r="E228" s="40"/>
      <c r="F228" s="40"/>
    </row>
    <row r="229" spans="5:6" ht="12.75">
      <c r="E229" s="40"/>
      <c r="F229" s="40"/>
    </row>
    <row r="230" spans="5:6" ht="12.75">
      <c r="E230" s="40"/>
      <c r="F230" s="40"/>
    </row>
    <row r="231" spans="5:6" ht="12.75">
      <c r="E231" s="40"/>
      <c r="F231" s="40"/>
    </row>
    <row r="232" spans="5:6" ht="12.75">
      <c r="E232" s="40"/>
      <c r="F232" s="40"/>
    </row>
    <row r="233" spans="5:6" ht="12.75">
      <c r="E233" s="40"/>
      <c r="F233" s="40"/>
    </row>
    <row r="234" spans="5:6" ht="12.75">
      <c r="E234" s="40"/>
      <c r="F234" s="40"/>
    </row>
    <row r="235" spans="5:6" ht="12.75">
      <c r="E235" s="40"/>
      <c r="F235" s="40"/>
    </row>
    <row r="236" spans="5:6" ht="12.75">
      <c r="E236" s="40"/>
      <c r="F236" s="40"/>
    </row>
    <row r="237" spans="5:6" ht="12.75">
      <c r="E237" s="40"/>
      <c r="F237" s="40"/>
    </row>
    <row r="238" spans="5:6" ht="12.75">
      <c r="E238" s="40"/>
      <c r="F238" s="40"/>
    </row>
    <row r="239" spans="5:6" ht="12.75">
      <c r="E239" s="40"/>
      <c r="F239" s="40"/>
    </row>
    <row r="240" spans="5:6" ht="12.75">
      <c r="E240" s="40"/>
      <c r="F240" s="40"/>
    </row>
    <row r="241" spans="5:6" ht="12.75">
      <c r="E241" s="40"/>
      <c r="F241" s="40"/>
    </row>
    <row r="242" spans="5:6" ht="12.75">
      <c r="E242" s="40"/>
      <c r="F242" s="40"/>
    </row>
    <row r="243" spans="5:6" ht="12.75">
      <c r="E243" s="40"/>
      <c r="F243" s="40"/>
    </row>
    <row r="244" spans="5:6" ht="12.75">
      <c r="E244" s="40"/>
      <c r="F244" s="40"/>
    </row>
    <row r="245" spans="5:6" ht="12.75">
      <c r="E245" s="40"/>
      <c r="F245" s="40"/>
    </row>
    <row r="246" spans="5:6" ht="12.75">
      <c r="E246" s="40"/>
      <c r="F246" s="40"/>
    </row>
    <row r="247" spans="5:6" ht="12.75">
      <c r="E247" s="40"/>
      <c r="F247" s="40"/>
    </row>
    <row r="248" spans="5:6" ht="12.75">
      <c r="E248" s="40"/>
      <c r="F248" s="40"/>
    </row>
    <row r="249" spans="5:6" ht="12.75">
      <c r="E249" s="40"/>
      <c r="F249" s="40"/>
    </row>
    <row r="250" spans="5:6" ht="12.75">
      <c r="E250" s="40"/>
      <c r="F250" s="40"/>
    </row>
    <row r="251" spans="5:6" ht="12.75">
      <c r="E251" s="40"/>
      <c r="F251" s="40"/>
    </row>
    <row r="252" spans="5:6" ht="12.75">
      <c r="E252" s="40"/>
      <c r="F252" s="40"/>
    </row>
    <row r="253" spans="5:6" ht="12.75">
      <c r="E253" s="40"/>
      <c r="F253" s="40"/>
    </row>
    <row r="254" spans="5:6" ht="12.75">
      <c r="E254" s="40"/>
      <c r="F254" s="40"/>
    </row>
    <row r="255" spans="5:6" ht="12.75">
      <c r="E255" s="40"/>
      <c r="F255" s="40"/>
    </row>
    <row r="256" spans="5:6" ht="12.75">
      <c r="E256" s="40"/>
      <c r="F256" s="40"/>
    </row>
    <row r="257" spans="5:6" ht="12.75">
      <c r="E257" s="40"/>
      <c r="F257" s="40"/>
    </row>
    <row r="258" spans="5:6" ht="12.75">
      <c r="E258" s="40"/>
      <c r="F258" s="40"/>
    </row>
    <row r="259" spans="5:6" ht="12.75">
      <c r="E259" s="40"/>
      <c r="F259" s="40"/>
    </row>
    <row r="260" spans="5:6" ht="12.75">
      <c r="E260" s="40"/>
      <c r="F260" s="40"/>
    </row>
    <row r="261" spans="5:6" ht="12.75">
      <c r="E261" s="40"/>
      <c r="F261" s="40"/>
    </row>
    <row r="262" spans="5:6" ht="12.75">
      <c r="E262" s="40"/>
      <c r="F262" s="40"/>
    </row>
    <row r="263" spans="5:6" ht="12.75">
      <c r="E263" s="40"/>
      <c r="F263" s="40"/>
    </row>
    <row r="264" spans="5:6" ht="12.75">
      <c r="E264" s="40"/>
      <c r="F264" s="40"/>
    </row>
    <row r="265" spans="5:6" ht="12.75">
      <c r="E265" s="40"/>
      <c r="F265" s="40"/>
    </row>
    <row r="266" spans="5:6" ht="12.75">
      <c r="E266" s="40"/>
      <c r="F266" s="40"/>
    </row>
    <row r="267" spans="5:6" ht="12.75">
      <c r="E267" s="40"/>
      <c r="F267" s="40"/>
    </row>
    <row r="268" spans="5:6" ht="12.75">
      <c r="E268" s="40"/>
      <c r="F268" s="40"/>
    </row>
    <row r="269" spans="5:6" ht="12.75">
      <c r="E269" s="40"/>
      <c r="F269" s="40"/>
    </row>
    <row r="270" spans="5:6" ht="12.75">
      <c r="E270" s="40"/>
      <c r="F270" s="40"/>
    </row>
    <row r="271" spans="5:6" ht="12.75">
      <c r="E271" s="40"/>
      <c r="F271" s="40"/>
    </row>
    <row r="272" spans="5:6" ht="12.75">
      <c r="E272" s="40"/>
      <c r="F272" s="40"/>
    </row>
    <row r="273" spans="5:6" ht="12.75">
      <c r="E273" s="40"/>
      <c r="F273" s="40"/>
    </row>
    <row r="274" spans="5:6" ht="12.75">
      <c r="E274" s="40"/>
      <c r="F274" s="40"/>
    </row>
    <row r="275" spans="5:6" ht="12.75">
      <c r="E275" s="40"/>
      <c r="F275" s="40"/>
    </row>
    <row r="276" spans="5:6" ht="12.75">
      <c r="E276" s="40"/>
      <c r="F276" s="40"/>
    </row>
    <row r="277" spans="5:6" ht="12.75">
      <c r="E277" s="40"/>
      <c r="F277" s="40"/>
    </row>
    <row r="278" spans="5:6" ht="12.75">
      <c r="E278" s="40"/>
      <c r="F278" s="40"/>
    </row>
    <row r="279" spans="5:6" ht="12.75">
      <c r="E279" s="40"/>
      <c r="F279" s="40"/>
    </row>
    <row r="280" spans="5:6" ht="12.75">
      <c r="E280" s="40"/>
      <c r="F280" s="40"/>
    </row>
    <row r="281" spans="5:6" ht="12.75">
      <c r="E281" s="40"/>
      <c r="F281" s="40"/>
    </row>
    <row r="282" spans="5:6" ht="12.75">
      <c r="E282" s="40"/>
      <c r="F282" s="40"/>
    </row>
    <row r="283" spans="5:6" ht="12.75">
      <c r="E283" s="40"/>
      <c r="F283" s="40"/>
    </row>
    <row r="284" spans="5:6" ht="12.75">
      <c r="E284" s="40"/>
      <c r="F284" s="40"/>
    </row>
    <row r="285" spans="5:6" ht="12.75">
      <c r="E285" s="40"/>
      <c r="F285" s="40"/>
    </row>
    <row r="286" spans="5:6" ht="12.75">
      <c r="E286" s="40"/>
      <c r="F286" s="40"/>
    </row>
    <row r="287" spans="5:6" ht="12.75">
      <c r="E287" s="40"/>
      <c r="F287" s="40"/>
    </row>
    <row r="288" spans="5:6" ht="12.75">
      <c r="E288" s="40"/>
      <c r="F288" s="40"/>
    </row>
    <row r="289" spans="5:6" ht="12.75">
      <c r="E289" s="40"/>
      <c r="F289" s="40"/>
    </row>
    <row r="290" spans="5:6" ht="12.75">
      <c r="E290" s="40"/>
      <c r="F290" s="40"/>
    </row>
    <row r="291" spans="5:6" ht="12.75">
      <c r="E291" s="40"/>
      <c r="F291" s="40"/>
    </row>
    <row r="292" spans="5:6" ht="12.75">
      <c r="E292" s="40"/>
      <c r="F292" s="40"/>
    </row>
    <row r="293" spans="5:6" ht="12.75">
      <c r="E293" s="40"/>
      <c r="F293" s="40"/>
    </row>
    <row r="294" spans="5:6" ht="12.75">
      <c r="E294" s="40"/>
      <c r="F294" s="40"/>
    </row>
    <row r="295" spans="5:6" ht="12.75">
      <c r="E295" s="40"/>
      <c r="F295" s="40"/>
    </row>
    <row r="296" spans="5:6" ht="12.75">
      <c r="E296" s="40"/>
      <c r="F296" s="40"/>
    </row>
    <row r="297" spans="5:6" ht="12.75">
      <c r="E297" s="40"/>
      <c r="F297" s="40"/>
    </row>
    <row r="298" spans="5:6" ht="12.75">
      <c r="E298" s="40"/>
      <c r="F298" s="40"/>
    </row>
    <row r="299" spans="5:6" ht="12.75">
      <c r="E299" s="40"/>
      <c r="F299" s="40"/>
    </row>
    <row r="300" spans="5:6" ht="12.75">
      <c r="E300" s="40"/>
      <c r="F300" s="40"/>
    </row>
    <row r="301" spans="5:6" ht="12.75">
      <c r="E301" s="40"/>
      <c r="F301" s="40"/>
    </row>
    <row r="302" spans="5:6" ht="12.75">
      <c r="E302" s="40"/>
      <c r="F302" s="40"/>
    </row>
    <row r="303" spans="5:6" ht="12.75">
      <c r="E303" s="40"/>
      <c r="F303" s="40"/>
    </row>
    <row r="304" spans="5:6" ht="12.75">
      <c r="E304" s="40"/>
      <c r="F304" s="40"/>
    </row>
    <row r="305" spans="5:6" ht="12.75">
      <c r="E305" s="40"/>
      <c r="F305" s="40"/>
    </row>
    <row r="306" spans="5:6" ht="12.75">
      <c r="E306" s="40"/>
      <c r="F306" s="40"/>
    </row>
    <row r="307" spans="5:6" ht="12.75">
      <c r="E307" s="40"/>
      <c r="F307" s="40"/>
    </row>
    <row r="308" spans="5:6" ht="12.75">
      <c r="E308" s="40"/>
      <c r="F308" s="40"/>
    </row>
    <row r="309" spans="5:6" ht="12.75">
      <c r="E309" s="40"/>
      <c r="F309" s="40"/>
    </row>
    <row r="310" spans="5:6" ht="12.75">
      <c r="E310" s="40"/>
      <c r="F310" s="40"/>
    </row>
    <row r="311" spans="5:6" ht="12.75">
      <c r="E311" s="40"/>
      <c r="F311" s="40"/>
    </row>
    <row r="312" spans="5:6" ht="12.75">
      <c r="E312" s="40"/>
      <c r="F312" s="40"/>
    </row>
    <row r="313" spans="5:6" ht="12.75">
      <c r="E313" s="40"/>
      <c r="F313" s="40"/>
    </row>
    <row r="314" spans="5:6" ht="12.75">
      <c r="E314" s="40"/>
      <c r="F314" s="40"/>
    </row>
    <row r="315" spans="5:6" ht="12.75">
      <c r="E315" s="40"/>
      <c r="F315" s="40"/>
    </row>
    <row r="316" spans="5:6" ht="12.75">
      <c r="E316" s="40"/>
      <c r="F316" s="40"/>
    </row>
    <row r="317" spans="5:6" ht="12.75">
      <c r="E317" s="40"/>
      <c r="F317" s="40"/>
    </row>
    <row r="318" spans="5:6" ht="12.75">
      <c r="E318" s="40"/>
      <c r="F318" s="40"/>
    </row>
    <row r="319" spans="5:6" ht="12.75">
      <c r="E319" s="40"/>
      <c r="F319" s="40"/>
    </row>
    <row r="320" spans="5:6" ht="12.75">
      <c r="E320" s="40"/>
      <c r="F320" s="40"/>
    </row>
    <row r="321" spans="5:6" ht="12.75">
      <c r="E321" s="40"/>
      <c r="F321" s="40"/>
    </row>
    <row r="322" spans="5:6" ht="12.75">
      <c r="E322" s="40"/>
      <c r="F322" s="40"/>
    </row>
    <row r="323" spans="5:6" ht="12.75">
      <c r="E323" s="40"/>
      <c r="F323" s="40"/>
    </row>
  </sheetData>
  <mergeCells count="6">
    <mergeCell ref="A6:G6"/>
    <mergeCell ref="H6:N6"/>
    <mergeCell ref="A4:G4"/>
    <mergeCell ref="H4:N4"/>
    <mergeCell ref="A5:G5"/>
    <mergeCell ref="H5:N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F1">
      <selection activeCell="C7" sqref="C7"/>
    </sheetView>
  </sheetViews>
  <sheetFormatPr defaultColWidth="9.140625" defaultRowHeight="12.75"/>
  <cols>
    <col min="1" max="1" width="36.140625" style="196" hidden="1" customWidth="1"/>
    <col min="2" max="2" width="11.00390625" style="196" hidden="1" customWidth="1"/>
    <col min="3" max="3" width="12.7109375" style="196" hidden="1" customWidth="1"/>
    <col min="4" max="4" width="13.8515625" style="196" hidden="1" customWidth="1"/>
    <col min="5" max="5" width="14.28125" style="196" hidden="1" customWidth="1"/>
    <col min="6" max="6" width="36.7109375" style="196" customWidth="1"/>
    <col min="7" max="8" width="9.7109375" style="196" customWidth="1"/>
    <col min="9" max="9" width="9.00390625" style="196" customWidth="1"/>
    <col min="10" max="10" width="10.28125" style="196" customWidth="1"/>
    <col min="11" max="16384" width="9.140625" style="196" customWidth="1"/>
  </cols>
  <sheetData>
    <row r="1" spans="1:10" ht="17.25" customHeight="1">
      <c r="A1" s="36" t="s">
        <v>148</v>
      </c>
      <c r="B1" s="82"/>
      <c r="C1" s="82"/>
      <c r="D1" s="36"/>
      <c r="E1" s="196" t="s">
        <v>369</v>
      </c>
      <c r="F1" s="196" t="s">
        <v>412</v>
      </c>
      <c r="G1" s="82"/>
      <c r="H1" s="82"/>
      <c r="I1" s="36"/>
      <c r="J1" s="225" t="s">
        <v>369</v>
      </c>
    </row>
    <row r="2" spans="1:10" ht="1.5" customHeight="1" hidden="1">
      <c r="A2" s="31"/>
      <c r="B2" s="31"/>
      <c r="C2" s="31"/>
      <c r="E2" s="31"/>
      <c r="F2" s="31"/>
      <c r="G2" s="31"/>
      <c r="H2" s="31"/>
      <c r="J2" s="31"/>
    </row>
    <row r="3" spans="1:10" ht="15.75" customHeight="1">
      <c r="A3" s="31"/>
      <c r="B3" s="31"/>
      <c r="C3" s="31"/>
      <c r="E3" s="31"/>
      <c r="F3" s="31"/>
      <c r="G3" s="31"/>
      <c r="H3" s="31"/>
      <c r="J3" s="31"/>
    </row>
    <row r="4" spans="1:10" ht="20.25">
      <c r="A4" s="89" t="s">
        <v>370</v>
      </c>
      <c r="B4" s="255"/>
      <c r="C4" s="255"/>
      <c r="D4" s="255"/>
      <c r="E4" s="255"/>
      <c r="F4" s="89" t="s">
        <v>370</v>
      </c>
      <c r="G4" s="255"/>
      <c r="H4" s="255"/>
      <c r="I4" s="255"/>
      <c r="J4" s="255"/>
    </row>
    <row r="5" spans="1:10" ht="19.5" customHeight="1">
      <c r="A5" s="256" t="s">
        <v>413</v>
      </c>
      <c r="B5" s="257"/>
      <c r="C5" s="257"/>
      <c r="D5" s="257"/>
      <c r="E5" s="257"/>
      <c r="F5" s="256" t="s">
        <v>414</v>
      </c>
      <c r="G5" s="257"/>
      <c r="H5" s="257"/>
      <c r="I5" s="257"/>
      <c r="J5" s="257"/>
    </row>
    <row r="6" spans="1:10" ht="17.25" customHeight="1">
      <c r="A6" s="31"/>
      <c r="B6" s="31"/>
      <c r="C6" s="31"/>
      <c r="E6" s="31" t="s">
        <v>149</v>
      </c>
      <c r="F6" s="31"/>
      <c r="G6" s="31"/>
      <c r="H6" s="31"/>
      <c r="J6" s="226" t="s">
        <v>149</v>
      </c>
    </row>
    <row r="7" spans="1:10" ht="56.25">
      <c r="A7" s="97" t="s">
        <v>17</v>
      </c>
      <c r="B7" s="97" t="s">
        <v>226</v>
      </c>
      <c r="C7" s="97" t="s">
        <v>63</v>
      </c>
      <c r="D7" s="97" t="s">
        <v>371</v>
      </c>
      <c r="E7" s="198" t="s">
        <v>398</v>
      </c>
      <c r="F7" s="97" t="s">
        <v>17</v>
      </c>
      <c r="G7" s="97" t="s">
        <v>372</v>
      </c>
      <c r="H7" s="97" t="s">
        <v>63</v>
      </c>
      <c r="I7" s="97" t="s">
        <v>371</v>
      </c>
      <c r="J7" s="4" t="s">
        <v>398</v>
      </c>
    </row>
    <row r="8" spans="1:10" ht="12.75">
      <c r="A8" s="97">
        <v>1</v>
      </c>
      <c r="B8" s="97">
        <v>2</v>
      </c>
      <c r="C8" s="97">
        <v>3</v>
      </c>
      <c r="D8" s="97">
        <v>4</v>
      </c>
      <c r="E8" s="258">
        <v>5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</row>
    <row r="9" spans="1:10" ht="25.5">
      <c r="A9" s="187" t="s">
        <v>373</v>
      </c>
      <c r="B9" s="227">
        <f>SUM(B10:B11)</f>
        <v>0</v>
      </c>
      <c r="C9" s="227">
        <f>SUM(C10:C11)</f>
        <v>11928900.399999999</v>
      </c>
      <c r="D9" s="54" t="str">
        <f>IF(ISERROR(C9/B9)," ",(C9/B9))</f>
        <v> </v>
      </c>
      <c r="E9" s="228">
        <f>SUM(E10:E11)</f>
        <v>2374855.3999999994</v>
      </c>
      <c r="F9" s="187" t="s">
        <v>373</v>
      </c>
      <c r="G9" s="259">
        <f>SUM(G10:G11)</f>
        <v>0</v>
      </c>
      <c r="H9" s="260">
        <f>SUM(H10:H11)</f>
        <v>11928</v>
      </c>
      <c r="I9" s="261" t="str">
        <f>IF(ISERROR(ROUND(H9,0)/ROUND(g,0))," ",(ROUND(H9,)/ROUND(G9,)))</f>
        <v> </v>
      </c>
      <c r="J9" s="259">
        <f>SUM(J10:J11)</f>
        <v>2374</v>
      </c>
    </row>
    <row r="10" spans="1:10" ht="22.5">
      <c r="A10" s="115" t="s">
        <v>374</v>
      </c>
      <c r="B10" s="231"/>
      <c r="C10" s="231">
        <f>4120478.05+234921.68+1833078.83</f>
        <v>6188478.56</v>
      </c>
      <c r="D10" s="262" t="str">
        <f aca="true" t="shared" si="0" ref="D10:D15">IF(ISERROR(C10/B10)," ",(C10/B10))</f>
        <v> </v>
      </c>
      <c r="E10" s="263">
        <f>C10-'[8]Oktobris'!C10</f>
        <v>2336158.5599999996</v>
      </c>
      <c r="F10" s="115" t="s">
        <v>374</v>
      </c>
      <c r="G10" s="97" t="s">
        <v>23</v>
      </c>
      <c r="H10" s="231">
        <f>ROUND(C10/1000,0)</f>
        <v>6188</v>
      </c>
      <c r="I10" s="264" t="str">
        <f aca="true" t="shared" si="1" ref="I10:I15">IF(ISERROR(ROUND(H10,0)/ROUND(g,0))," ",(ROUND(H10,)/ROUND(G10,)))</f>
        <v> </v>
      </c>
      <c r="J10" s="231">
        <f>H10-'[8]Oktobris'!H10</f>
        <v>2336</v>
      </c>
    </row>
    <row r="11" spans="1:10" ht="17.25" customHeight="1">
      <c r="A11" s="115" t="s">
        <v>375</v>
      </c>
      <c r="B11" s="231"/>
      <c r="C11" s="231">
        <f>2073468.02+3666953.82</f>
        <v>5740421.84</v>
      </c>
      <c r="D11" s="262" t="str">
        <f t="shared" si="0"/>
        <v> </v>
      </c>
      <c r="E11" s="263">
        <f>C11-'[8]Oktobris'!C11</f>
        <v>38696.83999999985</v>
      </c>
      <c r="F11" s="115" t="s">
        <v>375</v>
      </c>
      <c r="G11" s="97" t="s">
        <v>23</v>
      </c>
      <c r="H11" s="231">
        <f>ROUND(C11/1000,0)</f>
        <v>5740</v>
      </c>
      <c r="I11" s="264" t="str">
        <f t="shared" si="1"/>
        <v> </v>
      </c>
      <c r="J11" s="231">
        <f>H11-'[8]Oktobris'!H11</f>
        <v>38</v>
      </c>
    </row>
    <row r="12" spans="1:10" ht="12.75">
      <c r="A12" s="187" t="s">
        <v>376</v>
      </c>
      <c r="B12" s="6">
        <f>SUM(B13,B30)</f>
        <v>0</v>
      </c>
      <c r="C12" s="6">
        <f>SUM(C13,C30)</f>
        <v>11051725.35</v>
      </c>
      <c r="D12" s="54" t="str">
        <f t="shared" si="0"/>
        <v> </v>
      </c>
      <c r="E12" s="200">
        <f>SUM(E13,E30)</f>
        <v>2950155.35</v>
      </c>
      <c r="F12" s="187" t="s">
        <v>376</v>
      </c>
      <c r="G12" s="103">
        <f>SUM(G13,G30)</f>
        <v>0</v>
      </c>
      <c r="H12" s="103">
        <f>SUM(H13,H30)</f>
        <v>11052</v>
      </c>
      <c r="I12" s="261" t="str">
        <f t="shared" si="1"/>
        <v> </v>
      </c>
      <c r="J12" s="103">
        <f>SUM(J13,J30)</f>
        <v>2951</v>
      </c>
    </row>
    <row r="13" spans="1:10" ht="16.5" customHeight="1">
      <c r="A13" s="102" t="s">
        <v>352</v>
      </c>
      <c r="B13" s="6">
        <f>SUM(B14,B21,B24)</f>
        <v>0</v>
      </c>
      <c r="C13" s="6">
        <f>SUM(C14,C21,C24)</f>
        <v>7898028.4</v>
      </c>
      <c r="D13" s="54" t="str">
        <f t="shared" si="0"/>
        <v> </v>
      </c>
      <c r="E13" s="200">
        <f>SUM(E14,E21,E24)</f>
        <v>1178385.4000000004</v>
      </c>
      <c r="F13" s="102" t="s">
        <v>352</v>
      </c>
      <c r="G13" s="103">
        <f>SUM(G14,G21,G24)</f>
        <v>0</v>
      </c>
      <c r="H13" s="103">
        <f>SUM(H14,H21,H24)</f>
        <v>7899</v>
      </c>
      <c r="I13" s="261" t="str">
        <f t="shared" si="1"/>
        <v> </v>
      </c>
      <c r="J13" s="103">
        <f>SUM(J14,J21,J24)</f>
        <v>1179</v>
      </c>
    </row>
    <row r="14" spans="1:10" ht="12.75">
      <c r="A14" s="106" t="s">
        <v>235</v>
      </c>
      <c r="B14" s="8"/>
      <c r="C14" s="265">
        <f>SUM(C15,C16,C17,C20)</f>
        <v>7338990.5200000005</v>
      </c>
      <c r="D14" s="54" t="str">
        <f t="shared" si="0"/>
        <v> </v>
      </c>
      <c r="E14" s="266">
        <f>SUM(E15,E16,E17,E20)</f>
        <v>900777.5200000003</v>
      </c>
      <c r="F14" s="106" t="s">
        <v>235</v>
      </c>
      <c r="G14" s="267">
        <f>ROUND(B14/1000,0)</f>
        <v>0</v>
      </c>
      <c r="H14" s="7">
        <f>SUM(H15,H16,H17,H20)</f>
        <v>7339</v>
      </c>
      <c r="I14" s="264" t="str">
        <f t="shared" si="1"/>
        <v> </v>
      </c>
      <c r="J14" s="7">
        <f>SUM(J15,J16,J17,J20)</f>
        <v>900</v>
      </c>
    </row>
    <row r="15" spans="1:10" ht="12.75">
      <c r="A15" s="163" t="s">
        <v>236</v>
      </c>
      <c r="B15" s="23"/>
      <c r="C15" s="23">
        <f>484643.94+41904.19</f>
        <v>526548.13</v>
      </c>
      <c r="D15" s="62" t="str">
        <f t="shared" si="0"/>
        <v> </v>
      </c>
      <c r="E15" s="268">
        <f>C15-'[8]Oktobris'!C15</f>
        <v>78895.13</v>
      </c>
      <c r="F15" s="163" t="s">
        <v>236</v>
      </c>
      <c r="G15" s="231">
        <f>ROUND(B15/1000,0)</f>
        <v>0</v>
      </c>
      <c r="H15" s="231">
        <f>ROUND(C15/1000,0)</f>
        <v>527</v>
      </c>
      <c r="I15" s="264" t="str">
        <f t="shared" si="1"/>
        <v> </v>
      </c>
      <c r="J15" s="231">
        <f>H15-'[8]Oktobris'!H15</f>
        <v>79</v>
      </c>
    </row>
    <row r="16" spans="1:10" ht="22.5">
      <c r="A16" s="115" t="s">
        <v>377</v>
      </c>
      <c r="B16" s="21" t="s">
        <v>23</v>
      </c>
      <c r="C16" s="23">
        <v>144272</v>
      </c>
      <c r="D16" s="21" t="s">
        <v>23</v>
      </c>
      <c r="E16" s="268">
        <f>C16-'[8]Oktobris'!C16</f>
        <v>7028</v>
      </c>
      <c r="F16" s="115" t="s">
        <v>377</v>
      </c>
      <c r="G16" s="21" t="s">
        <v>23</v>
      </c>
      <c r="H16" s="231">
        <f>ROUND(C16/1000,0)</f>
        <v>144</v>
      </c>
      <c r="I16" s="21" t="s">
        <v>23</v>
      </c>
      <c r="J16" s="231">
        <f>H16-'[8]Oktobris'!H16</f>
        <v>7</v>
      </c>
    </row>
    <row r="17" spans="1:10" ht="12.75">
      <c r="A17" s="115" t="s">
        <v>238</v>
      </c>
      <c r="B17" s="21" t="s">
        <v>23</v>
      </c>
      <c r="C17" s="23">
        <f>SUM(C18:C19)</f>
        <v>6667087.390000001</v>
      </c>
      <c r="D17" s="21" t="s">
        <v>23</v>
      </c>
      <c r="E17" s="269">
        <f>SUM(E18:E19)</f>
        <v>814854.3900000002</v>
      </c>
      <c r="F17" s="115" t="s">
        <v>238</v>
      </c>
      <c r="G17" s="21" t="s">
        <v>23</v>
      </c>
      <c r="H17" s="27">
        <f>SUM(H18:H19)</f>
        <v>6667</v>
      </c>
      <c r="I17" s="21" t="s">
        <v>23</v>
      </c>
      <c r="J17" s="27">
        <f>SUM(J18:J19)</f>
        <v>814</v>
      </c>
    </row>
    <row r="18" spans="1:10" s="271" customFormat="1" ht="12.75">
      <c r="A18" s="116" t="s">
        <v>353</v>
      </c>
      <c r="B18" s="11" t="s">
        <v>23</v>
      </c>
      <c r="C18" s="25">
        <f>1135081.51+750818.41+70113.81+2804296.01+210.9+425563.61+648632.23+1519.8</f>
        <v>5836236.28</v>
      </c>
      <c r="D18" s="11" t="s">
        <v>23</v>
      </c>
      <c r="E18" s="268">
        <f>C18-'[8]Oktobris'!C18</f>
        <v>1198549.2800000003</v>
      </c>
      <c r="F18" s="116" t="s">
        <v>353</v>
      </c>
      <c r="G18" s="11" t="s">
        <v>23</v>
      </c>
      <c r="H18" s="270">
        <f>ROUND(C18/1000,0)</f>
        <v>5836</v>
      </c>
      <c r="I18" s="11" t="s">
        <v>23</v>
      </c>
      <c r="J18" s="270">
        <f>H18-'[8]Oktobris'!H18</f>
        <v>1198</v>
      </c>
    </row>
    <row r="19" spans="1:10" s="271" customFormat="1" ht="12.75">
      <c r="A19" s="116" t="s">
        <v>378</v>
      </c>
      <c r="B19" s="11" t="s">
        <v>23</v>
      </c>
      <c r="C19" s="25">
        <f>119610.98+25898.34+64973.23+49.8+143.99+23225.08-100+251339.08+142164.5+201943.53+1602.58</f>
        <v>830851.11</v>
      </c>
      <c r="D19" s="11" t="s">
        <v>23</v>
      </c>
      <c r="E19" s="268">
        <f>C19-'[8]Oktobris'!C19</f>
        <v>-383694.89</v>
      </c>
      <c r="F19" s="116" t="s">
        <v>378</v>
      </c>
      <c r="G19" s="11" t="s">
        <v>23</v>
      </c>
      <c r="H19" s="270">
        <f>ROUND(C19/1000,0)</f>
        <v>831</v>
      </c>
      <c r="I19" s="11" t="s">
        <v>23</v>
      </c>
      <c r="J19" s="270">
        <f>H19-'[8]Oktobris'!H19</f>
        <v>-384</v>
      </c>
    </row>
    <row r="20" spans="1:10" ht="12.75">
      <c r="A20" s="115" t="s">
        <v>356</v>
      </c>
      <c r="B20" s="21" t="s">
        <v>23</v>
      </c>
      <c r="C20" s="23">
        <v>1083</v>
      </c>
      <c r="D20" s="21" t="s">
        <v>23</v>
      </c>
      <c r="E20" s="268">
        <f>C20-'[8]Oktobris'!C20</f>
        <v>0</v>
      </c>
      <c r="F20" s="115" t="s">
        <v>356</v>
      </c>
      <c r="G20" s="21" t="s">
        <v>23</v>
      </c>
      <c r="H20" s="231">
        <f>ROUND(C20/1000,0)</f>
        <v>1</v>
      </c>
      <c r="I20" s="21" t="s">
        <v>23</v>
      </c>
      <c r="J20" s="231">
        <f>H20-'[8]Oktobris'!H20</f>
        <v>0</v>
      </c>
    </row>
    <row r="21" spans="1:10" ht="12.75">
      <c r="A21" s="114" t="s">
        <v>244</v>
      </c>
      <c r="B21" s="21"/>
      <c r="C21" s="265">
        <f>SUM(C22:C23)</f>
        <v>174731.37</v>
      </c>
      <c r="D21" s="54" t="str">
        <f>IF(ISERROR(C21/B21)," ",(C21/B21))</f>
        <v> </v>
      </c>
      <c r="E21" s="266">
        <f>SUM(E22:E23)</f>
        <v>20546.369999999995</v>
      </c>
      <c r="F21" s="114" t="s">
        <v>244</v>
      </c>
      <c r="G21" s="21"/>
      <c r="H21" s="7">
        <f>SUM(H22:H23)</f>
        <v>175</v>
      </c>
      <c r="I21" s="264" t="str">
        <f>IF(ISERROR(ROUND(H21,0)/ROUND(g,0))," ",(ROUND(H21,)/ROUND(G21,)))</f>
        <v> </v>
      </c>
      <c r="J21" s="7">
        <f>SUM(J22:J23)</f>
        <v>21</v>
      </c>
    </row>
    <row r="22" spans="1:10" ht="12.75">
      <c r="A22" s="115" t="s">
        <v>379</v>
      </c>
      <c r="B22" s="21" t="s">
        <v>23</v>
      </c>
      <c r="C22" s="23">
        <f>1764+172967.37</f>
        <v>174731.37</v>
      </c>
      <c r="D22" s="21" t="s">
        <v>23</v>
      </c>
      <c r="E22" s="268">
        <f>C22-'[8]Oktobris'!C22</f>
        <v>20546.369999999995</v>
      </c>
      <c r="F22" s="115" t="s">
        <v>379</v>
      </c>
      <c r="G22" s="21" t="s">
        <v>23</v>
      </c>
      <c r="H22" s="231">
        <f>ROUND(C22/1000,0)</f>
        <v>175</v>
      </c>
      <c r="I22" s="21" t="s">
        <v>23</v>
      </c>
      <c r="J22" s="231">
        <f>H22-'[8]Oktobris'!H22</f>
        <v>21</v>
      </c>
    </row>
    <row r="23" spans="1:10" ht="12.75">
      <c r="A23" s="115" t="s">
        <v>380</v>
      </c>
      <c r="B23" s="21" t="s">
        <v>23</v>
      </c>
      <c r="C23" s="23"/>
      <c r="D23" s="21" t="s">
        <v>23</v>
      </c>
      <c r="E23" s="268">
        <f>C23-'[8]Oktobris'!C23</f>
        <v>0</v>
      </c>
      <c r="F23" s="115" t="s">
        <v>380</v>
      </c>
      <c r="G23" s="21" t="s">
        <v>23</v>
      </c>
      <c r="H23" s="231">
        <f>ROUND(C23/1000,0)</f>
        <v>0</v>
      </c>
      <c r="I23" s="21" t="s">
        <v>23</v>
      </c>
      <c r="J23" s="231">
        <f>H23-'[8]Oktobris'!H23</f>
        <v>0</v>
      </c>
    </row>
    <row r="24" spans="1:10" ht="17.25" customHeight="1">
      <c r="A24" s="238" t="s">
        <v>248</v>
      </c>
      <c r="B24" s="23"/>
      <c r="C24" s="265">
        <f>SUM(C25:C29)</f>
        <v>384306.51</v>
      </c>
      <c r="D24" s="54" t="str">
        <f>IF(ISERROR(C24/B24)," ",(C24/B24))</f>
        <v> </v>
      </c>
      <c r="E24" s="266">
        <f>SUM(E25:E29)</f>
        <v>257061.51</v>
      </c>
      <c r="F24" s="238" t="s">
        <v>248</v>
      </c>
      <c r="G24" s="21"/>
      <c r="H24" s="7">
        <f>SUM(H25:H29)</f>
        <v>385</v>
      </c>
      <c r="I24" s="264" t="str">
        <f>IF(ISERROR(ROUND(H24,0)/ROUND(g,0))," ",(ROUND(H24,)/ROUND(G24,)))</f>
        <v> </v>
      </c>
      <c r="J24" s="7">
        <f>SUM(J25:J29)</f>
        <v>258</v>
      </c>
    </row>
    <row r="25" spans="1:10" ht="15.75" customHeight="1">
      <c r="A25" s="163" t="s">
        <v>249</v>
      </c>
      <c r="B25" s="21" t="s">
        <v>23</v>
      </c>
      <c r="C25" s="23">
        <f>26551+233092.98+6949.53</f>
        <v>266593.51</v>
      </c>
      <c r="D25" s="21" t="s">
        <v>23</v>
      </c>
      <c r="E25" s="268">
        <f>C25-'[8]Oktobris'!C25</f>
        <v>238509.51</v>
      </c>
      <c r="F25" s="163" t="s">
        <v>249</v>
      </c>
      <c r="G25" s="21" t="s">
        <v>23</v>
      </c>
      <c r="H25" s="231">
        <f>ROUND(C25/1000,0)</f>
        <v>267</v>
      </c>
      <c r="I25" s="21" t="s">
        <v>23</v>
      </c>
      <c r="J25" s="231">
        <f>H25-'[8]Oktobris'!H25</f>
        <v>239</v>
      </c>
    </row>
    <row r="26" spans="1:10" ht="15.75" customHeight="1">
      <c r="A26" s="163" t="s">
        <v>250</v>
      </c>
      <c r="B26" s="21" t="s">
        <v>23</v>
      </c>
      <c r="C26" s="23">
        <v>11967</v>
      </c>
      <c r="D26" s="21" t="s">
        <v>23</v>
      </c>
      <c r="E26" s="268">
        <f>C26-'[8]Oktobris'!C26</f>
        <v>0</v>
      </c>
      <c r="F26" s="163" t="s">
        <v>250</v>
      </c>
      <c r="G26" s="21" t="s">
        <v>23</v>
      </c>
      <c r="H26" s="231">
        <f>ROUND(C26/1000,0)</f>
        <v>12</v>
      </c>
      <c r="I26" s="21" t="s">
        <v>23</v>
      </c>
      <c r="J26" s="231">
        <f>H26-'[8]Oktobris'!H26</f>
        <v>0</v>
      </c>
    </row>
    <row r="27" spans="1:10" ht="16.5" customHeight="1">
      <c r="A27" s="115" t="s">
        <v>251</v>
      </c>
      <c r="B27" s="21" t="s">
        <v>23</v>
      </c>
      <c r="C27" s="23"/>
      <c r="D27" s="21" t="s">
        <v>23</v>
      </c>
      <c r="E27" s="268">
        <f>C27-'[8]Oktobris'!C27</f>
        <v>0</v>
      </c>
      <c r="F27" s="115" t="s">
        <v>251</v>
      </c>
      <c r="G27" s="21" t="s">
        <v>23</v>
      </c>
      <c r="H27" s="231">
        <f>ROUND(C27/1000,0)</f>
        <v>0</v>
      </c>
      <c r="I27" s="21" t="s">
        <v>23</v>
      </c>
      <c r="J27" s="231">
        <f>H27-'[8]Oktobris'!H27</f>
        <v>0</v>
      </c>
    </row>
    <row r="28" spans="1:10" ht="12.75">
      <c r="A28" s="115" t="s">
        <v>381</v>
      </c>
      <c r="B28" s="21" t="s">
        <v>23</v>
      </c>
      <c r="C28" s="23">
        <v>41649</v>
      </c>
      <c r="D28" s="21" t="s">
        <v>23</v>
      </c>
      <c r="E28" s="268">
        <f>C28-'[8]Oktobris'!C28</f>
        <v>9331</v>
      </c>
      <c r="F28" s="115" t="s">
        <v>381</v>
      </c>
      <c r="G28" s="21" t="s">
        <v>23</v>
      </c>
      <c r="H28" s="231">
        <f>ROUND(C28/1000,0)</f>
        <v>42</v>
      </c>
      <c r="I28" s="21" t="s">
        <v>23</v>
      </c>
      <c r="J28" s="231">
        <f>H28-'[8]Oktobris'!H28</f>
        <v>10</v>
      </c>
    </row>
    <row r="29" spans="1:10" ht="15" customHeight="1">
      <c r="A29" s="115" t="s">
        <v>257</v>
      </c>
      <c r="B29" s="21" t="s">
        <v>23</v>
      </c>
      <c r="C29" s="23">
        <v>64097</v>
      </c>
      <c r="D29" s="21" t="s">
        <v>23</v>
      </c>
      <c r="E29" s="268">
        <f>C29-'[8]Oktobris'!C29</f>
        <v>9221</v>
      </c>
      <c r="F29" s="115" t="s">
        <v>257</v>
      </c>
      <c r="G29" s="21" t="s">
        <v>23</v>
      </c>
      <c r="H29" s="231">
        <f>ROUND(C29/1000,0)</f>
        <v>64</v>
      </c>
      <c r="I29" s="21" t="s">
        <v>23</v>
      </c>
      <c r="J29" s="231">
        <f>H29-'[8]Oktobris'!H29</f>
        <v>9</v>
      </c>
    </row>
    <row r="30" spans="1:10" ht="19.5" customHeight="1">
      <c r="A30" s="119" t="s">
        <v>382</v>
      </c>
      <c r="B30" s="133">
        <f>SUM(B31:B32)</f>
        <v>0</v>
      </c>
      <c r="C30" s="133">
        <f>SUM(C31:C32)</f>
        <v>3153696.9499999997</v>
      </c>
      <c r="D30" s="54" t="str">
        <f>IF(ISERROR(C30/B30)," ",(C30/B30))</f>
        <v> </v>
      </c>
      <c r="E30" s="240">
        <f>SUM(E31:E32)</f>
        <v>1771769.9499999997</v>
      </c>
      <c r="F30" s="119" t="s">
        <v>382</v>
      </c>
      <c r="G30" s="265">
        <f>SUM(G31:G32)</f>
        <v>0</v>
      </c>
      <c r="H30" s="265">
        <f>SUM(H31:H32)</f>
        <v>3153</v>
      </c>
      <c r="I30" s="261" t="str">
        <f>IF(ISERROR(ROUND(H30,0)/ROUND(g,0))," ",(ROUND(H30,)/ROUND(G30,)))</f>
        <v> </v>
      </c>
      <c r="J30" s="265">
        <f>SUM(J31:J32)</f>
        <v>1772</v>
      </c>
    </row>
    <row r="31" spans="1:10" ht="18.75" customHeight="1">
      <c r="A31" s="115" t="s">
        <v>268</v>
      </c>
      <c r="B31" s="23"/>
      <c r="C31" s="23">
        <f>539481.28+13807+171370+41385.73+772480.73+1485357.64+25380.57</f>
        <v>3049262.9499999997</v>
      </c>
      <c r="D31" s="62" t="str">
        <f>IF(ISERROR(C31/B31)," ",(C31/B31))</f>
        <v> </v>
      </c>
      <c r="E31" s="268">
        <f>C31-'[8]Oktobris'!C31</f>
        <v>1771769.9499999997</v>
      </c>
      <c r="F31" s="115" t="s">
        <v>268</v>
      </c>
      <c r="G31" s="231">
        <f>ROUND(B31/1000,0)</f>
        <v>0</v>
      </c>
      <c r="H31" s="231">
        <f>ROUND(C31/1000,0)</f>
        <v>3049</v>
      </c>
      <c r="I31" s="264" t="str">
        <f>IF(ISERROR(ROUND(H31,0)/ROUND(g,0))," ",(ROUND(H31,)/ROUND(G31,)))</f>
        <v> </v>
      </c>
      <c r="J31" s="231">
        <f>H31-'[8]Oktobris'!H31</f>
        <v>1772</v>
      </c>
    </row>
    <row r="32" spans="1:10" ht="18" customHeight="1">
      <c r="A32" s="115" t="s">
        <v>269</v>
      </c>
      <c r="B32" s="23"/>
      <c r="C32" s="25">
        <v>104434</v>
      </c>
      <c r="D32" s="62" t="str">
        <f>IF(ISERROR(C32/B32)," ",(C32/B32))</f>
        <v> </v>
      </c>
      <c r="E32" s="268">
        <f>C32-'[8]Oktobris'!C32</f>
        <v>0</v>
      </c>
      <c r="F32" s="115" t="s">
        <v>269</v>
      </c>
      <c r="G32" s="231">
        <f>ROUND(B32/1000,0)</f>
        <v>0</v>
      </c>
      <c r="H32" s="231">
        <f>ROUND(C32/1000,0)</f>
        <v>104</v>
      </c>
      <c r="I32" s="264" t="str">
        <f>IF(ISERROR(ROUND(H32,0)/ROUND(g,0))," ",(ROUND(H32,)/ROUND(G32,)))</f>
        <v> </v>
      </c>
      <c r="J32" s="231">
        <f>H32-'[8]Oktobris'!H32</f>
        <v>0</v>
      </c>
    </row>
    <row r="33" spans="1:11" s="207" customFormat="1" ht="15.75" customHeight="1">
      <c r="A33" s="119" t="s">
        <v>383</v>
      </c>
      <c r="B33" s="23"/>
      <c r="C33" s="6">
        <f>SUM(C9-C12)</f>
        <v>877175.0499999989</v>
      </c>
      <c r="D33" s="21" t="s">
        <v>23</v>
      </c>
      <c r="E33" s="213" t="s">
        <v>23</v>
      </c>
      <c r="F33" s="119" t="s">
        <v>383</v>
      </c>
      <c r="G33" s="243"/>
      <c r="H33" s="265">
        <f>SUM(H9-H12)</f>
        <v>876</v>
      </c>
      <c r="I33" s="21" t="s">
        <v>23</v>
      </c>
      <c r="J33" s="21" t="s">
        <v>23</v>
      </c>
      <c r="K33" s="272"/>
    </row>
    <row r="34" spans="1:11" s="207" customFormat="1" ht="16.5" customHeight="1">
      <c r="A34" s="119" t="s">
        <v>367</v>
      </c>
      <c r="B34" s="23"/>
      <c r="C34" s="23">
        <v>-877175</v>
      </c>
      <c r="D34" s="21" t="s">
        <v>23</v>
      </c>
      <c r="E34" s="213" t="s">
        <v>23</v>
      </c>
      <c r="F34" s="119" t="s">
        <v>367</v>
      </c>
      <c r="G34" s="19"/>
      <c r="H34" s="265">
        <f>ROUND(C34/1000,0)+1</f>
        <v>-876</v>
      </c>
      <c r="I34" s="21" t="s">
        <v>23</v>
      </c>
      <c r="J34" s="21" t="s">
        <v>23</v>
      </c>
      <c r="K34" s="272"/>
    </row>
    <row r="35" spans="1:11" s="207" customFormat="1" ht="26.25" customHeight="1">
      <c r="A35" s="143" t="s">
        <v>384</v>
      </c>
      <c r="B35" s="23"/>
      <c r="C35" s="23">
        <v>-877175</v>
      </c>
      <c r="D35" s="21" t="s">
        <v>23</v>
      </c>
      <c r="E35" s="213" t="s">
        <v>23</v>
      </c>
      <c r="F35" s="143" t="s">
        <v>384</v>
      </c>
      <c r="G35" s="23"/>
      <c r="H35" s="231">
        <f>ROUND(C35/1000,0)+1</f>
        <v>-876</v>
      </c>
      <c r="I35" s="21" t="s">
        <v>23</v>
      </c>
      <c r="J35" s="21" t="s">
        <v>23</v>
      </c>
      <c r="K35" s="272"/>
    </row>
    <row r="36" spans="1:10" s="79" customFormat="1" ht="16.5" customHeight="1">
      <c r="A36" s="120"/>
      <c r="B36" s="121"/>
      <c r="C36" s="273"/>
      <c r="D36" s="273"/>
      <c r="E36" s="273"/>
      <c r="F36" s="120"/>
      <c r="G36" s="121"/>
      <c r="H36" s="273"/>
      <c r="I36" s="273"/>
      <c r="J36" s="273"/>
    </row>
    <row r="37" spans="1:10" s="79" customFormat="1" ht="16.5" customHeight="1">
      <c r="A37" s="120"/>
      <c r="B37" s="121"/>
      <c r="C37" s="273"/>
      <c r="D37" s="273"/>
      <c r="E37" s="273"/>
      <c r="F37" s="120" t="s">
        <v>385</v>
      </c>
      <c r="G37" s="121"/>
      <c r="H37" s="273"/>
      <c r="I37" s="273"/>
      <c r="J37" s="273"/>
    </row>
    <row r="38" spans="1:10" s="79" customFormat="1" ht="16.5" customHeight="1">
      <c r="A38" s="120"/>
      <c r="B38" s="121"/>
      <c r="C38" s="273"/>
      <c r="D38" s="273"/>
      <c r="E38" s="273"/>
      <c r="F38" s="120"/>
      <c r="G38" s="121"/>
      <c r="H38" s="273"/>
      <c r="I38" s="273"/>
      <c r="J38" s="273"/>
    </row>
    <row r="39" spans="1:10" s="79" customFormat="1" ht="16.5" customHeight="1">
      <c r="A39" s="120"/>
      <c r="B39" s="121"/>
      <c r="C39" s="273"/>
      <c r="D39" s="273"/>
      <c r="E39" s="273"/>
      <c r="F39" s="81" t="s">
        <v>275</v>
      </c>
      <c r="G39" s="121"/>
      <c r="H39" s="273"/>
      <c r="I39" s="273"/>
      <c r="J39" s="273"/>
    </row>
    <row r="40" spans="1:10" s="79" customFormat="1" ht="16.5" customHeight="1">
      <c r="A40" s="120"/>
      <c r="B40" s="121"/>
      <c r="C40" s="273"/>
      <c r="D40" s="273"/>
      <c r="E40" s="273"/>
      <c r="F40" s="81"/>
      <c r="G40" s="121"/>
      <c r="H40" s="273"/>
      <c r="I40" s="275"/>
      <c r="J40" s="222"/>
    </row>
    <row r="41" spans="1:10" s="79" customFormat="1" ht="16.5" customHeight="1">
      <c r="A41" s="120"/>
      <c r="B41" s="121"/>
      <c r="C41" s="273"/>
      <c r="D41" s="273"/>
      <c r="E41" s="273"/>
      <c r="F41" s="223"/>
      <c r="G41" s="33"/>
      <c r="H41" s="33"/>
      <c r="I41" s="277"/>
      <c r="J41" s="223"/>
    </row>
    <row r="42" spans="1:10" ht="16.5" customHeight="1">
      <c r="A42" s="274"/>
      <c r="B42" s="121"/>
      <c r="C42" s="121"/>
      <c r="D42" s="275"/>
      <c r="E42" s="222"/>
      <c r="F42" s="223"/>
      <c r="G42" s="127"/>
      <c r="H42" s="127"/>
      <c r="I42" s="195"/>
      <c r="J42" s="82"/>
    </row>
    <row r="43" spans="1:10" ht="14.25">
      <c r="A43" s="276"/>
      <c r="B43" s="33"/>
      <c r="C43" s="33"/>
      <c r="D43" s="277"/>
      <c r="E43" s="223"/>
      <c r="F43" s="223"/>
      <c r="G43" s="278"/>
      <c r="H43" s="130"/>
      <c r="I43" s="279"/>
      <c r="J43" s="31"/>
    </row>
    <row r="44" spans="1:10" ht="12.75">
      <c r="A44" s="81" t="s">
        <v>275</v>
      </c>
      <c r="B44" s="127"/>
      <c r="C44" s="127"/>
      <c r="D44" s="195"/>
      <c r="E44" s="82"/>
      <c r="F44" s="223"/>
      <c r="G44" s="278"/>
      <c r="H44" s="130"/>
      <c r="I44" s="279"/>
      <c r="J44" s="31"/>
    </row>
    <row r="45" spans="1:10" ht="12.75">
      <c r="A45" s="223"/>
      <c r="B45" s="278"/>
      <c r="C45" s="130"/>
      <c r="D45" s="279"/>
      <c r="E45" s="31"/>
      <c r="F45" s="223" t="s">
        <v>144</v>
      </c>
      <c r="G45" s="278"/>
      <c r="H45" s="130"/>
      <c r="I45" s="279"/>
      <c r="J45" s="31"/>
    </row>
    <row r="46" spans="1:10" ht="12.75">
      <c r="A46" s="223"/>
      <c r="B46" s="278"/>
      <c r="C46" s="130"/>
      <c r="D46" s="279"/>
      <c r="E46" s="31"/>
      <c r="F46" s="223" t="s">
        <v>401</v>
      </c>
      <c r="G46" s="278"/>
      <c r="H46" s="130"/>
      <c r="I46" s="279"/>
      <c r="J46" s="31"/>
    </row>
    <row r="47" spans="1:5" ht="12.75">
      <c r="A47" s="223" t="s">
        <v>144</v>
      </c>
      <c r="B47" s="278"/>
      <c r="C47" s="130"/>
      <c r="D47" s="279"/>
      <c r="E47" s="31"/>
    </row>
    <row r="48" spans="1:5" ht="12.75">
      <c r="A48" s="223" t="s">
        <v>401</v>
      </c>
      <c r="B48" s="278"/>
      <c r="C48" s="130"/>
      <c r="D48" s="279"/>
      <c r="E48" s="31"/>
    </row>
    <row r="49" spans="1:10" ht="12.75">
      <c r="A49" s="223"/>
      <c r="B49" s="278"/>
      <c r="C49" s="130"/>
      <c r="D49" s="279"/>
      <c r="E49" s="31"/>
      <c r="F49" s="223"/>
      <c r="G49" s="278"/>
      <c r="H49" s="130"/>
      <c r="I49" s="279"/>
      <c r="J49" s="31"/>
    </row>
    <row r="50" spans="2:5" ht="12" customHeight="1">
      <c r="B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F17">
      <selection activeCell="A23" sqref="A23"/>
    </sheetView>
  </sheetViews>
  <sheetFormatPr defaultColWidth="9.140625" defaultRowHeight="12.75"/>
  <cols>
    <col min="1" max="1" width="35.28125" style="2" hidden="1" customWidth="1"/>
    <col min="2" max="2" width="7.57421875" style="2" hidden="1" customWidth="1"/>
    <col min="3" max="3" width="9.8515625" style="2" hidden="1" customWidth="1"/>
    <col min="4" max="4" width="11.421875" style="2" hidden="1" customWidth="1"/>
    <col min="5" max="5" width="11.7109375" style="2" hidden="1" customWidth="1"/>
    <col min="6" max="6" width="28.7109375" style="2" customWidth="1"/>
    <col min="7" max="7" width="6.8515625" style="2" customWidth="1"/>
    <col min="8" max="8" width="8.421875" style="2" customWidth="1"/>
    <col min="9" max="9" width="10.8515625" style="2" customWidth="1"/>
    <col min="10" max="10" width="9.140625" style="2" customWidth="1"/>
    <col min="11" max="16384" width="7.8515625" style="2" customWidth="1"/>
  </cols>
  <sheetData>
    <row r="1" spans="3:9" ht="12.75">
      <c r="C1" s="48"/>
      <c r="D1" s="48"/>
      <c r="H1" s="48"/>
      <c r="I1" s="48"/>
    </row>
    <row r="2" spans="1:10" ht="12.75">
      <c r="A2" s="48" t="s">
        <v>415</v>
      </c>
      <c r="C2" s="48"/>
      <c r="D2" s="48"/>
      <c r="E2" s="41" t="s">
        <v>416</v>
      </c>
      <c r="F2" s="48" t="s">
        <v>417</v>
      </c>
      <c r="H2" s="48"/>
      <c r="I2" s="48"/>
      <c r="J2" s="225" t="s">
        <v>416</v>
      </c>
    </row>
    <row r="3" ht="15.75">
      <c r="A3" s="87" t="s">
        <v>418</v>
      </c>
    </row>
    <row r="4" spans="1:10" ht="15.75">
      <c r="A4" s="87" t="s">
        <v>419</v>
      </c>
      <c r="F4" s="306" t="s">
        <v>420</v>
      </c>
      <c r="G4" s="306"/>
      <c r="H4" s="306"/>
      <c r="I4" s="306"/>
      <c r="J4" s="306"/>
    </row>
    <row r="5" spans="6:10" ht="15.75">
      <c r="F5" s="306" t="s">
        <v>421</v>
      </c>
      <c r="G5" s="306"/>
      <c r="H5" s="306"/>
      <c r="I5" s="306"/>
      <c r="J5" s="306"/>
    </row>
    <row r="8" spans="4:10" ht="12.75">
      <c r="D8" s="48"/>
      <c r="E8" s="81" t="s">
        <v>149</v>
      </c>
      <c r="I8" s="48"/>
      <c r="J8" s="286" t="s">
        <v>149</v>
      </c>
    </row>
    <row r="9" spans="1:10" ht="60">
      <c r="A9" s="287" t="s">
        <v>17</v>
      </c>
      <c r="B9" s="288" t="s">
        <v>422</v>
      </c>
      <c r="C9" s="288" t="s">
        <v>62</v>
      </c>
      <c r="D9" s="288" t="s">
        <v>63</v>
      </c>
      <c r="E9" s="288" t="s">
        <v>423</v>
      </c>
      <c r="F9" s="287" t="s">
        <v>17</v>
      </c>
      <c r="G9" s="288" t="s">
        <v>422</v>
      </c>
      <c r="H9" s="288" t="s">
        <v>62</v>
      </c>
      <c r="I9" s="288" t="s">
        <v>63</v>
      </c>
      <c r="J9" s="288" t="s">
        <v>423</v>
      </c>
    </row>
    <row r="10" spans="1:10" ht="12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3">
        <v>1</v>
      </c>
      <c r="G10" s="3">
        <v>2</v>
      </c>
      <c r="H10" s="4">
        <v>3</v>
      </c>
      <c r="I10" s="4">
        <v>4</v>
      </c>
      <c r="J10" s="4">
        <v>5</v>
      </c>
    </row>
    <row r="11" spans="1:10" ht="17.25" customHeight="1">
      <c r="A11" s="289" t="s">
        <v>281</v>
      </c>
      <c r="B11" s="165"/>
      <c r="C11" s="138">
        <f>SUM(C12:C25)</f>
        <v>704860897</v>
      </c>
      <c r="D11" s="138">
        <f>SUM(D12:D25)</f>
        <v>690567532.72</v>
      </c>
      <c r="E11" s="290">
        <f>IF(ISERROR(D11/C11)," ",(D11/C11))</f>
        <v>0.9797217233345831</v>
      </c>
      <c r="F11" s="289" t="s">
        <v>281</v>
      </c>
      <c r="G11" s="165"/>
      <c r="H11" s="103">
        <f>SUM(H12:H25)</f>
        <v>704861</v>
      </c>
      <c r="I11" s="103">
        <f>SUM(I12:I25)</f>
        <v>690568</v>
      </c>
      <c r="J11" s="291">
        <f>IF(ISERROR(I11/H11)," ",(I11/H11))</f>
        <v>0.979722243108925</v>
      </c>
    </row>
    <row r="12" spans="1:10" ht="16.5" customHeight="1">
      <c r="A12" s="203" t="s">
        <v>424</v>
      </c>
      <c r="B12" s="292">
        <v>1</v>
      </c>
      <c r="C12" s="293">
        <v>82274402</v>
      </c>
      <c r="D12" s="293">
        <f>66982083+121481+36872.13+537487</f>
        <v>67677923.13</v>
      </c>
      <c r="E12" s="294">
        <f aca="true" t="shared" si="0" ref="E12:E25">IF(ISERROR(D12/C12)," ",(D12/C12))</f>
        <v>0.8225878460958002</v>
      </c>
      <c r="F12" s="163" t="s">
        <v>424</v>
      </c>
      <c r="G12" s="295">
        <v>1</v>
      </c>
      <c r="H12" s="23">
        <f>ROUND(C12/1000,)</f>
        <v>82274</v>
      </c>
      <c r="I12" s="23">
        <f>ROUND(D12/1000,)</f>
        <v>67678</v>
      </c>
      <c r="J12" s="294">
        <f aca="true" t="shared" si="1" ref="J12:J25">IF(ISERROR(I12/H12)," ",(I12/H12))</f>
        <v>0.8225927996693974</v>
      </c>
    </row>
    <row r="13" spans="1:10" ht="18.75" customHeight="1">
      <c r="A13" s="65" t="s">
        <v>425</v>
      </c>
      <c r="B13" s="292">
        <v>2</v>
      </c>
      <c r="C13" s="293">
        <v>32978317</v>
      </c>
      <c r="D13" s="293">
        <v>27006542</v>
      </c>
      <c r="E13" s="294">
        <f t="shared" si="0"/>
        <v>0.818918139455085</v>
      </c>
      <c r="F13" s="64" t="s">
        <v>425</v>
      </c>
      <c r="G13" s="295">
        <v>2</v>
      </c>
      <c r="H13" s="23">
        <f aca="true" t="shared" si="2" ref="H13:H23">ROUND(C13/1000,)</f>
        <v>32978</v>
      </c>
      <c r="I13" s="23">
        <f>ROUND(D13/1000,0)</f>
        <v>27007</v>
      </c>
      <c r="J13" s="294">
        <f t="shared" si="1"/>
        <v>0.818939899326824</v>
      </c>
    </row>
    <row r="14" spans="1:10" ht="17.25" customHeight="1">
      <c r="A14" s="65" t="s">
        <v>426</v>
      </c>
      <c r="B14" s="292">
        <v>3</v>
      </c>
      <c r="C14" s="293">
        <v>111364412</v>
      </c>
      <c r="D14" s="293">
        <v>97386326</v>
      </c>
      <c r="E14" s="294">
        <f t="shared" si="0"/>
        <v>0.8744833672717636</v>
      </c>
      <c r="F14" s="64" t="s">
        <v>426</v>
      </c>
      <c r="G14" s="295">
        <v>3</v>
      </c>
      <c r="H14" s="23">
        <f t="shared" si="2"/>
        <v>111364</v>
      </c>
      <c r="I14" s="23">
        <f>ROUND(D14/1000,0)</f>
        <v>97386</v>
      </c>
      <c r="J14" s="294">
        <f t="shared" si="1"/>
        <v>0.8744836751553464</v>
      </c>
    </row>
    <row r="15" spans="1:10" ht="18" customHeight="1">
      <c r="A15" s="65" t="s">
        <v>427</v>
      </c>
      <c r="B15" s="292">
        <v>4</v>
      </c>
      <c r="C15" s="293">
        <v>80295401</v>
      </c>
      <c r="D15" s="293">
        <f>70056529+24896.12</f>
        <v>70081425.12</v>
      </c>
      <c r="E15" s="294">
        <f t="shared" si="0"/>
        <v>0.8727950075247772</v>
      </c>
      <c r="F15" s="64" t="s">
        <v>427</v>
      </c>
      <c r="G15" s="295">
        <v>4</v>
      </c>
      <c r="H15" s="23">
        <f t="shared" si="2"/>
        <v>80295</v>
      </c>
      <c r="I15" s="23">
        <f aca="true" t="shared" si="3" ref="I15:I23">ROUND(D15/1000,0)</f>
        <v>70081</v>
      </c>
      <c r="J15" s="294">
        <f t="shared" si="1"/>
        <v>0.8727940718600162</v>
      </c>
    </row>
    <row r="16" spans="1:10" ht="18" customHeight="1">
      <c r="A16" s="65" t="s">
        <v>428</v>
      </c>
      <c r="B16" s="292">
        <v>5</v>
      </c>
      <c r="C16" s="293">
        <v>70103882</v>
      </c>
      <c r="D16" s="293">
        <f>64126072+26139</f>
        <v>64152211</v>
      </c>
      <c r="E16" s="294">
        <f t="shared" si="0"/>
        <v>0.9151021194518159</v>
      </c>
      <c r="F16" s="64" t="s">
        <v>428</v>
      </c>
      <c r="G16" s="295">
        <v>5</v>
      </c>
      <c r="H16" s="23">
        <f t="shared" si="2"/>
        <v>70104</v>
      </c>
      <c r="I16" s="23">
        <f t="shared" si="3"/>
        <v>64152</v>
      </c>
      <c r="J16" s="294">
        <f t="shared" si="1"/>
        <v>0.9150975693255734</v>
      </c>
    </row>
    <row r="17" spans="1:10" ht="20.25" customHeight="1">
      <c r="A17" s="65" t="s">
        <v>429</v>
      </c>
      <c r="B17" s="292">
        <v>6</v>
      </c>
      <c r="C17" s="293">
        <v>82973073</v>
      </c>
      <c r="D17" s="293">
        <v>75466509</v>
      </c>
      <c r="E17" s="294">
        <f t="shared" si="0"/>
        <v>0.9095301194882827</v>
      </c>
      <c r="F17" s="64" t="s">
        <v>429</v>
      </c>
      <c r="G17" s="295">
        <v>6</v>
      </c>
      <c r="H17" s="23">
        <f t="shared" si="2"/>
        <v>82973</v>
      </c>
      <c r="I17" s="23">
        <f t="shared" si="3"/>
        <v>75467</v>
      </c>
      <c r="J17" s="294">
        <f t="shared" si="1"/>
        <v>0.9095368372844178</v>
      </c>
    </row>
    <row r="18" spans="1:10" ht="19.5" customHeight="1">
      <c r="A18" s="66" t="s">
        <v>430</v>
      </c>
      <c r="B18" s="292">
        <v>7</v>
      </c>
      <c r="C18" s="293">
        <v>4289215</v>
      </c>
      <c r="D18" s="293">
        <v>3706126</v>
      </c>
      <c r="E18" s="294">
        <f t="shared" si="0"/>
        <v>0.8640569428205395</v>
      </c>
      <c r="F18" s="115" t="s">
        <v>430</v>
      </c>
      <c r="G18" s="295">
        <v>7</v>
      </c>
      <c r="H18" s="23">
        <f t="shared" si="2"/>
        <v>4289</v>
      </c>
      <c r="I18" s="23">
        <f t="shared" si="3"/>
        <v>3706</v>
      </c>
      <c r="J18" s="294">
        <f t="shared" si="1"/>
        <v>0.8640708789927722</v>
      </c>
    </row>
    <row r="19" spans="1:10" ht="18.75" customHeight="1">
      <c r="A19" s="65" t="s">
        <v>431</v>
      </c>
      <c r="B19" s="292">
        <v>8</v>
      </c>
      <c r="C19" s="293">
        <v>21074617</v>
      </c>
      <c r="D19" s="293">
        <v>18718346</v>
      </c>
      <c r="E19" s="294">
        <f t="shared" si="0"/>
        <v>0.8881938874618694</v>
      </c>
      <c r="F19" s="64" t="s">
        <v>431</v>
      </c>
      <c r="G19" s="295">
        <v>8</v>
      </c>
      <c r="H19" s="23">
        <f t="shared" si="2"/>
        <v>21075</v>
      </c>
      <c r="I19" s="23">
        <f>ROUND(D19/1000,0)</f>
        <v>18718</v>
      </c>
      <c r="J19" s="294">
        <f t="shared" si="1"/>
        <v>0.8881613285883748</v>
      </c>
    </row>
    <row r="20" spans="1:10" ht="19.5" customHeight="1">
      <c r="A20" s="65" t="s">
        <v>432</v>
      </c>
      <c r="B20" s="292">
        <v>9</v>
      </c>
      <c r="C20" s="293">
        <v>169047</v>
      </c>
      <c r="D20" s="293">
        <v>154455</v>
      </c>
      <c r="E20" s="294">
        <f t="shared" si="0"/>
        <v>0.9136808106621236</v>
      </c>
      <c r="F20" s="64" t="s">
        <v>432</v>
      </c>
      <c r="G20" s="295">
        <v>9</v>
      </c>
      <c r="H20" s="23">
        <f t="shared" si="2"/>
        <v>169</v>
      </c>
      <c r="I20" s="23">
        <f t="shared" si="3"/>
        <v>154</v>
      </c>
      <c r="J20" s="294">
        <f t="shared" si="1"/>
        <v>0.9112426035502958</v>
      </c>
    </row>
    <row r="21" spans="1:10" ht="19.5" customHeight="1">
      <c r="A21" s="66" t="s">
        <v>433</v>
      </c>
      <c r="B21" s="292">
        <v>10</v>
      </c>
      <c r="C21" s="293">
        <v>56215837</v>
      </c>
      <c r="D21" s="293">
        <v>50347102</v>
      </c>
      <c r="E21" s="294">
        <f t="shared" si="0"/>
        <v>0.8956035289486128</v>
      </c>
      <c r="F21" s="115" t="s">
        <v>433</v>
      </c>
      <c r="G21" s="295">
        <v>10</v>
      </c>
      <c r="H21" s="23">
        <f t="shared" si="2"/>
        <v>56216</v>
      </c>
      <c r="I21" s="23">
        <f t="shared" si="3"/>
        <v>50347</v>
      </c>
      <c r="J21" s="294">
        <f t="shared" si="1"/>
        <v>0.8955991176889142</v>
      </c>
    </row>
    <row r="22" spans="1:10" ht="25.5" customHeight="1">
      <c r="A22" s="66" t="s">
        <v>434</v>
      </c>
      <c r="B22" s="292">
        <v>11</v>
      </c>
      <c r="C22" s="293">
        <v>856073</v>
      </c>
      <c r="D22" s="293">
        <v>633351</v>
      </c>
      <c r="E22" s="294">
        <f t="shared" si="0"/>
        <v>0.7398329348081297</v>
      </c>
      <c r="F22" s="115" t="s">
        <v>434</v>
      </c>
      <c r="G22" s="295">
        <v>11</v>
      </c>
      <c r="H22" s="23">
        <f t="shared" si="2"/>
        <v>856</v>
      </c>
      <c r="I22" s="23">
        <f t="shared" si="3"/>
        <v>633</v>
      </c>
      <c r="J22" s="294">
        <f t="shared" si="1"/>
        <v>0.7394859813084113</v>
      </c>
    </row>
    <row r="23" spans="1:10" ht="19.5" customHeight="1">
      <c r="A23" s="65" t="s">
        <v>435</v>
      </c>
      <c r="B23" s="292">
        <v>12</v>
      </c>
      <c r="C23" s="293">
        <v>8096296</v>
      </c>
      <c r="D23" s="293">
        <v>7316192</v>
      </c>
      <c r="E23" s="294">
        <f t="shared" si="0"/>
        <v>0.9036468034271474</v>
      </c>
      <c r="F23" s="64" t="s">
        <v>435</v>
      </c>
      <c r="G23" s="295">
        <v>12</v>
      </c>
      <c r="H23" s="23">
        <f t="shared" si="2"/>
        <v>8096</v>
      </c>
      <c r="I23" s="23">
        <f t="shared" si="3"/>
        <v>7316</v>
      </c>
      <c r="J23" s="294">
        <f t="shared" si="1"/>
        <v>0.9036561264822134</v>
      </c>
    </row>
    <row r="24" spans="1:10" ht="19.5" customHeight="1">
      <c r="A24" s="65" t="s">
        <v>436</v>
      </c>
      <c r="B24" s="292">
        <v>13</v>
      </c>
      <c r="C24" s="293">
        <v>20397624</v>
      </c>
      <c r="D24" s="293">
        <f>18003557+15256.5+29323.97</f>
        <v>18048137.47</v>
      </c>
      <c r="E24" s="294">
        <f t="shared" si="0"/>
        <v>0.8848156760807042</v>
      </c>
      <c r="F24" s="64" t="s">
        <v>436</v>
      </c>
      <c r="G24" s="295">
        <v>13</v>
      </c>
      <c r="H24" s="23">
        <f>ROUND(C24/1000,)+1</f>
        <v>20399</v>
      </c>
      <c r="I24" s="23">
        <f>ROUND(D24/1000,0)+1</f>
        <v>18049</v>
      </c>
      <c r="J24" s="294">
        <f t="shared" si="1"/>
        <v>0.884798274425217</v>
      </c>
    </row>
    <row r="25" spans="1:10" ht="19.5" customHeight="1">
      <c r="A25" s="66" t="s">
        <v>437</v>
      </c>
      <c r="B25" s="292">
        <v>14</v>
      </c>
      <c r="C25" s="293">
        <v>133772701</v>
      </c>
      <c r="D25" s="293">
        <f>120915231+68957656</f>
        <v>189872887</v>
      </c>
      <c r="E25" s="294">
        <f t="shared" si="0"/>
        <v>1.4193694646264188</v>
      </c>
      <c r="F25" s="115" t="s">
        <v>438</v>
      </c>
      <c r="G25" s="295">
        <v>14</v>
      </c>
      <c r="H25" s="23">
        <f>ROUND(C25/1000,)</f>
        <v>133773</v>
      </c>
      <c r="I25" s="23">
        <f>ROUND(D25/1000,0)+1</f>
        <v>189874</v>
      </c>
      <c r="J25" s="294">
        <f t="shared" si="1"/>
        <v>1.419374612216217</v>
      </c>
    </row>
    <row r="26" spans="2:10" ht="12.75">
      <c r="B26" s="252"/>
      <c r="C26" s="34"/>
      <c r="D26" s="34"/>
      <c r="E26" s="129"/>
      <c r="G26" s="252"/>
      <c r="H26" s="34"/>
      <c r="I26" s="34"/>
      <c r="J26" s="129"/>
    </row>
    <row r="27" spans="2:10" ht="12.75">
      <c r="B27" s="252"/>
      <c r="C27" s="34"/>
      <c r="D27" s="34"/>
      <c r="E27" s="129"/>
      <c r="G27" s="252"/>
      <c r="H27" s="34"/>
      <c r="I27" s="34"/>
      <c r="J27" s="129"/>
    </row>
    <row r="28" spans="1:10" ht="14.25">
      <c r="A28" s="91"/>
      <c r="B28" s="296"/>
      <c r="C28" s="34"/>
      <c r="D28" s="34"/>
      <c r="E28" s="129"/>
      <c r="F28" s="91"/>
      <c r="G28" s="296"/>
      <c r="H28" s="34"/>
      <c r="I28" s="34"/>
      <c r="J28" s="129"/>
    </row>
    <row r="29" spans="1:10" ht="14.25">
      <c r="A29" s="91"/>
      <c r="B29" s="296"/>
      <c r="C29" s="34"/>
      <c r="D29" s="34"/>
      <c r="E29" s="129"/>
      <c r="F29" s="2" t="s">
        <v>439</v>
      </c>
      <c r="G29" s="296"/>
      <c r="H29" s="34"/>
      <c r="I29" s="34"/>
      <c r="J29" s="129"/>
    </row>
    <row r="30" spans="1:10" ht="14.25">
      <c r="A30" s="91"/>
      <c r="B30" s="296"/>
      <c r="C30" s="34"/>
      <c r="D30" s="34"/>
      <c r="E30" s="129"/>
      <c r="F30" s="91"/>
      <c r="G30" s="296"/>
      <c r="H30" s="34"/>
      <c r="I30" s="34"/>
      <c r="J30" s="129"/>
    </row>
    <row r="31" spans="1:10" ht="14.25">
      <c r="A31" s="91"/>
      <c r="B31" s="296"/>
      <c r="C31" s="34"/>
      <c r="D31" s="34"/>
      <c r="E31" s="129"/>
      <c r="F31" s="91"/>
      <c r="G31" s="296"/>
      <c r="H31" s="34"/>
      <c r="I31" s="34"/>
      <c r="J31" s="129"/>
    </row>
    <row r="32" spans="1:10" ht="14.25">
      <c r="A32" s="91"/>
      <c r="B32" s="296"/>
      <c r="C32" s="34"/>
      <c r="D32" s="34"/>
      <c r="E32" s="129"/>
      <c r="F32" s="91"/>
      <c r="G32" s="296"/>
      <c r="H32" s="34"/>
      <c r="I32" s="34"/>
      <c r="J32" s="129"/>
    </row>
    <row r="33" spans="1:10" ht="14.25">
      <c r="A33" s="91"/>
      <c r="B33" s="296"/>
      <c r="C33" s="34"/>
      <c r="D33" s="34"/>
      <c r="E33" s="129"/>
      <c r="F33" s="91"/>
      <c r="G33" s="296"/>
      <c r="H33" s="34"/>
      <c r="I33" s="34"/>
      <c r="J33" s="129"/>
    </row>
    <row r="34" spans="1:10" ht="14.25">
      <c r="A34" s="91"/>
      <c r="B34" s="296"/>
      <c r="C34" s="34"/>
      <c r="D34" s="34"/>
      <c r="E34" s="129"/>
      <c r="F34" s="91"/>
      <c r="G34" s="296"/>
      <c r="H34" s="34"/>
      <c r="I34" s="34"/>
      <c r="J34" s="129"/>
    </row>
    <row r="35" spans="1:10" ht="14.25">
      <c r="A35" s="91"/>
      <c r="B35" s="296"/>
      <c r="C35" s="34"/>
      <c r="D35" s="34"/>
      <c r="E35" s="129"/>
      <c r="F35" s="91"/>
      <c r="G35" s="296"/>
      <c r="H35" s="34"/>
      <c r="I35" s="34"/>
      <c r="J35" s="129"/>
    </row>
    <row r="36" spans="1:10" ht="12">
      <c r="A36" s="2" t="s">
        <v>440</v>
      </c>
      <c r="B36" s="252"/>
      <c r="C36" s="131" t="s">
        <v>441</v>
      </c>
      <c r="D36" s="131"/>
      <c r="E36" s="129"/>
      <c r="F36" s="2" t="s">
        <v>442</v>
      </c>
      <c r="G36" s="252"/>
      <c r="H36" s="131" t="s">
        <v>443</v>
      </c>
      <c r="I36" s="131"/>
      <c r="J36" s="129"/>
    </row>
    <row r="37" spans="2:10" ht="12">
      <c r="B37" s="252"/>
      <c r="C37" s="131"/>
      <c r="D37" s="131"/>
      <c r="E37" s="129"/>
      <c r="G37" s="252"/>
      <c r="H37" s="131"/>
      <c r="I37" s="131"/>
      <c r="J37" s="129"/>
    </row>
    <row r="38" spans="3:10" ht="12">
      <c r="C38" s="131"/>
      <c r="D38" s="131"/>
      <c r="E38" s="297"/>
      <c r="H38" s="131"/>
      <c r="I38" s="131"/>
      <c r="J38" s="297"/>
    </row>
    <row r="39" spans="3:10" ht="12">
      <c r="C39" s="131"/>
      <c r="D39" s="131"/>
      <c r="E39" s="297"/>
      <c r="H39" s="131"/>
      <c r="I39" s="131"/>
      <c r="J39" s="297"/>
    </row>
    <row r="40" spans="1:10" ht="12.75">
      <c r="A40" s="2" t="s">
        <v>444</v>
      </c>
      <c r="C40" s="34"/>
      <c r="D40" s="34"/>
      <c r="E40" s="129"/>
      <c r="H40" s="34"/>
      <c r="I40" s="34"/>
      <c r="J40" s="129"/>
    </row>
    <row r="41" spans="1:10" ht="14.25">
      <c r="A41" s="2" t="s">
        <v>401</v>
      </c>
      <c r="B41" s="91"/>
      <c r="C41" s="34"/>
      <c r="D41" s="34"/>
      <c r="E41" s="129"/>
      <c r="G41" s="91"/>
      <c r="H41" s="34"/>
      <c r="I41" s="34"/>
      <c r="J41" s="129"/>
    </row>
    <row r="42" spans="1:10" ht="14.25">
      <c r="A42" s="91"/>
      <c r="B42" s="91"/>
      <c r="C42" s="34"/>
      <c r="D42" s="34"/>
      <c r="E42" s="129"/>
      <c r="F42" s="91"/>
      <c r="G42" s="91"/>
      <c r="H42" s="34"/>
      <c r="I42" s="34"/>
      <c r="J42" s="129"/>
    </row>
    <row r="43" spans="1:10" ht="14.25">
      <c r="A43" s="91"/>
      <c r="B43" s="91"/>
      <c r="C43" s="34"/>
      <c r="D43" s="34"/>
      <c r="E43" s="129"/>
      <c r="F43" s="2" t="s">
        <v>444</v>
      </c>
      <c r="G43" s="91"/>
      <c r="H43" s="34"/>
      <c r="I43" s="34"/>
      <c r="J43" s="129"/>
    </row>
    <row r="44" spans="1:10" ht="14.25">
      <c r="A44" s="91"/>
      <c r="B44" s="91"/>
      <c r="C44" s="34"/>
      <c r="D44" s="34"/>
      <c r="E44" s="129"/>
      <c r="F44" s="2" t="s">
        <v>401</v>
      </c>
      <c r="G44" s="91"/>
      <c r="H44" s="34"/>
      <c r="I44" s="34"/>
      <c r="J44" s="129"/>
    </row>
    <row r="45" spans="1:10" ht="14.25">
      <c r="A45" s="91"/>
      <c r="B45" s="91"/>
      <c r="C45" s="34"/>
      <c r="D45" s="34"/>
      <c r="E45" s="129"/>
      <c r="G45" s="91"/>
      <c r="H45" s="34"/>
      <c r="I45" s="34"/>
      <c r="J45" s="129"/>
    </row>
    <row r="46" spans="1:10" ht="14.25">
      <c r="A46" s="91"/>
      <c r="B46" s="91"/>
      <c r="C46" s="34"/>
      <c r="D46" s="34"/>
      <c r="E46" s="129"/>
      <c r="G46" s="91"/>
      <c r="H46" s="34"/>
      <c r="I46" s="34"/>
      <c r="J46" s="129"/>
    </row>
    <row r="47" spans="1:10" ht="14.25">
      <c r="A47" s="91"/>
      <c r="B47" s="91"/>
      <c r="C47" s="34"/>
      <c r="D47" s="34"/>
      <c r="E47" s="129"/>
      <c r="G47" s="91"/>
      <c r="H47" s="34"/>
      <c r="I47" s="34"/>
      <c r="J47" s="129"/>
    </row>
    <row r="48" spans="3:10" ht="12.75">
      <c r="C48" s="34"/>
      <c r="D48" s="34"/>
      <c r="E48" s="129"/>
      <c r="H48" s="34"/>
      <c r="I48" s="34"/>
      <c r="J48" s="129"/>
    </row>
    <row r="49" spans="3:10" ht="12.75">
      <c r="C49" s="34"/>
      <c r="D49" s="34"/>
      <c r="E49" s="129"/>
      <c r="H49" s="34"/>
      <c r="I49" s="34"/>
      <c r="J49" s="129"/>
    </row>
    <row r="50" spans="3:10" ht="12.75">
      <c r="C50" s="34"/>
      <c r="D50" s="34"/>
      <c r="E50" s="129"/>
      <c r="H50" s="34"/>
      <c r="I50" s="34"/>
      <c r="J50" s="129"/>
    </row>
    <row r="51" spans="3:10" ht="12.75">
      <c r="C51" s="131"/>
      <c r="D51" s="34"/>
      <c r="E51" s="129"/>
      <c r="H51" s="131"/>
      <c r="I51" s="34"/>
      <c r="J51" s="129"/>
    </row>
    <row r="52" spans="2:9" ht="12.75">
      <c r="B52" s="34"/>
      <c r="C52" s="34"/>
      <c r="D52" s="129"/>
      <c r="G52" s="34"/>
      <c r="H52" s="34"/>
      <c r="I52" s="129"/>
    </row>
    <row r="53" spans="2:9" ht="12.75">
      <c r="B53" s="34"/>
      <c r="C53" s="34"/>
      <c r="D53" s="129"/>
      <c r="G53" s="34"/>
      <c r="H53" s="34"/>
      <c r="I53" s="129"/>
    </row>
    <row r="54" spans="2:9" ht="12.75">
      <c r="B54" s="34"/>
      <c r="C54" s="34"/>
      <c r="D54" s="129"/>
      <c r="G54" s="34"/>
      <c r="H54" s="34"/>
      <c r="I54" s="129"/>
    </row>
    <row r="55" spans="2:9" ht="12.75">
      <c r="B55" s="131"/>
      <c r="C55" s="34"/>
      <c r="D55" s="129"/>
      <c r="G55" s="131"/>
      <c r="H55" s="34"/>
      <c r="I55" s="129"/>
    </row>
    <row r="56" spans="2:9" ht="12.75">
      <c r="B56" s="131"/>
      <c r="C56" s="34"/>
      <c r="D56" s="129"/>
      <c r="G56" s="131"/>
      <c r="H56" s="34"/>
      <c r="I56" s="129"/>
    </row>
    <row r="57" spans="2:9" ht="12.75">
      <c r="B57" s="131"/>
      <c r="C57" s="34"/>
      <c r="D57" s="129"/>
      <c r="G57" s="131"/>
      <c r="H57" s="34"/>
      <c r="I57" s="129"/>
    </row>
    <row r="58" spans="2:9" ht="12.75">
      <c r="B58" s="131"/>
      <c r="C58" s="48"/>
      <c r="D58" s="129"/>
      <c r="G58" s="131"/>
      <c r="H58" s="48"/>
      <c r="I58" s="129"/>
    </row>
    <row r="59" spans="2:9" ht="12.75">
      <c r="B59" s="131"/>
      <c r="C59" s="48"/>
      <c r="D59" s="129"/>
      <c r="G59" s="131"/>
      <c r="H59" s="48"/>
      <c r="I59" s="129"/>
    </row>
    <row r="60" spans="2:9" ht="12.75">
      <c r="B60" s="131"/>
      <c r="C60" s="48"/>
      <c r="D60" s="129"/>
      <c r="G60" s="131"/>
      <c r="H60" s="48"/>
      <c r="I60" s="129"/>
    </row>
    <row r="61" spans="2:9" ht="12.75">
      <c r="B61" s="131"/>
      <c r="C61" s="48"/>
      <c r="D61" s="129"/>
      <c r="G61" s="131"/>
      <c r="H61" s="48"/>
      <c r="I61" s="129"/>
    </row>
    <row r="62" spans="2:9" ht="12.75">
      <c r="B62" s="131"/>
      <c r="C62" s="48"/>
      <c r="D62" s="129"/>
      <c r="G62" s="131"/>
      <c r="H62" s="48"/>
      <c r="I62" s="129"/>
    </row>
    <row r="63" spans="2:9" ht="12.75">
      <c r="B63" s="131"/>
      <c r="C63" s="48"/>
      <c r="D63" s="129"/>
      <c r="G63" s="131"/>
      <c r="H63" s="48"/>
      <c r="I63" s="129"/>
    </row>
    <row r="64" spans="2:9" ht="12.75">
      <c r="B64" s="131"/>
      <c r="C64" s="48"/>
      <c r="D64" s="129"/>
      <c r="G64" s="131"/>
      <c r="H64" s="48"/>
      <c r="I64" s="129"/>
    </row>
    <row r="65" spans="2:9" ht="12.75">
      <c r="B65" s="131"/>
      <c r="C65" s="48"/>
      <c r="D65" s="129"/>
      <c r="G65" s="131"/>
      <c r="H65" s="48"/>
      <c r="I65" s="129"/>
    </row>
    <row r="66" spans="2:9" ht="12.75">
      <c r="B66" s="131"/>
      <c r="C66" s="48"/>
      <c r="D66" s="129"/>
      <c r="G66" s="131"/>
      <c r="H66" s="48"/>
      <c r="I66" s="129"/>
    </row>
    <row r="67" spans="2:9" ht="12.75">
      <c r="B67" s="131"/>
      <c r="C67" s="48"/>
      <c r="D67" s="129"/>
      <c r="G67" s="131"/>
      <c r="H67" s="48"/>
      <c r="I67" s="129"/>
    </row>
    <row r="68" spans="2:9" ht="12.75">
      <c r="B68" s="131"/>
      <c r="C68" s="48"/>
      <c r="D68" s="129"/>
      <c r="G68" s="131"/>
      <c r="H68" s="48"/>
      <c r="I68" s="129"/>
    </row>
    <row r="69" spans="2:9" ht="12.75">
      <c r="B69" s="131"/>
      <c r="C69" s="48"/>
      <c r="D69" s="129"/>
      <c r="G69" s="131"/>
      <c r="H69" s="48"/>
      <c r="I69" s="129"/>
    </row>
    <row r="70" spans="2:9" ht="12.75">
      <c r="B70" s="131"/>
      <c r="C70" s="48"/>
      <c r="D70" s="129"/>
      <c r="G70" s="131"/>
      <c r="H70" s="48"/>
      <c r="I70" s="129"/>
    </row>
    <row r="71" spans="2:9" ht="12.75">
      <c r="B71" s="131"/>
      <c r="C71" s="48"/>
      <c r="D71" s="129"/>
      <c r="G71" s="131"/>
      <c r="H71" s="48"/>
      <c r="I71" s="129"/>
    </row>
    <row r="72" spans="2:9" ht="12.75">
      <c r="B72" s="131"/>
      <c r="C72" s="48"/>
      <c r="D72" s="129"/>
      <c r="G72" s="131"/>
      <c r="H72" s="48"/>
      <c r="I72" s="129"/>
    </row>
    <row r="73" spans="2:9" ht="12.75">
      <c r="B73" s="131"/>
      <c r="C73" s="48"/>
      <c r="D73" s="129"/>
      <c r="G73" s="131"/>
      <c r="H73" s="48"/>
      <c r="I73" s="129"/>
    </row>
    <row r="74" spans="2:9" ht="12.75">
      <c r="B74" s="131"/>
      <c r="C74" s="48"/>
      <c r="D74" s="129"/>
      <c r="G74" s="131"/>
      <c r="H74" s="48"/>
      <c r="I74" s="129"/>
    </row>
    <row r="75" spans="2:9" ht="12.75">
      <c r="B75" s="131"/>
      <c r="C75" s="48"/>
      <c r="D75" s="129"/>
      <c r="G75" s="131"/>
      <c r="H75" s="48"/>
      <c r="I75" s="129"/>
    </row>
    <row r="76" spans="2:9" ht="12.75">
      <c r="B76" s="131"/>
      <c r="C76" s="48"/>
      <c r="D76" s="129"/>
      <c r="G76" s="131"/>
      <c r="H76" s="48"/>
      <c r="I76" s="129"/>
    </row>
    <row r="77" spans="2:9" ht="12.75">
      <c r="B77" s="131"/>
      <c r="C77" s="48"/>
      <c r="D77" s="129"/>
      <c r="G77" s="131"/>
      <c r="H77" s="48"/>
      <c r="I77" s="129"/>
    </row>
    <row r="78" spans="2:9" ht="12">
      <c r="B78" s="131"/>
      <c r="D78" s="129"/>
      <c r="G78" s="131"/>
      <c r="I78" s="129"/>
    </row>
    <row r="79" spans="2:9" ht="12">
      <c r="B79" s="131"/>
      <c r="D79" s="129"/>
      <c r="G79" s="131"/>
      <c r="I79" s="129"/>
    </row>
    <row r="80" spans="2:9" ht="12">
      <c r="B80" s="131"/>
      <c r="D80" s="129"/>
      <c r="G80" s="131"/>
      <c r="I80" s="129"/>
    </row>
    <row r="81" spans="2:9" ht="12">
      <c r="B81" s="131"/>
      <c r="D81" s="129"/>
      <c r="G81" s="131"/>
      <c r="I81" s="129"/>
    </row>
    <row r="82" spans="2:9" ht="12">
      <c r="B82" s="131"/>
      <c r="D82" s="129"/>
      <c r="G82" s="131"/>
      <c r="I82" s="129"/>
    </row>
    <row r="83" spans="2:9" ht="12">
      <c r="B83" s="131"/>
      <c r="D83" s="129"/>
      <c r="G83" s="131"/>
      <c r="I83" s="129"/>
    </row>
    <row r="84" spans="2:9" ht="12">
      <c r="B84" s="131"/>
      <c r="D84" s="129"/>
      <c r="G84" s="131"/>
      <c r="I84" s="129"/>
    </row>
    <row r="85" spans="2:9" ht="12">
      <c r="B85" s="131"/>
      <c r="D85" s="129"/>
      <c r="G85" s="131"/>
      <c r="I85" s="129"/>
    </row>
    <row r="86" spans="2:9" ht="12">
      <c r="B86" s="131"/>
      <c r="D86" s="129"/>
      <c r="G86" s="131"/>
      <c r="I86" s="129"/>
    </row>
    <row r="87" spans="2:9" ht="12">
      <c r="B87" s="131"/>
      <c r="D87" s="129"/>
      <c r="G87" s="131"/>
      <c r="I87" s="129"/>
    </row>
    <row r="88" spans="2:9" ht="12">
      <c r="B88" s="131"/>
      <c r="D88" s="129"/>
      <c r="G88" s="131"/>
      <c r="I88" s="129"/>
    </row>
    <row r="89" spans="2:9" ht="12">
      <c r="B89" s="131"/>
      <c r="D89" s="129"/>
      <c r="G89" s="131"/>
      <c r="I89" s="129"/>
    </row>
    <row r="90" spans="2:9" ht="12">
      <c r="B90" s="131"/>
      <c r="D90" s="129"/>
      <c r="G90" s="131"/>
      <c r="I90" s="129"/>
    </row>
    <row r="91" spans="2:9" ht="12">
      <c r="B91" s="131"/>
      <c r="D91" s="129"/>
      <c r="G91" s="131"/>
      <c r="I91" s="129"/>
    </row>
    <row r="92" spans="2:9" ht="12">
      <c r="B92" s="131"/>
      <c r="D92" s="129"/>
      <c r="G92" s="131"/>
      <c r="I92" s="129"/>
    </row>
    <row r="93" spans="2:9" ht="12">
      <c r="B93" s="131"/>
      <c r="D93" s="129"/>
      <c r="G93" s="131"/>
      <c r="I93" s="129"/>
    </row>
    <row r="94" spans="2:9" ht="12">
      <c r="B94" s="131"/>
      <c r="D94" s="129"/>
      <c r="G94" s="131"/>
      <c r="I94" s="129"/>
    </row>
    <row r="95" spans="2:9" ht="12">
      <c r="B95" s="131"/>
      <c r="D95" s="129"/>
      <c r="G95" s="131"/>
      <c r="I95" s="129"/>
    </row>
    <row r="96" spans="2:9" ht="12">
      <c r="B96" s="131"/>
      <c r="D96" s="129"/>
      <c r="G96" s="131"/>
      <c r="I96" s="129"/>
    </row>
    <row r="97" spans="2:9" ht="12">
      <c r="B97" s="131"/>
      <c r="D97" s="129"/>
      <c r="G97" s="131"/>
      <c r="I97" s="129"/>
    </row>
    <row r="98" spans="2:9" ht="12">
      <c r="B98" s="131"/>
      <c r="D98" s="129"/>
      <c r="G98" s="131"/>
      <c r="I98" s="129"/>
    </row>
    <row r="99" spans="2:9" ht="12">
      <c r="B99" s="131"/>
      <c r="D99" s="129"/>
      <c r="G99" s="131"/>
      <c r="I99" s="129"/>
    </row>
    <row r="100" spans="2:9" ht="12">
      <c r="B100" s="131"/>
      <c r="D100" s="129"/>
      <c r="G100" s="131"/>
      <c r="I100" s="129"/>
    </row>
    <row r="101" spans="2:9" ht="12">
      <c r="B101" s="131"/>
      <c r="D101" s="129"/>
      <c r="G101" s="131"/>
      <c r="I101" s="129"/>
    </row>
    <row r="102" spans="2:9" ht="12">
      <c r="B102" s="131"/>
      <c r="D102" s="129"/>
      <c r="G102" s="131"/>
      <c r="I102" s="129"/>
    </row>
    <row r="103" spans="2:9" ht="12">
      <c r="B103" s="131"/>
      <c r="D103" s="129"/>
      <c r="G103" s="131"/>
      <c r="I103" s="129"/>
    </row>
    <row r="104" spans="2:9" ht="12">
      <c r="B104" s="131"/>
      <c r="D104" s="129"/>
      <c r="G104" s="131"/>
      <c r="I104" s="129"/>
    </row>
    <row r="105" spans="2:7" ht="12">
      <c r="B105" s="131"/>
      <c r="G105" s="131"/>
    </row>
    <row r="106" spans="2:7" ht="12">
      <c r="B106" s="131"/>
      <c r="G106" s="131"/>
    </row>
    <row r="107" spans="2:7" ht="12">
      <c r="B107" s="131"/>
      <c r="G107" s="131"/>
    </row>
    <row r="108" spans="2:7" ht="12">
      <c r="B108" s="131"/>
      <c r="G108" s="131"/>
    </row>
    <row r="109" spans="2:7" ht="12">
      <c r="B109" s="131"/>
      <c r="G109" s="131"/>
    </row>
    <row r="110" spans="2:7" ht="12">
      <c r="B110" s="131"/>
      <c r="G110" s="131"/>
    </row>
    <row r="111" spans="2:7" ht="12">
      <c r="B111" s="131"/>
      <c r="G111" s="131"/>
    </row>
    <row r="112" spans="2:7" ht="12">
      <c r="B112" s="131"/>
      <c r="G112" s="131"/>
    </row>
    <row r="113" spans="2:7" ht="12">
      <c r="B113" s="131"/>
      <c r="G113" s="131"/>
    </row>
  </sheetData>
  <mergeCells count="2">
    <mergeCell ref="F4:J4"/>
    <mergeCell ref="F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IlzeM</cp:lastModifiedBy>
  <dcterms:created xsi:type="dcterms:W3CDTF">1999-11-15T14:31:14Z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