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0" activeTab="1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<sst xmlns="http://schemas.openxmlformats.org/spreadsheetml/2006/main" count="2641" uniqueCount="744">
  <si>
    <t>Valsts kases oficiālais mēneša pārskats par valsts kopbudžeta izpildi                             ( 1999.gada janvāris - aprīlis )</t>
  </si>
  <si>
    <t>Valsts kases oficiālais mēneša pārskats par valsts kopbudžeta izpildi                             ( 1999.gada janvāris - maijs )</t>
  </si>
  <si>
    <t>Valsts kases oficiālais mēneša pārskats par valsts kopbudžeta izpildi                             ( 1999.gada janvāris - jūnijs )</t>
  </si>
  <si>
    <t>Valsts kases oficiālais mēneša pārskats par valsts kopbudžeta izpildi                             ( 1999.gada janvāris - jūlijs )</t>
  </si>
  <si>
    <t>Valsts kases oficiālais mēneša pārskats par valsts kopbudžeta izpildi                             ( 1999.gada janvāris - augusts)</t>
  </si>
  <si>
    <t>Valsts kases oficiālais mēneša pārskats par valsts kopbudžeta izpildi                             ( 1999.gada janvāris - septembris)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</si>
  <si>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</si>
  <si>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</si>
  <si>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</si>
  <si>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</si>
  <si>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</si>
  <si>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Aprīļa  izpilde</t>
  </si>
  <si>
    <t>Maija  izpilde</t>
  </si>
  <si>
    <t>Jūnija  izpilde</t>
  </si>
  <si>
    <t>Jūlija  izpilde</t>
  </si>
  <si>
    <t>Augusta  izpilde</t>
  </si>
  <si>
    <t>Septembra 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</si>
  <si>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</si>
  <si>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</si>
  <si>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</si>
  <si>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</si>
  <si>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</si>
  <si>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</si>
  <si>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</si>
  <si>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</si>
  <si>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</si>
  <si>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</si>
  <si>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</si>
  <si>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</si>
  <si>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</si>
  <si>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</si>
  <si>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</si>
  <si>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</si>
  <si>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</si>
  <si>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</si>
  <si>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</si>
  <si>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</si>
  <si>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</si>
  <si>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</si>
  <si>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</si>
  <si>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</si>
  <si>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</si>
  <si>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</si>
  <si>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</si>
  <si>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</si>
  <si>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</si>
  <si>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</si>
  <si>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</si>
  <si>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</si>
  <si>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</si>
  <si>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</si>
  <si>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</si>
  <si>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                                                                           A.Veiss</t>
  </si>
  <si>
    <t>Valsts kases pārvaldnieks __________________________________ A.Veiss</t>
  </si>
  <si>
    <t>Valsts kases pārvaldnieka p.i __________________________________ V.Lindemanis</t>
  </si>
  <si>
    <t>Valsts kase/Pārskatu departaments</t>
  </si>
  <si>
    <t>1999.gada 17.maijs</t>
  </si>
  <si>
    <t>1999.gada 15.jūnijs</t>
  </si>
  <si>
    <t>1999.gada 15.jūlijs</t>
  </si>
  <si>
    <t>1999.gada 16.augusts</t>
  </si>
  <si>
    <t>1999.gada 15.septembrī.</t>
  </si>
  <si>
    <t>1999.gada 15.oktobrī.</t>
  </si>
  <si>
    <t xml:space="preserve">                                                                 Valsts kases oficiālais mēneša pārskats</t>
  </si>
  <si>
    <t>9.tabula</t>
  </si>
  <si>
    <t xml:space="preserve">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</si>
  <si>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</si>
  <si>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(1999.gada janvāris - septembris)</t>
  </si>
  <si>
    <t>(1999.gada janvāris - septembris)</t>
  </si>
  <si>
    <t>(tūkst.latu)</t>
  </si>
  <si>
    <t>Valdības funkcijas kods</t>
  </si>
  <si>
    <t>Likumā apstiprinātais gada plāns</t>
  </si>
  <si>
    <t>Izpilde no gada sākuma</t>
  </si>
  <si>
    <t>Izpilde % pret gada plānu          (3/2)</t>
  </si>
  <si>
    <t>Izdevumi no ziedojumiem un dāvinājumiem</t>
  </si>
  <si>
    <t>Izdevumi - kopā</t>
  </si>
  <si>
    <t>Vispārējie valdības dienesti</t>
  </si>
  <si>
    <t>Aizsardzība</t>
  </si>
  <si>
    <t>Sabiedriskā kārtība un drošība, tiesību aizsardzība</t>
  </si>
  <si>
    <t>Izglītība       *</t>
  </si>
  <si>
    <t>Izglītība   *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</si>
  <si>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</si>
  <si>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</si>
  <si>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</si>
  <si>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</si>
  <si>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</si>
  <si>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</si>
  <si>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</si>
  <si>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</si>
  <si>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</si>
  <si>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</si>
  <si>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* -  ieskaitot  tīros  aizdevumus</t>
  </si>
  <si>
    <t>Valsts kases pārvaldnieks_________________________________</t>
  </si>
  <si>
    <t>A.Veiss</t>
  </si>
  <si>
    <t>(A.Veiss)</t>
  </si>
  <si>
    <t>Valsts kase /Pārskatu departaments</t>
  </si>
  <si>
    <t>1999.gada 15.oktobris</t>
  </si>
  <si>
    <t xml:space="preserve">                                                                Valsts kases oficiālais mēneša pārskats</t>
  </si>
  <si>
    <t>8.tabula</t>
  </si>
  <si>
    <t xml:space="preserve">                                                     Valsts kases oficiālais mēneša pārskats</t>
  </si>
  <si>
    <t xml:space="preserve">                                        Valsts pamatbudžeta izdevumi pēc valdības funkcijām</t>
  </si>
  <si>
    <t xml:space="preserve">                                                             ( 1999.gada janvāris- septembris)</t>
  </si>
  <si>
    <t xml:space="preserve">                                 Valsts pamatbudžeta izdevumi pēc valdības funkcijām</t>
  </si>
  <si>
    <t xml:space="preserve">                                                   ( 1999.gada janvāris - septembris)</t>
  </si>
  <si>
    <t>Izglītība</t>
  </si>
  <si>
    <t>Pārējie izdevumi, kas nav atspoguļoti pamatgrupās  *</t>
  </si>
  <si>
    <t>* ieskaitot aizdevumus un atmaksas</t>
  </si>
  <si>
    <t>Valsts kases pārvaldnieks__________________________________</t>
  </si>
  <si>
    <t>Valsts kases pārvaldnieks________________________________</t>
  </si>
  <si>
    <t>Valsts kases oficiālais mēneša pārskats</t>
  </si>
  <si>
    <t>7.tabula</t>
  </si>
  <si>
    <t>Valsts speciālā budžeta (dāvinājumi un ziedojumi) ieņēmumi un izdevumi</t>
  </si>
  <si>
    <t xml:space="preserve">                                                       (1999.gada janvāris - septembris)</t>
  </si>
  <si>
    <t>Finansēšanas plāns pārskata periodam</t>
  </si>
  <si>
    <t>Izpilde % pret finansēšanas plānu  (3/2)</t>
  </si>
  <si>
    <t>Finansēšanas plāns pārskata periodam *</t>
  </si>
  <si>
    <t>1.Saņemtie dāvinājumi un ziedojumi - kopā</t>
  </si>
  <si>
    <t xml:space="preserve">   no iekšzemes juridiskajām un fiziskajām personām</t>
  </si>
  <si>
    <t xml:space="preserve">   no ārvalstu juridiskajām un fiziskajām personām</t>
  </si>
  <si>
    <t>2.Izdevumi - kopā (2.1.+2.2.)</t>
  </si>
  <si>
    <t>2.1.Uzturēšanas izdevumi</t>
  </si>
  <si>
    <t>Kārtējie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</si>
  <si>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</si>
  <si>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</si>
  <si>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</si>
  <si>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 xml:space="preserve">     t.sk. preču un pakalpojumu izdevumi</t>
  </si>
  <si>
    <t xml:space="preserve">            pārējie izdevumi</t>
  </si>
  <si>
    <t xml:space="preserve">     aizņēmumu atmaksa</t>
  </si>
  <si>
    <t>Maksājumi par aizņēmumiem un kredītiem</t>
  </si>
  <si>
    <t xml:space="preserve">     procentu nomaksa par iekšējiem aizņēmumiem</t>
  </si>
  <si>
    <t xml:space="preserve">     procentu nomaksa par ārvalstu aizņēmumiem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</si>
  <si>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</si>
  <si>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</si>
  <si>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</si>
  <si>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</si>
  <si>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 dotācijas iestādēm un organizācijām</t>
  </si>
  <si>
    <t xml:space="preserve">     dotācijas iedzīvotājiem</t>
  </si>
  <si>
    <t>2.2.Izdevumi  kapitālieguldījumiem</t>
  </si>
  <si>
    <t>Kapitālie izdevumi</t>
  </si>
  <si>
    <t>Investīcijas</t>
  </si>
  <si>
    <t>Fiskālā bilance (1.-2.)</t>
  </si>
  <si>
    <t>Finansēšana</t>
  </si>
  <si>
    <t>Naudas līdzekļu atlikumu izmaiņas palielinājums (-) vai samazinājums (+)</t>
  </si>
  <si>
    <t>* - nav informācijas</t>
  </si>
  <si>
    <t>Valsts kases pārvaldnieks _______________________________________ (A.Veiss)</t>
  </si>
  <si>
    <t>Valsts kase / Pārskatu departaments</t>
  </si>
  <si>
    <t xml:space="preserve">          Valsts kases oficiālais mēneša pārskats</t>
  </si>
  <si>
    <t>6.tabula</t>
  </si>
  <si>
    <t>pēc ekonomiskās klasifikācijas</t>
  </si>
  <si>
    <t>Izpilde % pret gada plānu      (4/2)</t>
  </si>
  <si>
    <t>Izpilde % pret finansē-šanas plānu pārskata periodam           (4/3)</t>
  </si>
  <si>
    <t>1.Ieņēmumi - kopā</t>
  </si>
  <si>
    <t>Īpašiem mērķiem iezīmēti ieņēmumi</t>
  </si>
  <si>
    <t>Maksas pakalpojumi un citi pašu ieņēmumi</t>
  </si>
  <si>
    <t>2. Izdevumi - kopā (2.1.+2.2.)</t>
  </si>
  <si>
    <t xml:space="preserve">   valsts sociālās apdrošināšanas obligātās iemaksas</t>
  </si>
  <si>
    <t>iemaksas valsts pamatbudžetā</t>
  </si>
  <si>
    <t>izdevumi saskaņā ar likumu "Par valsts un pašvaldību īpašuma privatizācijas fondiem</t>
  </si>
  <si>
    <t xml:space="preserve"> pārējie izdevumi</t>
  </si>
  <si>
    <t xml:space="preserve">    procentu nomaksa par iekšējiem aizņēmumiem</t>
  </si>
  <si>
    <t xml:space="preserve">    procentu nomaksa par ārvalstu aizņēmumiem</t>
  </si>
  <si>
    <t xml:space="preserve">    dotācijas iestādēm un organizācijām</t>
  </si>
  <si>
    <t xml:space="preserve">    t.sk. pamatbudžetam sociālās apdrošināšanas iemaksu administrēšanai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</si>
  <si>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</si>
  <si>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</si>
  <si>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</si>
  <si>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</si>
  <si>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</si>
  <si>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</si>
  <si>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2.2.Izdevumi kapitālieguldījumiem</t>
  </si>
  <si>
    <t>Marta izpilde</t>
  </si>
  <si>
    <t>3.Valsts budžeta tīrie aizdevumi (3.1.-3.2.)</t>
  </si>
  <si>
    <t>3.1.Valsts budžeta aizdevumi</t>
  </si>
  <si>
    <t>3.2.Valsts budžeta aizdevumu atmaksas</t>
  </si>
  <si>
    <t>Fiskālā bilance (1.-2.-3.)</t>
  </si>
  <si>
    <t>Aizņēmums no pamatbudžeta</t>
  </si>
  <si>
    <t>Valsts speciālā budžeta naudas līdzekļu atlikumu izmaiņas palielinājums (-) vai samazinājums (+)</t>
  </si>
  <si>
    <t>5.tabula</t>
  </si>
  <si>
    <t xml:space="preserve"> Valsts kases oficiālais mēneša pārskats</t>
  </si>
  <si>
    <t xml:space="preserve">Valsts speciālā budžeta ieņēmumi un izdevumi pa ministrijām </t>
  </si>
  <si>
    <t>(1999.gada  janvāris - septembris)</t>
  </si>
  <si>
    <t xml:space="preserve"> (tūkst.latu)</t>
  </si>
  <si>
    <t>Izpilde % pret gada plānu 
   (4/2)</t>
  </si>
  <si>
    <t>Finansēšanas plāns</t>
  </si>
  <si>
    <t xml:space="preserve">Ieņēmumi - kopā </t>
  </si>
  <si>
    <t xml:space="preserve">        Uzturēšanas izdevumi</t>
  </si>
  <si>
    <t xml:space="preserve">        Izdevumi kapitālieguldījumiem</t>
  </si>
  <si>
    <t>Valsts budžeta aizdevumi</t>
  </si>
  <si>
    <t>Valsts budžeta aizdevumu atmaksas</t>
  </si>
  <si>
    <t>Fiskālā bilance</t>
  </si>
  <si>
    <t>Ekonomikas ministrija</t>
  </si>
  <si>
    <t>Valsts īpašuma privatizācijas fonds</t>
  </si>
  <si>
    <t>Ieņēmumi</t>
  </si>
  <si>
    <t>Izdevumi</t>
  </si>
  <si>
    <t xml:space="preserve">     t.sk. iemaksas valsts pamatbudžetā</t>
  </si>
  <si>
    <t>Centrālā dzīvojamo māju privatizācijas komisija</t>
  </si>
  <si>
    <t>Finansu ministrija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</si>
  <si>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</si>
  <si>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</si>
  <si>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</si>
  <si>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</si>
  <si>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</si>
  <si>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</si>
  <si>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</si>
  <si>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</si>
  <si>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</si>
  <si>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>Izglītības un zinātnes ministrija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</si>
  <si>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</si>
  <si>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</si>
  <si>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</si>
  <si>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</si>
  <si>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>Zemkopības ministrija</t>
  </si>
  <si>
    <t xml:space="preserve"> Zivju fonds</t>
  </si>
  <si>
    <t xml:space="preserve">   Maksa par rūpnieciskās zvejas tiesību nomu un izmantošanu</t>
  </si>
  <si>
    <t>Meżsaimniecības attīstības fonds</t>
  </si>
  <si>
    <t xml:space="preserve">   Ieņēmumi no meža resursu realizācijas</t>
  </si>
  <si>
    <t xml:space="preserve">   Pārējie maksājumi</t>
  </si>
  <si>
    <t>Satiksmes ministrija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</si>
  <si>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</si>
  <si>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</si>
  <si>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</si>
  <si>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Pārējie maksājumi</t>
  </si>
  <si>
    <t xml:space="preserve">        Izdevumi kapitālieguldļjumiem</t>
  </si>
  <si>
    <t xml:space="preserve"> Dzelzceļa infrastruktūras fonds</t>
  </si>
  <si>
    <t xml:space="preserve">   Maksas pakalpojumi un citi pašu ieņēmumi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</si>
  <si>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</si>
  <si>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</si>
  <si>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</si>
  <si>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</si>
  <si>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Labklājības ministrija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</si>
  <si>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</si>
  <si>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</si>
  <si>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</si>
  <si>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</si>
  <si>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</si>
  <si>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</si>
  <si>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</si>
  <si>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</si>
  <si>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</si>
  <si>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</si>
  <si>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</si>
  <si>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</si>
  <si>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</si>
  <si>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</si>
  <si>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un reģionālās attīstības ministrija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</si>
  <si>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</si>
  <si>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</si>
  <si>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</si>
  <si>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</si>
  <si>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Kultūras ministrija</t>
  </si>
  <si>
    <t>Kultūrkapitāla fonds</t>
  </si>
  <si>
    <t xml:space="preserve">   Ienākumi no izložu un azartspēļu nodevas un nodokļa maksājumiem</t>
  </si>
  <si>
    <t>Radio un televīzija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</si>
  <si>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</si>
  <si>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</si>
  <si>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</si>
  <si>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</si>
  <si>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Valsts kases pārvaldnieks _______________________________________  (A.Veiss)</t>
  </si>
  <si>
    <t>4.tabula</t>
  </si>
  <si>
    <t xml:space="preserve">           Valsts kases oficiālais mēneša pārskats</t>
  </si>
  <si>
    <t xml:space="preserve">Valsts pamatbudžeta ieņēmumu un izdevumu atšifrējums 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</si>
  <si>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</si>
  <si>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</si>
  <si>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</si>
  <si>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</si>
  <si>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>2.1. Uzturēšanas izdevumi</t>
  </si>
  <si>
    <t xml:space="preserve">     t.sk.          preču un pakalpojumu izdevumi</t>
  </si>
  <si>
    <t xml:space="preserve">     t.sk.         preču un pakalpojumu izdevumi</t>
  </si>
  <si>
    <t xml:space="preserve">                        pārējie izdevumi</t>
  </si>
  <si>
    <t xml:space="preserve">    aizņēmumu atmaksa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</si>
  <si>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</si>
  <si>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</si>
  <si>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</si>
  <si>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     t.sk.        speciālajam budžetam</t>
  </si>
  <si>
    <t xml:space="preserve">                 t.sk.           speciālajam budžetam</t>
  </si>
  <si>
    <t xml:space="preserve"> pārējiem</t>
  </si>
  <si>
    <t xml:space="preserve">      pārējiem</t>
  </si>
  <si>
    <t xml:space="preserve">              t.sk.          pensijas </t>
  </si>
  <si>
    <t xml:space="preserve">                 t.sk.    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</si>
  <si>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</si>
  <si>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</si>
  <si>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</si>
  <si>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</si>
  <si>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</si>
  <si>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  pārējie</t>
  </si>
  <si>
    <t xml:space="preserve">   iemaksas starptautiskajās organizācijās</t>
  </si>
  <si>
    <t>3. Valsts budžeta tīrie aizdevumi (3.1.-3.2.)</t>
  </si>
  <si>
    <t>Valsts kases pārvaldnieks _______________________________________ (AVeiss)</t>
  </si>
  <si>
    <t xml:space="preserve">Valsts kases oficiālais mēneša pārskats </t>
  </si>
  <si>
    <t>3.tabula</t>
  </si>
  <si>
    <t>Valsts pamatbudżeta izdevumi pa ministrijām un pasākumiem</t>
  </si>
  <si>
    <t xml:space="preserve">Finansēšanas plāns pārskata periodam </t>
  </si>
  <si>
    <t>Izpilde % pret gada plānu (4/2)</t>
  </si>
  <si>
    <t>Izpilde % pret finansēša-nas plānu pārskata periodam 
  (4/3)</t>
  </si>
  <si>
    <t>Septembra izpilde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</si>
  <si>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</si>
  <si>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</si>
  <si>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</si>
  <si>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</si>
  <si>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</si>
  <si>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</si>
  <si>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</si>
  <si>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</si>
  <si>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Iekšlietu ministrija</t>
  </si>
  <si>
    <t>Tieslietu ministrija</t>
  </si>
  <si>
    <t>Augusta   izpilde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</si>
  <si>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</si>
  <si>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</si>
  <si>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</si>
  <si>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</si>
  <si>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</si>
  <si>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</si>
  <si>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</si>
  <si>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</si>
  <si>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Valsts cilvēktiesību birojs</t>
  </si>
  <si>
    <t>Īpašu uzdevumu ministra sadarbībai  ar starptautiskajām finansu institūcijām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</si>
  <si>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</si>
  <si>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</si>
  <si>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</si>
  <si>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</si>
  <si>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</si>
  <si>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2.tabula</t>
  </si>
  <si>
    <t>Valsts pamatbudžeta ieņēmumi (1999.gada janvāris - septembris)</t>
  </si>
  <si>
    <t>Gada sagaidāmā izpilde %</t>
  </si>
  <si>
    <t>Izpilde % pret gada plānu            (4/2)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</si>
  <si>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</si>
  <si>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</si>
  <si>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</si>
  <si>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</si>
  <si>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</si>
  <si>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</si>
  <si>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</si>
  <si>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</si>
  <si>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</si>
  <si>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</si>
  <si>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</si>
  <si>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</si>
  <si>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</si>
  <si>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</si>
  <si>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</si>
  <si>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</si>
  <si>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</si>
  <si>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</si>
  <si>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</si>
  <si>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</si>
  <si>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</si>
  <si>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</si>
  <si>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</si>
  <si>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</si>
  <si>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</si>
  <si>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</si>
  <si>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</si>
  <si>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* - ieskaitot nesadalītās sociālās apdrošināšanas iemaksas -  2035024  latu</t>
  </si>
  <si>
    <t>* - ieskaitot nesadalītās sociālās apdrošināšanas iemaksas -   2035   tūkst.latu</t>
  </si>
  <si>
    <t>** - ieskaitot procentus par valsts depozītu -     2771670  latu</t>
  </si>
  <si>
    <t>** - ieskaitot procentus par valsts depozītu -   2772   tūkst.latu</t>
  </si>
  <si>
    <t>Valsts kases pārvaldnieks________________________________________(A.Veiss)</t>
  </si>
  <si>
    <t>1.tabula</t>
  </si>
  <si>
    <t>Valsts konsolidētā budžeta izpilde (1999.gada janvāris - septembris)</t>
  </si>
  <si>
    <t>(tūkst. latu)</t>
  </si>
  <si>
    <t>Izpilde  % pret gada plānu         (3/2)</t>
  </si>
  <si>
    <t xml:space="preserve">Septembra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</si>
  <si>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</si>
  <si>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</si>
  <si>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</si>
  <si>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</si>
  <si>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</si>
  <si>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</si>
  <si>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</si>
  <si>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</si>
  <si>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</si>
  <si>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</si>
  <si>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</si>
  <si>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</si>
  <si>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</si>
  <si>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</si>
  <si>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</si>
  <si>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</si>
  <si>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</si>
  <si>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</si>
  <si>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</si>
  <si>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</si>
  <si>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</si>
  <si>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</si>
  <si>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</si>
  <si>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</si>
  <si>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</si>
  <si>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uzturēšanas izdevumi (B.2.1.+C.2.1.)</t>
  </si>
  <si>
    <t>A.2.1. Kopējie valsts budžeta uzturēšanas izdevumi (B.2.1.+C.2.1.)</t>
  </si>
  <si>
    <t>A.2.2. Kopējie valsts kapitālie izdevumi (B.2.2.+C.2.2.)</t>
  </si>
  <si>
    <t>A.2.2. Kopējie valsts budžeta kapitālie izdevumi (B.2.2.+C.2.2.)</t>
  </si>
  <si>
    <t>A.2.3. Kopējie valsts izdevumi investīcijām (B.2.3.+C.2.3.)</t>
  </si>
  <si>
    <t>A.2.3. Kopējie valsts budžeta izdevumi investīcijām (B.2.3.+C.2.3.)</t>
  </si>
  <si>
    <t>A.3. Valsts budžeta finansiālais deficīts (-), pārpalikums (+), (A.1.-A.2.)</t>
  </si>
  <si>
    <t>A.4. Kopējie valsts tīrie aizdevumi (B.4.+C.4.)</t>
  </si>
  <si>
    <t>Kopējie valsts izdevumi, ieskaitot tīros aizdevumus (A.2.+A.4.)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</si>
  <si>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</si>
  <si>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</si>
  <si>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</si>
  <si>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</si>
  <si>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 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</si>
  <si>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</si>
  <si>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</si>
  <si>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</si>
  <si>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 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</si>
  <si>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</si>
  <si>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</si>
  <si>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</si>
  <si>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>Pārskata mēneša izpilde</t>
  </si>
  <si>
    <t xml:space="preserve">Marta izpilde 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</si>
  <si>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</si>
  <si>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</si>
  <si>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</si>
  <si>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</si>
  <si>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izdevumi </t>
  </si>
  <si>
    <t xml:space="preserve">     Valsts pamatbudžeta aizdevumi (bruto)</t>
  </si>
  <si>
    <t xml:space="preserve">     Valsts pamatbudžeta aizdevumi (neto)</t>
  </si>
  <si>
    <t xml:space="preserve">     Valsts pamatbudžeta aizdevumu atmaksas (bruto)</t>
  </si>
  <si>
    <t xml:space="preserve">                          mīnus transferts no valsts speciālā  budžeta</t>
  </si>
  <si>
    <t xml:space="preserve">                                mīnus transferts no valsts speciālā  budžeta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</si>
  <si>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</si>
  <si>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</si>
  <si>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</si>
  <si>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</si>
  <si>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 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</si>
  <si>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</si>
  <si>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</si>
  <si>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</si>
  <si>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</si>
  <si>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</si>
  <si>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</si>
  <si>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</si>
  <si>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</si>
  <si>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</si>
  <si>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</si>
  <si>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</si>
  <si>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</si>
  <si>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</si>
  <si>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</si>
  <si>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</si>
  <si>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</si>
  <si>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 xml:space="preserve">Valsts speciālā budžeta ieņēmumu un izdevumu atšifrējums </t>
  </si>
  <si>
    <t>10. tabula</t>
  </si>
  <si>
    <t xml:space="preserve">Pašvaldību konsolidētā budžeta izpilde </t>
  </si>
  <si>
    <t xml:space="preserve">   ( 1999. gada janvāris - septembris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</si>
  <si>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</si>
  <si>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</si>
  <si>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</si>
  <si>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</si>
  <si>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</si>
  <si>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</si>
  <si>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</si>
  <si>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</si>
  <si>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</si>
  <si>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</si>
  <si>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</si>
  <si>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</si>
  <si>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</si>
  <si>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</si>
  <si>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</si>
  <si>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</si>
  <si>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</si>
  <si>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</si>
  <si>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</si>
  <si>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</si>
  <si>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</si>
  <si>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</si>
  <si>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</si>
  <si>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</si>
  <si>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</si>
  <si>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</si>
  <si>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</si>
  <si>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</si>
  <si>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</si>
  <si>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</si>
  <si>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</si>
  <si>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</si>
  <si>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</si>
  <si>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</si>
  <si>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</si>
  <si>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</si>
  <si>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</si>
  <si>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</si>
  <si>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</si>
  <si>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</si>
  <si>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</si>
  <si>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</si>
  <si>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</si>
  <si>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</si>
  <si>
    <t>A. Veiss</t>
  </si>
  <si>
    <t xml:space="preserve">Valsts kase / Pārskatu departaments </t>
  </si>
  <si>
    <t>15.10.99.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</si>
  <si>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</si>
  <si>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</si>
  <si>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</si>
  <si>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</si>
  <si>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 xml:space="preserve">( 1999. gada janvāris - septembris ) 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</si>
  <si>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</si>
  <si>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</si>
  <si>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</si>
  <si>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</si>
  <si>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</si>
  <si>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</si>
  <si>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</si>
  <si>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</si>
  <si>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</si>
  <si>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</si>
  <si>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</si>
  <si>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</si>
  <si>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</si>
  <si>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</si>
  <si>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</si>
  <si>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</si>
  <si>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</si>
  <si>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</si>
  <si>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</si>
  <si>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</si>
  <si>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</si>
  <si>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</si>
  <si>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</si>
  <si>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</si>
  <si>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</si>
  <si>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</si>
  <si>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</si>
  <si>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</si>
  <si>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</si>
  <si>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</si>
  <si>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</si>
  <si>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t.sk. nesadalītais atlikums   1 095  tūkst.latu</t>
  </si>
  <si>
    <t>* iedzīvotāju ienākuma nodokļa prognozes neizpildes kompensācija   3 500  tūkst.latu</t>
  </si>
  <si>
    <t>Valsts kases pārvaldnieks</t>
  </si>
  <si>
    <t xml:space="preserve">                                           Valsts kases oficiālais mēneša pārskats</t>
  </si>
  <si>
    <t>12. tabula</t>
  </si>
  <si>
    <t xml:space="preserve"> </t>
  </si>
  <si>
    <t xml:space="preserve">Pašvaldību pamatbudžeta izdevumi </t>
  </si>
  <si>
    <t>( 1999. gada janvāris - septembris )</t>
  </si>
  <si>
    <t xml:space="preserve">                               (tūkst.latu)</t>
  </si>
  <si>
    <t>2</t>
  </si>
  <si>
    <t>3</t>
  </si>
  <si>
    <t>4</t>
  </si>
  <si>
    <t>5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</si>
  <si>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</si>
  <si>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</si>
  <si>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</si>
  <si>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</si>
  <si>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</si>
  <si>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</si>
  <si>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</si>
  <si>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</si>
  <si>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</si>
  <si>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</si>
  <si>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</si>
  <si>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</si>
  <si>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</si>
  <si>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</si>
  <si>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</si>
  <si>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</si>
  <si>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</si>
  <si>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</si>
  <si>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</si>
  <si>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</si>
  <si>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</si>
  <si>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</si>
  <si>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</si>
  <si>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</si>
  <si>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</si>
  <si>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</si>
  <si>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</si>
  <si>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</si>
  <si>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</si>
  <si>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</si>
  <si>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</si>
  <si>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</si>
  <si>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</si>
  <si>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</si>
  <si>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</si>
  <si>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</si>
  <si>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</si>
  <si>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</si>
  <si>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</si>
  <si>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</si>
  <si>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</si>
  <si>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</si>
  <si>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</si>
  <si>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</si>
  <si>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</si>
  <si>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</si>
  <si>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</si>
  <si>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</si>
  <si>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</si>
  <si>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</si>
  <si>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</si>
  <si>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</si>
  <si>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</si>
  <si>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</si>
  <si>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</si>
  <si>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</si>
  <si>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</si>
  <si>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</si>
  <si>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</si>
  <si>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</si>
  <si>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</si>
  <si>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</si>
  <si>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</si>
  <si>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</si>
  <si>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</si>
  <si>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</si>
  <si>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</si>
  <si>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</si>
  <si>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</si>
  <si>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</si>
  <si>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</si>
  <si>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</si>
  <si>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</si>
  <si>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</si>
  <si>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</si>
  <si>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</si>
  <si>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</si>
  <si>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</si>
  <si>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</si>
  <si>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</si>
  <si>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</si>
  <si>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</si>
  <si>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</si>
  <si>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</si>
  <si>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</si>
  <si>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</si>
  <si>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</si>
  <si>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</si>
  <si>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</si>
  <si>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</si>
  <si>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</si>
  <si>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</si>
  <si>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</si>
  <si>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</si>
  <si>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</si>
  <si>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</si>
  <si>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</si>
  <si>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</si>
  <si>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</si>
  <si>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</si>
  <si>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</si>
  <si>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</si>
  <si>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</si>
  <si>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</si>
  <si>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</si>
  <si>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</si>
  <si>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</si>
  <si>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</si>
  <si>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</si>
  <si>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</si>
  <si>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</si>
  <si>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</si>
  <si>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</si>
  <si>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</si>
  <si>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</si>
  <si>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</si>
  <si>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</si>
  <si>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</si>
  <si>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</si>
  <si>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</si>
  <si>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 -   neieskaitot iedzīvotāju ienākuma nodokļa atlikumu sadales kontā</t>
  </si>
  <si>
    <t xml:space="preserve">**  -   ieskaitot  tīros aizdevumus </t>
  </si>
  <si>
    <t xml:space="preserve">Valsts kases pārvaldnieks </t>
  </si>
  <si>
    <t>_______________________________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</si>
  <si>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</si>
  <si>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</si>
  <si>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</si>
  <si>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</si>
  <si>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</si>
  <si>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</si>
  <si>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</si>
  <si>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</si>
  <si>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</si>
  <si>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</si>
  <si>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</si>
  <si>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</si>
  <si>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</si>
  <si>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</si>
  <si>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</si>
  <si>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</si>
  <si>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septembris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</si>
  <si>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</si>
  <si>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</si>
  <si>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</si>
  <si>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</si>
  <si>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</si>
  <si>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</si>
  <si>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</si>
  <si>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</si>
  <si>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</si>
  <si>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</si>
  <si>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</si>
  <si>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</si>
  <si>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1999.gada 1.oktobri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</si>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</sst>
</file>

<file path=xl/styles.xml><?xml version="1.0" encoding="utf-8"?>
<styleSheet xmlns="http://schemas.openxmlformats.org/spreadsheetml/2006/main">
  <numFmts count="2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0.0%"/>
    <numFmt numFmtId="168" formatCode="00.000"/>
    <numFmt numFmtId="169" formatCode="#,###%"/>
    <numFmt numFmtId="170" formatCode="###,###"/>
    <numFmt numFmtId="171" formatCode="#,###.0%"/>
    <numFmt numFmtId="172" formatCode="###.0%"/>
    <numFmt numFmtId="173" formatCode="00.0%"/>
    <numFmt numFmtId="174" formatCode="##0,"/>
    <numFmt numFmtId="175" formatCode="###,##0,"/>
    <numFmt numFmtId="176" formatCode="#\ ###\ ##0"/>
    <numFmt numFmtId="177" formatCode="#\ ###\ \ ##0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8"/>
      <name val="Times New Roman"/>
      <family val="0"/>
    </font>
    <font>
      <i/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64" fontId="3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6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0" fontId="6" fillId="0" borderId="1" xfId="19" applyNumberFormat="1" applyFont="1" applyBorder="1" applyAlignment="1">
      <alignment/>
    </xf>
    <xf numFmtId="166" fontId="9" fillId="0" borderId="1" xfId="0" applyNumberFormat="1" applyFont="1" applyBorder="1" applyAlignment="1">
      <alignment horizontal="right"/>
    </xf>
    <xf numFmtId="167" fontId="9" fillId="0" borderId="1" xfId="19" applyNumberFormat="1" applyFont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0" fontId="5" fillId="0" borderId="1" xfId="19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167" fontId="5" fillId="0" borderId="1" xfId="19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164" fontId="9" fillId="0" borderId="1" xfId="0" applyNumberFormat="1" applyFont="1" applyBorder="1" applyAlignment="1">
      <alignment/>
    </xf>
    <xf numFmtId="10" fontId="9" fillId="0" borderId="1" xfId="19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9" fontId="6" fillId="0" borderId="1" xfId="19" applyNumberFormat="1" applyFont="1" applyBorder="1" applyAlignment="1">
      <alignment/>
    </xf>
    <xf numFmtId="0" fontId="9" fillId="0" borderId="1" xfId="0" applyFont="1" applyBorder="1" applyAlignment="1">
      <alignment horizontal="right" wrapText="1"/>
    </xf>
    <xf numFmtId="170" fontId="9" fillId="0" borderId="1" xfId="0" applyNumberFormat="1" applyFont="1" applyBorder="1" applyAlignment="1">
      <alignment horizontal="right" wrapText="1"/>
    </xf>
    <xf numFmtId="9" fontId="9" fillId="0" borderId="1" xfId="19" applyNumberFormat="1" applyFont="1" applyBorder="1" applyAlignment="1">
      <alignment/>
    </xf>
    <xf numFmtId="0" fontId="5" fillId="0" borderId="1" xfId="0" applyFont="1" applyBorder="1" applyAlignment="1">
      <alignment horizontal="right" wrapText="1"/>
    </xf>
    <xf numFmtId="169" fontId="5" fillId="0" borderId="1" xfId="19" applyNumberFormat="1" applyFont="1" applyBorder="1" applyAlignment="1">
      <alignment horizontal="right"/>
    </xf>
    <xf numFmtId="9" fontId="6" fillId="0" borderId="1" xfId="19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69" fontId="5" fillId="0" borderId="1" xfId="19" applyNumberFormat="1" applyFont="1" applyBorder="1" applyAlignment="1">
      <alignment/>
    </xf>
    <xf numFmtId="164" fontId="5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8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7" fontId="6" fillId="0" borderId="1" xfId="19" applyNumberFormat="1" applyFont="1" applyBorder="1" applyAlignment="1">
      <alignment/>
    </xf>
    <xf numFmtId="166" fontId="3" fillId="0" borderId="1" xfId="0" applyNumberFormat="1" applyFont="1" applyBorder="1" applyAlignment="1">
      <alignment horizontal="right" wrapText="1"/>
    </xf>
    <xf numFmtId="167" fontId="3" fillId="0" borderId="1" xfId="19" applyNumberFormat="1" applyFont="1" applyBorder="1" applyAlignment="1">
      <alignment/>
    </xf>
    <xf numFmtId="166" fontId="5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 wrapText="1"/>
    </xf>
    <xf numFmtId="167" fontId="7" fillId="0" borderId="1" xfId="19" applyNumberFormat="1" applyFont="1" applyBorder="1" applyAlignment="1">
      <alignment/>
    </xf>
    <xf numFmtId="169" fontId="7" fillId="0" borderId="1" xfId="19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0" fontId="9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6" fontId="9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71" fontId="6" fillId="0" borderId="1" xfId="19" applyNumberFormat="1" applyFont="1" applyBorder="1" applyAlignment="1">
      <alignment/>
    </xf>
    <xf numFmtId="171" fontId="5" fillId="0" borderId="1" xfId="19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171" fontId="7" fillId="0" borderId="1" xfId="19" applyNumberFormat="1" applyFont="1" applyBorder="1" applyAlignment="1">
      <alignment/>
    </xf>
    <xf numFmtId="0" fontId="16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2" fontId="9" fillId="0" borderId="1" xfId="19" applyNumberFormat="1" applyFont="1" applyBorder="1" applyAlignment="1">
      <alignment/>
    </xf>
    <xf numFmtId="172" fontId="5" fillId="0" borderId="1" xfId="19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72" fontId="6" fillId="0" borderId="1" xfId="19" applyNumberFormat="1" applyFont="1" applyBorder="1" applyAlignment="1">
      <alignment/>
    </xf>
    <xf numFmtId="10" fontId="5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/>
    </xf>
    <xf numFmtId="166" fontId="5" fillId="0" borderId="1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172" fontId="3" fillId="0" borderId="1" xfId="19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164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10" fontId="4" fillId="0" borderId="0" xfId="0" applyNumberFormat="1" applyFont="1" applyBorder="1" applyAlignment="1">
      <alignment wrapText="1"/>
    </xf>
    <xf numFmtId="164" fontId="10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10" fontId="5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73" fontId="3" fillId="0" borderId="1" xfId="19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73" fontId="9" fillId="0" borderId="1" xfId="19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173" fontId="6" fillId="0" borderId="1" xfId="19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73" fontId="5" fillId="0" borderId="1" xfId="19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73" fontId="7" fillId="0" borderId="1" xfId="19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0" fontId="5" fillId="0" borderId="0" xfId="19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0" fontId="4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66" fontId="5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4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20" fillId="0" borderId="0" xfId="0" applyFont="1" applyAlignment="1">
      <alignment wrapText="1"/>
    </xf>
    <xf numFmtId="49" fontId="0" fillId="0" borderId="0" xfId="0" applyNumberFormat="1" applyFont="1" applyAlignment="1">
      <alignment horizontal="centerContinuous" vertical="top" wrapText="1"/>
    </xf>
    <xf numFmtId="49" fontId="1" fillId="0" borderId="0" xfId="0" applyNumberFormat="1" applyFont="1" applyAlignment="1">
      <alignment horizontal="centerContinuous" vertical="top" wrapText="1"/>
    </xf>
    <xf numFmtId="49" fontId="2" fillId="0" borderId="0" xfId="0" applyNumberFormat="1" applyFont="1" applyAlignment="1">
      <alignment horizontal="centerContinuous" vertical="top" wrapText="1"/>
    </xf>
    <xf numFmtId="0" fontId="2" fillId="0" borderId="0" xfId="0" applyFont="1" applyAlignment="1">
      <alignment horizontal="centerContinuous"/>
    </xf>
    <xf numFmtId="49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centerContinuous"/>
    </xf>
    <xf numFmtId="49" fontId="5" fillId="0" borderId="0" xfId="0" applyNumberFormat="1" applyFont="1" applyAlignment="1">
      <alignment vertical="top" wrapText="1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/>
    </xf>
    <xf numFmtId="49" fontId="5" fillId="0" borderId="0" xfId="0" applyNumberFormat="1" applyFont="1" applyAlignment="1">
      <alignment horizontal="centerContinuous" vertical="top" wrapText="1"/>
    </xf>
    <xf numFmtId="49" fontId="20" fillId="0" borderId="0" xfId="0" applyNumberFormat="1" applyFont="1" applyAlignment="1">
      <alignment horizontal="centerContinuous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/>
    </xf>
    <xf numFmtId="49" fontId="3" fillId="0" borderId="7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top" wrapText="1"/>
    </xf>
    <xf numFmtId="0" fontId="4" fillId="0" borderId="3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2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centerContinuous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 horizontal="left" vertical="top" wrapText="1"/>
    </xf>
    <xf numFmtId="4" fontId="4" fillId="0" borderId="12" xfId="0" applyNumberFormat="1" applyFont="1" applyBorder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2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0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174" fontId="20" fillId="0" borderId="1" xfId="0" applyNumberFormat="1" applyFont="1" applyBorder="1" applyAlignment="1">
      <alignment/>
    </xf>
    <xf numFmtId="174" fontId="20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175" fontId="4" fillId="0" borderId="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right" wrapText="1"/>
    </xf>
    <xf numFmtId="175" fontId="4" fillId="0" borderId="10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Continuous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20" fillId="0" borderId="26" xfId="0" applyFont="1" applyBorder="1" applyAlignment="1">
      <alignment/>
    </xf>
    <xf numFmtId="0" fontId="3" fillId="0" borderId="7" xfId="0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9" xfId="0" applyFont="1" applyBorder="1" applyAlignment="1">
      <alignment horizontal="right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3" fontId="9" fillId="0" borderId="8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3" fontId="4" fillId="0" borderId="8" xfId="0" applyNumberFormat="1" applyFont="1" applyBorder="1" applyAlignment="1">
      <alignment horizontal="right"/>
    </xf>
    <xf numFmtId="0" fontId="0" fillId="0" borderId="29" xfId="0" applyFont="1" applyBorder="1" applyAlignment="1">
      <alignment wrapText="1"/>
    </xf>
    <xf numFmtId="3" fontId="4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 wrapText="1"/>
    </xf>
    <xf numFmtId="3" fontId="4" fillId="0" borderId="32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9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Continuous"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2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7sb-zi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6SB-izd-ek-k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5SB-ienemumi-m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4PB-izd-ek-k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3PB-izdevumi-m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2PB-i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1-konso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9_%20Menesa%20Parsk%20Budz\Aiz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Maijs"/>
      <sheetName val="Jūnijs"/>
      <sheetName val="Jūlijs"/>
      <sheetName val="Augusts"/>
      <sheetName val="Septembis"/>
      <sheetName val="Oktobris"/>
      <sheetName val="Novembris"/>
      <sheetName val="Sheet11"/>
      <sheetName val="Decembris"/>
      <sheetName val="Sheet13"/>
      <sheetName val="Sheet14"/>
      <sheetName val="Sheet15"/>
      <sheetName val="Sheet16"/>
    </sheetNames>
    <sheetDataSet>
      <sheetData sheetId="5">
        <row r="10">
          <cell r="C10">
            <v>2932493</v>
          </cell>
          <cell r="H10">
            <v>2932</v>
          </cell>
        </row>
        <row r="11">
          <cell r="C11">
            <v>5441672</v>
          </cell>
          <cell r="H11">
            <v>5442</v>
          </cell>
        </row>
        <row r="15">
          <cell r="C15">
            <v>321822</v>
          </cell>
          <cell r="H15">
            <v>322</v>
          </cell>
        </row>
        <row r="16">
          <cell r="C16">
            <v>102001</v>
          </cell>
          <cell r="H16">
            <v>102</v>
          </cell>
        </row>
        <row r="18">
          <cell r="C18">
            <v>3504819</v>
          </cell>
          <cell r="H18">
            <v>3505</v>
          </cell>
        </row>
        <row r="19">
          <cell r="C19">
            <v>918177</v>
          </cell>
          <cell r="H19">
            <v>918</v>
          </cell>
        </row>
        <row r="20">
          <cell r="C20">
            <v>1083</v>
          </cell>
          <cell r="H20">
            <v>1</v>
          </cell>
        </row>
        <row r="22">
          <cell r="C22">
            <v>99452</v>
          </cell>
          <cell r="H22">
            <v>99</v>
          </cell>
        </row>
        <row r="23">
          <cell r="H23">
            <v>0</v>
          </cell>
        </row>
        <row r="25">
          <cell r="C25">
            <v>25626</v>
          </cell>
          <cell r="H25">
            <v>26</v>
          </cell>
        </row>
        <row r="26">
          <cell r="C26">
            <v>11967</v>
          </cell>
          <cell r="H26">
            <v>12</v>
          </cell>
        </row>
        <row r="27">
          <cell r="H27">
            <v>0</v>
          </cell>
        </row>
        <row r="28">
          <cell r="C28">
            <v>28576</v>
          </cell>
          <cell r="H28">
            <v>28</v>
          </cell>
        </row>
        <row r="29">
          <cell r="C29">
            <v>46784</v>
          </cell>
          <cell r="H29">
            <v>47</v>
          </cell>
        </row>
        <row r="31">
          <cell r="C31">
            <v>782251</v>
          </cell>
          <cell r="H31">
            <v>782</v>
          </cell>
        </row>
        <row r="32">
          <cell r="C32">
            <v>95937</v>
          </cell>
          <cell r="H32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1">
          <cell r="D11">
            <v>447120786</v>
          </cell>
          <cell r="K11">
            <v>447121</v>
          </cell>
        </row>
        <row r="12">
          <cell r="D12">
            <v>8979339</v>
          </cell>
          <cell r="K12">
            <v>8979</v>
          </cell>
        </row>
        <row r="16">
          <cell r="D16">
            <v>8976045</v>
          </cell>
          <cell r="K16">
            <v>8976</v>
          </cell>
        </row>
        <row r="17">
          <cell r="D17">
            <v>2400507</v>
          </cell>
          <cell r="K17">
            <v>2401</v>
          </cell>
        </row>
        <row r="19">
          <cell r="D19">
            <v>27854294</v>
          </cell>
          <cell r="K19">
            <v>27854</v>
          </cell>
        </row>
        <row r="21">
          <cell r="D21">
            <v>781000</v>
          </cell>
          <cell r="K21">
            <v>781</v>
          </cell>
        </row>
        <row r="22">
          <cell r="D22">
            <v>268841</v>
          </cell>
          <cell r="K22">
            <v>269</v>
          </cell>
        </row>
        <row r="23">
          <cell r="D23">
            <v>1301012</v>
          </cell>
          <cell r="K23">
            <v>1301</v>
          </cell>
        </row>
        <row r="25">
          <cell r="D25">
            <v>372003</v>
          </cell>
          <cell r="K25">
            <v>372</v>
          </cell>
        </row>
        <row r="26">
          <cell r="D26">
            <v>953382</v>
          </cell>
          <cell r="K26">
            <v>953</v>
          </cell>
        </row>
        <row r="28">
          <cell r="D28">
            <v>1707018</v>
          </cell>
          <cell r="K28">
            <v>1707</v>
          </cell>
        </row>
        <row r="29">
          <cell r="D29">
            <v>13954677</v>
          </cell>
          <cell r="K29">
            <v>13955</v>
          </cell>
        </row>
        <row r="30">
          <cell r="K30">
            <v>0</v>
          </cell>
        </row>
        <row r="32">
          <cell r="D32">
            <v>9677181</v>
          </cell>
          <cell r="K32">
            <v>9677</v>
          </cell>
        </row>
        <row r="33">
          <cell r="D33">
            <v>88867712</v>
          </cell>
          <cell r="K33">
            <v>88868</v>
          </cell>
        </row>
        <row r="35">
          <cell r="D35">
            <v>297527079</v>
          </cell>
          <cell r="K35">
            <v>297527</v>
          </cell>
        </row>
        <row r="36">
          <cell r="D36">
            <v>30972885</v>
          </cell>
          <cell r="K36">
            <v>30973</v>
          </cell>
        </row>
        <row r="37">
          <cell r="D37">
            <v>780437</v>
          </cell>
          <cell r="K37">
            <v>780</v>
          </cell>
        </row>
        <row r="38">
          <cell r="D38">
            <v>-157794</v>
          </cell>
          <cell r="K38">
            <v>-158</v>
          </cell>
        </row>
        <row r="39">
          <cell r="D39">
            <v>40963</v>
          </cell>
          <cell r="K39">
            <v>41</v>
          </cell>
        </row>
        <row r="41">
          <cell r="D41">
            <v>7769932</v>
          </cell>
          <cell r="K41">
            <v>7770</v>
          </cell>
        </row>
        <row r="42">
          <cell r="D42">
            <v>22037751</v>
          </cell>
          <cell r="K42">
            <v>22038</v>
          </cell>
        </row>
        <row r="46">
          <cell r="D46">
            <v>1492638</v>
          </cell>
          <cell r="K46">
            <v>1493</v>
          </cell>
        </row>
        <row r="47">
          <cell r="D47">
            <v>1324</v>
          </cell>
          <cell r="K47">
            <v>1</v>
          </cell>
        </row>
        <row r="50">
          <cell r="D50">
            <v>43083400</v>
          </cell>
          <cell r="K50">
            <v>43083</v>
          </cell>
        </row>
        <row r="51">
          <cell r="D51">
            <v>18393714</v>
          </cell>
          <cell r="K51">
            <v>18395</v>
          </cell>
        </row>
      </sheetData>
      <sheetData sheetId="8">
        <row r="14">
          <cell r="D14">
            <v>549929019</v>
          </cell>
        </row>
        <row r="32">
          <cell r="D32">
            <v>9901281</v>
          </cell>
        </row>
        <row r="41">
          <cell r="D41">
            <v>15842479</v>
          </cell>
        </row>
        <row r="42">
          <cell r="D42">
            <v>20778922</v>
          </cell>
        </row>
        <row r="46">
          <cell r="D46">
            <v>1716033</v>
          </cell>
        </row>
        <row r="47">
          <cell r="D47">
            <v>11287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Marts1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9">
          <cell r="D19">
            <v>3823940</v>
          </cell>
        </row>
        <row r="21">
          <cell r="D21">
            <v>4293000</v>
          </cell>
          <cell r="J21">
            <v>4293</v>
          </cell>
        </row>
        <row r="22">
          <cell r="D22">
            <v>3512000</v>
          </cell>
          <cell r="J22">
            <v>3512</v>
          </cell>
        </row>
        <row r="24">
          <cell r="D24">
            <v>1747594</v>
          </cell>
          <cell r="J24">
            <v>1748</v>
          </cell>
        </row>
        <row r="26">
          <cell r="D26">
            <v>1471908</v>
          </cell>
          <cell r="J26">
            <v>1472</v>
          </cell>
        </row>
        <row r="27">
          <cell r="D27">
            <v>43315</v>
          </cell>
          <cell r="J27">
            <v>43</v>
          </cell>
        </row>
        <row r="31">
          <cell r="D31">
            <v>1420557</v>
          </cell>
          <cell r="J31">
            <v>1421</v>
          </cell>
        </row>
        <row r="32">
          <cell r="D32">
            <v>215222</v>
          </cell>
          <cell r="J32">
            <v>215</v>
          </cell>
        </row>
        <row r="34">
          <cell r="D34">
            <v>413773</v>
          </cell>
          <cell r="J34">
            <v>414</v>
          </cell>
        </row>
        <row r="37">
          <cell r="D37">
            <v>84189</v>
          </cell>
          <cell r="J37">
            <v>84</v>
          </cell>
        </row>
        <row r="40">
          <cell r="D40">
            <v>94750</v>
          </cell>
          <cell r="J40">
            <v>95</v>
          </cell>
        </row>
        <row r="43">
          <cell r="D43">
            <v>153068</v>
          </cell>
          <cell r="J43">
            <v>153</v>
          </cell>
        </row>
        <row r="45">
          <cell r="J45">
            <v>0</v>
          </cell>
        </row>
        <row r="48">
          <cell r="D48">
            <v>500000</v>
          </cell>
          <cell r="J48">
            <v>500</v>
          </cell>
        </row>
        <row r="49">
          <cell r="D49">
            <v>561114</v>
          </cell>
          <cell r="J49">
            <v>561</v>
          </cell>
        </row>
        <row r="51">
          <cell r="D51">
            <v>42041</v>
          </cell>
          <cell r="J51">
            <v>42</v>
          </cell>
        </row>
        <row r="52">
          <cell r="D52">
            <v>5784</v>
          </cell>
          <cell r="J52">
            <v>6</v>
          </cell>
        </row>
        <row r="56">
          <cell r="D56">
            <v>1153357</v>
          </cell>
          <cell r="J56">
            <v>1153</v>
          </cell>
        </row>
        <row r="58">
          <cell r="D58">
            <v>575682</v>
          </cell>
          <cell r="J58">
            <v>576</v>
          </cell>
        </row>
        <row r="59">
          <cell r="D59">
            <v>611000</v>
          </cell>
          <cell r="J59">
            <v>611</v>
          </cell>
        </row>
        <row r="62">
          <cell r="D62">
            <v>29678</v>
          </cell>
          <cell r="J62">
            <v>30</v>
          </cell>
        </row>
        <row r="64">
          <cell r="D64">
            <v>29678</v>
          </cell>
          <cell r="J64">
            <v>30</v>
          </cell>
        </row>
        <row r="65">
          <cell r="J65">
            <v>0</v>
          </cell>
        </row>
        <row r="66">
          <cell r="D66">
            <v>1492639</v>
          </cell>
          <cell r="J66">
            <v>1493</v>
          </cell>
        </row>
        <row r="67">
          <cell r="D67">
            <v>1324</v>
          </cell>
          <cell r="J67">
            <v>1</v>
          </cell>
        </row>
        <row r="68">
          <cell r="D68">
            <v>-1491315</v>
          </cell>
          <cell r="J68">
            <v>-1491</v>
          </cell>
        </row>
        <row r="69">
          <cell r="D69">
            <v>1492637</v>
          </cell>
          <cell r="J69">
            <v>1493</v>
          </cell>
        </row>
        <row r="73">
          <cell r="D73">
            <v>313258</v>
          </cell>
          <cell r="J73">
            <v>313</v>
          </cell>
        </row>
        <row r="74">
          <cell r="D74">
            <v>147338</v>
          </cell>
          <cell r="J74">
            <v>147</v>
          </cell>
        </row>
        <row r="76">
          <cell r="D76">
            <v>398872</v>
          </cell>
          <cell r="J76">
            <v>399</v>
          </cell>
        </row>
        <row r="77">
          <cell r="D77">
            <v>71799</v>
          </cell>
          <cell r="J77">
            <v>72</v>
          </cell>
        </row>
        <row r="80">
          <cell r="D80">
            <v>10572965</v>
          </cell>
          <cell r="J80">
            <v>10573</v>
          </cell>
        </row>
        <row r="81">
          <cell r="D81">
            <v>1087276</v>
          </cell>
          <cell r="J81">
            <v>1087</v>
          </cell>
        </row>
        <row r="83">
          <cell r="D83">
            <v>12121320</v>
          </cell>
          <cell r="J83">
            <v>12121</v>
          </cell>
        </row>
        <row r="84">
          <cell r="D84">
            <v>1053606</v>
          </cell>
          <cell r="J84">
            <v>1054</v>
          </cell>
        </row>
        <row r="88">
          <cell r="D88">
            <v>6006326</v>
          </cell>
          <cell r="J88">
            <v>6006</v>
          </cell>
        </row>
        <row r="89">
          <cell r="D89">
            <v>32179874</v>
          </cell>
          <cell r="J89">
            <v>32180</v>
          </cell>
        </row>
        <row r="90">
          <cell r="D90">
            <v>19503</v>
          </cell>
          <cell r="J90">
            <v>20</v>
          </cell>
        </row>
        <row r="92">
          <cell r="D92">
            <v>35179773</v>
          </cell>
          <cell r="J92">
            <v>35179</v>
          </cell>
        </row>
        <row r="93">
          <cell r="D93">
            <v>21088329</v>
          </cell>
          <cell r="J93">
            <v>21088</v>
          </cell>
        </row>
        <row r="95">
          <cell r="D95">
            <v>13968945</v>
          </cell>
          <cell r="J95">
            <v>13969</v>
          </cell>
        </row>
        <row r="98">
          <cell r="D98">
            <v>486171</v>
          </cell>
          <cell r="J98">
            <v>486</v>
          </cell>
        </row>
        <row r="99">
          <cell r="D99">
            <v>393588</v>
          </cell>
          <cell r="J99">
            <v>394</v>
          </cell>
        </row>
        <row r="101">
          <cell r="D101">
            <v>528610</v>
          </cell>
          <cell r="J101">
            <v>528</v>
          </cell>
        </row>
        <row r="102">
          <cell r="D102">
            <v>1493</v>
          </cell>
          <cell r="J102">
            <v>1</v>
          </cell>
        </row>
        <row r="105">
          <cell r="D105">
            <v>522286</v>
          </cell>
          <cell r="J105">
            <v>522</v>
          </cell>
        </row>
        <row r="106">
          <cell r="D106">
            <v>5170</v>
          </cell>
          <cell r="J106">
            <v>5</v>
          </cell>
        </row>
        <row r="108">
          <cell r="D108">
            <v>276893</v>
          </cell>
          <cell r="J108">
            <v>277</v>
          </cell>
        </row>
        <row r="109">
          <cell r="D109">
            <v>170183</v>
          </cell>
          <cell r="J109">
            <v>170</v>
          </cell>
        </row>
        <row r="111">
          <cell r="D111">
            <v>1370523</v>
          </cell>
          <cell r="J111">
            <v>1371</v>
          </cell>
        </row>
        <row r="113">
          <cell r="D113">
            <v>2266483</v>
          </cell>
          <cell r="J113">
            <v>2266</v>
          </cell>
        </row>
        <row r="117">
          <cell r="D117">
            <v>291902344</v>
          </cell>
          <cell r="J117">
            <v>291902</v>
          </cell>
        </row>
        <row r="118">
          <cell r="D118">
            <v>3731654</v>
          </cell>
          <cell r="J118">
            <v>3732</v>
          </cell>
        </row>
        <row r="119">
          <cell r="D119">
            <v>1308346</v>
          </cell>
          <cell r="J119">
            <v>1308</v>
          </cell>
        </row>
        <row r="121">
          <cell r="D121">
            <v>338514288</v>
          </cell>
          <cell r="J121">
            <v>338514</v>
          </cell>
        </row>
        <row r="122">
          <cell r="D122">
            <v>1614566</v>
          </cell>
          <cell r="J122">
            <v>1615</v>
          </cell>
        </row>
        <row r="123">
          <cell r="J123">
            <v>-43187</v>
          </cell>
        </row>
        <row r="124">
          <cell r="D124">
            <v>27535346</v>
          </cell>
          <cell r="J124">
            <v>27535</v>
          </cell>
        </row>
        <row r="127">
          <cell r="D127">
            <v>220682789</v>
          </cell>
          <cell r="J127">
            <v>220682</v>
          </cell>
        </row>
        <row r="128">
          <cell r="D128">
            <v>2056340</v>
          </cell>
          <cell r="J128">
            <v>2056</v>
          </cell>
        </row>
        <row r="129">
          <cell r="D129">
            <v>12189887</v>
          </cell>
          <cell r="J129">
            <v>12190</v>
          </cell>
        </row>
        <row r="131">
          <cell r="D131">
            <v>263697004</v>
          </cell>
          <cell r="J131">
            <v>263697</v>
          </cell>
        </row>
        <row r="133">
          <cell r="D133">
            <v>21234658</v>
          </cell>
          <cell r="J133">
            <v>21235</v>
          </cell>
        </row>
        <row r="136">
          <cell r="D136">
            <v>19873846</v>
          </cell>
          <cell r="J136">
            <v>19874</v>
          </cell>
        </row>
        <row r="137">
          <cell r="D137">
            <v>282048</v>
          </cell>
          <cell r="J137">
            <v>281</v>
          </cell>
        </row>
        <row r="138">
          <cell r="D138">
            <v>2402469</v>
          </cell>
          <cell r="J138">
            <v>2402</v>
          </cell>
        </row>
        <row r="140">
          <cell r="D140">
            <v>29970905</v>
          </cell>
          <cell r="J140">
            <v>29971</v>
          </cell>
        </row>
        <row r="141">
          <cell r="D141">
            <v>15000</v>
          </cell>
          <cell r="J141">
            <v>15</v>
          </cell>
        </row>
        <row r="143">
          <cell r="J143">
            <v>0</v>
          </cell>
        </row>
        <row r="146">
          <cell r="D146">
            <v>691577</v>
          </cell>
          <cell r="J146">
            <v>692</v>
          </cell>
        </row>
        <row r="148">
          <cell r="D148">
            <v>14529</v>
          </cell>
          <cell r="J148">
            <v>14</v>
          </cell>
        </row>
        <row r="150">
          <cell r="D150">
            <v>383002</v>
          </cell>
          <cell r="J150">
            <v>383</v>
          </cell>
        </row>
        <row r="153">
          <cell r="J153">
            <v>0</v>
          </cell>
        </row>
        <row r="156">
          <cell r="D156">
            <v>50654132</v>
          </cell>
          <cell r="J156">
            <v>50654</v>
          </cell>
        </row>
        <row r="158">
          <cell r="D158">
            <v>2278614</v>
          </cell>
          <cell r="J158">
            <v>2279</v>
          </cell>
        </row>
        <row r="160">
          <cell r="D160">
            <v>59483333</v>
          </cell>
          <cell r="J160">
            <v>59483</v>
          </cell>
        </row>
        <row r="162">
          <cell r="D162">
            <v>5395738</v>
          </cell>
          <cell r="J162">
            <v>5396</v>
          </cell>
        </row>
        <row r="165">
          <cell r="D165">
            <v>1393266</v>
          </cell>
          <cell r="J165">
            <v>1393</v>
          </cell>
        </row>
        <row r="166">
          <cell r="D166">
            <v>5734297</v>
          </cell>
          <cell r="J166">
            <v>5734</v>
          </cell>
        </row>
        <row r="168">
          <cell r="D168">
            <v>6311926</v>
          </cell>
          <cell r="J168">
            <v>6312</v>
          </cell>
        </row>
        <row r="169">
          <cell r="D169">
            <v>1579134</v>
          </cell>
          <cell r="J169">
            <v>1579</v>
          </cell>
        </row>
        <row r="171">
          <cell r="D171">
            <v>904950</v>
          </cell>
          <cell r="J171">
            <v>905</v>
          </cell>
        </row>
        <row r="174">
          <cell r="D174">
            <v>44824430</v>
          </cell>
          <cell r="J174">
            <v>44824</v>
          </cell>
        </row>
        <row r="175">
          <cell r="D175">
            <v>37568543</v>
          </cell>
          <cell r="J175">
            <v>37569</v>
          </cell>
        </row>
        <row r="176">
          <cell r="D176">
            <v>6761941</v>
          </cell>
          <cell r="J176">
            <v>6762</v>
          </cell>
        </row>
        <row r="178">
          <cell r="D178">
            <v>86675878</v>
          </cell>
          <cell r="J178">
            <v>86676</v>
          </cell>
        </row>
        <row r="179">
          <cell r="D179">
            <v>936069</v>
          </cell>
          <cell r="J179">
            <v>936</v>
          </cell>
        </row>
        <row r="181">
          <cell r="D181">
            <v>86472</v>
          </cell>
          <cell r="J181">
            <v>86</v>
          </cell>
        </row>
        <row r="185">
          <cell r="D185">
            <v>4095434</v>
          </cell>
          <cell r="J185">
            <v>4095</v>
          </cell>
        </row>
        <row r="186">
          <cell r="D186">
            <v>141102</v>
          </cell>
          <cell r="J186">
            <v>141</v>
          </cell>
        </row>
        <row r="187">
          <cell r="D187">
            <v>26498</v>
          </cell>
          <cell r="J187">
            <v>26</v>
          </cell>
        </row>
        <row r="189">
          <cell r="D189">
            <v>4012759</v>
          </cell>
          <cell r="J189">
            <v>4013</v>
          </cell>
        </row>
        <row r="190">
          <cell r="D190">
            <v>688942</v>
          </cell>
          <cell r="J190">
            <v>689</v>
          </cell>
        </row>
        <row r="192">
          <cell r="D192">
            <v>1462500</v>
          </cell>
          <cell r="J192">
            <v>1463</v>
          </cell>
        </row>
        <row r="194">
          <cell r="D194">
            <v>20021</v>
          </cell>
          <cell r="J194">
            <v>20</v>
          </cell>
        </row>
        <row r="195">
          <cell r="D195">
            <v>1251491</v>
          </cell>
          <cell r="J195">
            <v>1252</v>
          </cell>
        </row>
        <row r="199">
          <cell r="D199">
            <v>1747862</v>
          </cell>
          <cell r="J199">
            <v>1748</v>
          </cell>
        </row>
        <row r="200">
          <cell r="J200">
            <v>0</v>
          </cell>
        </row>
        <row r="202">
          <cell r="D202">
            <v>1923000</v>
          </cell>
          <cell r="J202">
            <v>1923</v>
          </cell>
        </row>
        <row r="205">
          <cell r="D205">
            <v>53495</v>
          </cell>
          <cell r="J205">
            <v>53</v>
          </cell>
        </row>
        <row r="206">
          <cell r="D206">
            <v>19543</v>
          </cell>
          <cell r="J206">
            <v>19</v>
          </cell>
        </row>
        <row r="208">
          <cell r="D208">
            <v>89839</v>
          </cell>
          <cell r="J208">
            <v>90</v>
          </cell>
        </row>
        <row r="209">
          <cell r="J209">
            <v>1</v>
          </cell>
        </row>
        <row r="212">
          <cell r="D212">
            <v>57024</v>
          </cell>
          <cell r="J212">
            <v>57</v>
          </cell>
        </row>
        <row r="214">
          <cell r="D214">
            <v>9716</v>
          </cell>
          <cell r="J214">
            <v>9</v>
          </cell>
        </row>
        <row r="215">
          <cell r="D215">
            <v>3900</v>
          </cell>
          <cell r="J215">
            <v>4</v>
          </cell>
        </row>
      </sheetData>
      <sheetData sheetId="9">
        <row r="9">
          <cell r="D9">
            <v>516405237</v>
          </cell>
        </row>
        <row r="89">
          <cell r="D89">
            <v>35707920</v>
          </cell>
        </row>
        <row r="117">
          <cell r="D117">
            <v>331522051</v>
          </cell>
        </row>
        <row r="174">
          <cell r="D174">
            <v>50762905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2">
          <cell r="D12">
            <v>419696720</v>
          </cell>
          <cell r="K12">
            <v>419697</v>
          </cell>
        </row>
        <row r="13">
          <cell r="D13">
            <v>121481</v>
          </cell>
          <cell r="K13">
            <v>121</v>
          </cell>
        </row>
        <row r="14">
          <cell r="D14">
            <v>37891921</v>
          </cell>
          <cell r="K14">
            <v>37892</v>
          </cell>
        </row>
        <row r="18">
          <cell r="D18">
            <v>95039589</v>
          </cell>
          <cell r="K18">
            <v>95040</v>
          </cell>
        </row>
        <row r="19">
          <cell r="D19">
            <v>25478965</v>
          </cell>
          <cell r="K19">
            <v>25479</v>
          </cell>
        </row>
        <row r="21">
          <cell r="D21">
            <v>70384018</v>
          </cell>
          <cell r="K21">
            <v>70384</v>
          </cell>
        </row>
        <row r="22">
          <cell r="D22">
            <v>8176667</v>
          </cell>
          <cell r="K22">
            <v>8177</v>
          </cell>
        </row>
        <row r="23">
          <cell r="D23">
            <v>147144</v>
          </cell>
          <cell r="K23">
            <v>147</v>
          </cell>
        </row>
        <row r="25">
          <cell r="D25">
            <v>8537454</v>
          </cell>
          <cell r="K25">
            <v>8538</v>
          </cell>
        </row>
        <row r="26">
          <cell r="D26">
            <v>6945419</v>
          </cell>
          <cell r="K26">
            <v>6946</v>
          </cell>
        </row>
        <row r="27">
          <cell r="D27">
            <v>559835</v>
          </cell>
          <cell r="K27">
            <v>560</v>
          </cell>
        </row>
        <row r="29">
          <cell r="D29">
            <v>11051211</v>
          </cell>
          <cell r="K29">
            <v>11051</v>
          </cell>
        </row>
        <row r="30">
          <cell r="D30">
            <v>56951092</v>
          </cell>
          <cell r="K30">
            <v>56951</v>
          </cell>
        </row>
        <row r="31">
          <cell r="D31">
            <v>4068674</v>
          </cell>
          <cell r="K31">
            <v>4069</v>
          </cell>
        </row>
        <row r="33">
          <cell r="D33">
            <v>40517809</v>
          </cell>
          <cell r="K33">
            <v>40518</v>
          </cell>
        </row>
        <row r="34">
          <cell r="D34">
            <v>21534796</v>
          </cell>
          <cell r="K34">
            <v>21535</v>
          </cell>
        </row>
        <row r="36">
          <cell r="D36">
            <v>332848</v>
          </cell>
          <cell r="K36">
            <v>333</v>
          </cell>
        </row>
        <row r="37">
          <cell r="D37">
            <v>42750157</v>
          </cell>
          <cell r="K37">
            <v>42750</v>
          </cell>
        </row>
        <row r="38">
          <cell r="D38">
            <v>4080247</v>
          </cell>
          <cell r="K38">
            <v>4080</v>
          </cell>
        </row>
        <row r="39">
          <cell r="D39">
            <v>3333381</v>
          </cell>
          <cell r="K39">
            <v>3333</v>
          </cell>
        </row>
        <row r="40">
          <cell r="D40">
            <v>2195196</v>
          </cell>
          <cell r="K40">
            <v>2195</v>
          </cell>
        </row>
        <row r="42">
          <cell r="D42">
            <v>7481775</v>
          </cell>
          <cell r="K42">
            <v>7482</v>
          </cell>
        </row>
        <row r="43">
          <cell r="D43">
            <v>27075539</v>
          </cell>
          <cell r="K43">
            <v>27075</v>
          </cell>
        </row>
        <row r="45">
          <cell r="D45">
            <v>76462110</v>
          </cell>
          <cell r="K45">
            <v>76462</v>
          </cell>
        </row>
        <row r="46">
          <cell r="D46">
            <v>30941246</v>
          </cell>
          <cell r="K46">
            <v>30941</v>
          </cell>
        </row>
      </sheetData>
      <sheetData sheetId="8">
        <row r="16">
          <cell r="D16">
            <v>453494071</v>
          </cell>
        </row>
        <row r="33">
          <cell r="D33">
            <v>45677072</v>
          </cell>
        </row>
        <row r="42">
          <cell r="D42">
            <v>8645734</v>
          </cell>
        </row>
        <row r="43">
          <cell r="D43">
            <v>32271770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7">
        <row r="12">
          <cell r="D12">
            <v>621675</v>
          </cell>
          <cell r="K12">
            <v>622</v>
          </cell>
        </row>
        <row r="13">
          <cell r="D13">
            <v>29228</v>
          </cell>
          <cell r="K13">
            <v>29</v>
          </cell>
        </row>
        <row r="15">
          <cell r="D15">
            <v>2930650</v>
          </cell>
          <cell r="K15">
            <v>2931</v>
          </cell>
        </row>
        <row r="16">
          <cell r="D16">
            <v>594775</v>
          </cell>
          <cell r="K16">
            <v>595</v>
          </cell>
        </row>
        <row r="18">
          <cell r="D18">
            <v>2311220</v>
          </cell>
          <cell r="K18">
            <v>2311</v>
          </cell>
        </row>
        <row r="19">
          <cell r="D19">
            <v>131985</v>
          </cell>
          <cell r="K19">
            <v>132</v>
          </cell>
        </row>
        <row r="21">
          <cell r="D21">
            <v>16220825</v>
          </cell>
          <cell r="K21">
            <v>16221</v>
          </cell>
        </row>
        <row r="22">
          <cell r="D22">
            <v>610334</v>
          </cell>
          <cell r="K22">
            <v>610</v>
          </cell>
        </row>
        <row r="24">
          <cell r="D24">
            <v>6673173</v>
          </cell>
          <cell r="K24">
            <v>6673</v>
          </cell>
        </row>
        <row r="25">
          <cell r="D25">
            <v>230457</v>
          </cell>
          <cell r="K25">
            <v>231</v>
          </cell>
        </row>
        <row r="27">
          <cell r="D27">
            <v>2568177</v>
          </cell>
          <cell r="K27">
            <v>2568</v>
          </cell>
        </row>
        <row r="28">
          <cell r="D28">
            <v>166471</v>
          </cell>
          <cell r="K28">
            <v>166</v>
          </cell>
        </row>
        <row r="30">
          <cell r="D30">
            <v>47035393</v>
          </cell>
          <cell r="K30">
            <v>47035</v>
          </cell>
        </row>
        <row r="31">
          <cell r="D31">
            <v>6482045</v>
          </cell>
          <cell r="K31">
            <v>6482</v>
          </cell>
        </row>
        <row r="33">
          <cell r="D33">
            <v>55079724</v>
          </cell>
          <cell r="K33">
            <v>55080</v>
          </cell>
        </row>
        <row r="34">
          <cell r="D34">
            <v>6561502</v>
          </cell>
          <cell r="K34">
            <v>6562</v>
          </cell>
        </row>
        <row r="36">
          <cell r="D36">
            <v>35317163</v>
          </cell>
          <cell r="K36">
            <v>35317</v>
          </cell>
        </row>
        <row r="37">
          <cell r="D37">
            <v>1999178</v>
          </cell>
          <cell r="K37">
            <v>1999</v>
          </cell>
        </row>
        <row r="39">
          <cell r="D39">
            <v>27091743</v>
          </cell>
          <cell r="K39">
            <v>27092</v>
          </cell>
        </row>
        <row r="40">
          <cell r="D40">
            <v>2454183</v>
          </cell>
          <cell r="K40">
            <v>2454</v>
          </cell>
        </row>
        <row r="42">
          <cell r="D42">
            <v>3260814</v>
          </cell>
          <cell r="K42">
            <v>3261</v>
          </cell>
        </row>
        <row r="43">
          <cell r="D43">
            <v>2048181</v>
          </cell>
          <cell r="K43">
            <v>2048</v>
          </cell>
        </row>
        <row r="45">
          <cell r="D45">
            <v>102449674</v>
          </cell>
          <cell r="K45">
            <v>102450</v>
          </cell>
        </row>
        <row r="46">
          <cell r="D46">
            <v>2663897</v>
          </cell>
          <cell r="K46">
            <v>2664</v>
          </cell>
        </row>
        <row r="48">
          <cell r="D48">
            <v>7447422</v>
          </cell>
          <cell r="K48">
            <v>7448</v>
          </cell>
        </row>
        <row r="49">
          <cell r="D49">
            <v>520015</v>
          </cell>
          <cell r="K49">
            <v>520</v>
          </cell>
        </row>
        <row r="53">
          <cell r="D53">
            <v>4085297</v>
          </cell>
          <cell r="K53">
            <v>4085</v>
          </cell>
        </row>
        <row r="54">
          <cell r="D54">
            <v>984959</v>
          </cell>
          <cell r="K54">
            <v>985</v>
          </cell>
        </row>
        <row r="56">
          <cell r="D56">
            <v>9471855</v>
          </cell>
          <cell r="K56">
            <v>9472</v>
          </cell>
        </row>
        <row r="57">
          <cell r="D57">
            <v>1508394</v>
          </cell>
          <cell r="K57">
            <v>1509</v>
          </cell>
        </row>
        <row r="59">
          <cell r="D59">
            <v>7675382</v>
          </cell>
          <cell r="K59">
            <v>7675</v>
          </cell>
        </row>
        <row r="60">
          <cell r="D60">
            <v>980329</v>
          </cell>
          <cell r="K60">
            <v>980</v>
          </cell>
        </row>
        <row r="62">
          <cell r="D62">
            <v>763051</v>
          </cell>
          <cell r="K62">
            <v>763</v>
          </cell>
        </row>
        <row r="63">
          <cell r="D63">
            <v>32389</v>
          </cell>
          <cell r="K63">
            <v>32</v>
          </cell>
        </row>
        <row r="65">
          <cell r="D65">
            <v>499641</v>
          </cell>
          <cell r="K65">
            <v>500</v>
          </cell>
        </row>
        <row r="66">
          <cell r="K66">
            <v>0</v>
          </cell>
        </row>
        <row r="68">
          <cell r="D68">
            <v>194077</v>
          </cell>
          <cell r="K68">
            <v>194</v>
          </cell>
        </row>
        <row r="69">
          <cell r="D69">
            <v>30806</v>
          </cell>
          <cell r="K69">
            <v>31</v>
          </cell>
        </row>
        <row r="71">
          <cell r="D71">
            <v>4041201</v>
          </cell>
          <cell r="K71">
            <v>4041</v>
          </cell>
        </row>
        <row r="72">
          <cell r="D72">
            <v>385786</v>
          </cell>
          <cell r="K72">
            <v>386</v>
          </cell>
        </row>
        <row r="74">
          <cell r="D74">
            <v>48086</v>
          </cell>
          <cell r="K74">
            <v>48</v>
          </cell>
        </row>
        <row r="75">
          <cell r="D75">
            <v>2412</v>
          </cell>
          <cell r="K75">
            <v>2</v>
          </cell>
        </row>
        <row r="77">
          <cell r="D77">
            <v>31113</v>
          </cell>
          <cell r="K77">
            <v>31</v>
          </cell>
        </row>
        <row r="79">
          <cell r="D79">
            <v>521144</v>
          </cell>
          <cell r="K79">
            <v>521</v>
          </cell>
        </row>
        <row r="81">
          <cell r="D81">
            <v>4317631</v>
          </cell>
          <cell r="K81">
            <v>4318</v>
          </cell>
        </row>
        <row r="82">
          <cell r="D82">
            <v>4338</v>
          </cell>
          <cell r="K82">
            <v>4</v>
          </cell>
        </row>
        <row r="84">
          <cell r="D84">
            <v>57557</v>
          </cell>
          <cell r="K84">
            <v>57</v>
          </cell>
        </row>
        <row r="86">
          <cell r="D86">
            <v>352251</v>
          </cell>
          <cell r="K86">
            <v>352</v>
          </cell>
        </row>
        <row r="87">
          <cell r="D87">
            <v>5649</v>
          </cell>
          <cell r="K87">
            <v>6</v>
          </cell>
        </row>
        <row r="89">
          <cell r="K89">
            <v>0</v>
          </cell>
        </row>
        <row r="90">
          <cell r="K90">
            <v>0</v>
          </cell>
        </row>
        <row r="92">
          <cell r="D92">
            <v>56951092</v>
          </cell>
          <cell r="K92">
            <v>56951</v>
          </cell>
        </row>
        <row r="93">
          <cell r="D93">
            <v>6130000</v>
          </cell>
          <cell r="K93">
            <v>6130</v>
          </cell>
        </row>
        <row r="95">
          <cell r="D95">
            <v>4068674</v>
          </cell>
          <cell r="K95">
            <v>4069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7">
        <row r="11">
          <cell r="D11">
            <v>60990432</v>
          </cell>
          <cell r="J11">
            <v>60990</v>
          </cell>
        </row>
        <row r="13">
          <cell r="D13">
            <v>200729151</v>
          </cell>
          <cell r="J13">
            <v>200729</v>
          </cell>
        </row>
        <row r="14">
          <cell r="D14">
            <v>71379952</v>
          </cell>
          <cell r="J14">
            <v>71380</v>
          </cell>
        </row>
        <row r="15">
          <cell r="D15">
            <v>10371341</v>
          </cell>
          <cell r="J15">
            <v>10371</v>
          </cell>
        </row>
        <row r="16">
          <cell r="D16">
            <v>4373882</v>
          </cell>
          <cell r="J16">
            <v>4374</v>
          </cell>
        </row>
        <row r="18">
          <cell r="D18">
            <v>4208068</v>
          </cell>
          <cell r="J18">
            <v>4208</v>
          </cell>
        </row>
        <row r="19">
          <cell r="D19">
            <v>5040842</v>
          </cell>
          <cell r="J19">
            <v>5041</v>
          </cell>
        </row>
        <row r="20">
          <cell r="D20">
            <v>6439841</v>
          </cell>
          <cell r="J20">
            <v>6440</v>
          </cell>
        </row>
        <row r="21">
          <cell r="D21">
            <v>417894</v>
          </cell>
          <cell r="J21">
            <v>418</v>
          </cell>
        </row>
        <row r="22">
          <cell r="D22">
            <v>683709</v>
          </cell>
          <cell r="J22">
            <v>684</v>
          </cell>
        </row>
        <row r="23">
          <cell r="D23">
            <v>3298736</v>
          </cell>
          <cell r="J23">
            <v>3299</v>
          </cell>
        </row>
        <row r="24">
          <cell r="D24">
            <v>10686201</v>
          </cell>
          <cell r="J24">
            <v>10686</v>
          </cell>
        </row>
        <row r="25">
          <cell r="D25">
            <v>5364385</v>
          </cell>
          <cell r="J25">
            <v>5364</v>
          </cell>
        </row>
        <row r="26">
          <cell r="D26">
            <v>800796</v>
          </cell>
          <cell r="J26">
            <v>801</v>
          </cell>
        </row>
        <row r="27">
          <cell r="D27">
            <v>4521020</v>
          </cell>
          <cell r="J27">
            <v>4521</v>
          </cell>
        </row>
        <row r="28">
          <cell r="D28">
            <v>3512000</v>
          </cell>
          <cell r="J28">
            <v>3512</v>
          </cell>
        </row>
        <row r="29">
          <cell r="D29">
            <v>3512000</v>
          </cell>
          <cell r="J29">
            <v>3512</v>
          </cell>
        </row>
        <row r="30">
          <cell r="D30">
            <v>2559486</v>
          </cell>
          <cell r="J30">
            <v>2559</v>
          </cell>
        </row>
        <row r="31">
          <cell r="D31">
            <v>1462500</v>
          </cell>
          <cell r="J31">
            <v>1463</v>
          </cell>
        </row>
        <row r="32">
          <cell r="D32">
            <v>1096986</v>
          </cell>
          <cell r="J32">
            <v>1096</v>
          </cell>
        </row>
        <row r="33">
          <cell r="J33">
            <v>37892</v>
          </cell>
        </row>
        <row r="34">
          <cell r="D34">
            <v>37891921</v>
          </cell>
          <cell r="J34">
            <v>37892</v>
          </cell>
        </row>
      </sheetData>
      <sheetData sheetId="8">
        <row r="11">
          <cell r="D11">
            <v>68414589</v>
          </cell>
        </row>
        <row r="13">
          <cell r="D13">
            <v>228080088</v>
          </cell>
        </row>
        <row r="14">
          <cell r="D14">
            <v>79781170</v>
          </cell>
        </row>
        <row r="15">
          <cell r="D15">
            <v>11597687</v>
          </cell>
        </row>
        <row r="16">
          <cell r="D16">
            <v>4462134</v>
          </cell>
        </row>
        <row r="17">
          <cell r="D17">
            <v>40000486</v>
          </cell>
        </row>
        <row r="33">
          <cell r="D33">
            <v>43911972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7">
        <row r="12">
          <cell r="C12">
            <v>60990432</v>
          </cell>
          <cell r="H12">
            <v>60990</v>
          </cell>
        </row>
        <row r="14">
          <cell r="C14">
            <v>200729151</v>
          </cell>
          <cell r="H14">
            <v>200729</v>
          </cell>
        </row>
        <row r="15">
          <cell r="C15">
            <v>71379952</v>
          </cell>
          <cell r="H15">
            <v>71380</v>
          </cell>
        </row>
        <row r="16">
          <cell r="C16">
            <v>10371341</v>
          </cell>
          <cell r="H16">
            <v>10371</v>
          </cell>
        </row>
        <row r="17">
          <cell r="C17">
            <v>4373882</v>
          </cell>
          <cell r="H17">
            <v>4374</v>
          </cell>
        </row>
        <row r="18">
          <cell r="C18">
            <v>36846777</v>
          </cell>
          <cell r="H18">
            <v>36847</v>
          </cell>
        </row>
        <row r="19">
          <cell r="C19">
            <v>37891921</v>
          </cell>
          <cell r="H19">
            <v>37892</v>
          </cell>
        </row>
        <row r="20">
          <cell r="C20">
            <v>9677181</v>
          </cell>
          <cell r="H20">
            <v>9677</v>
          </cell>
        </row>
        <row r="24">
          <cell r="C24">
            <v>291902344</v>
          </cell>
          <cell r="H24">
            <v>291902</v>
          </cell>
        </row>
        <row r="25">
          <cell r="C25">
            <v>32320976</v>
          </cell>
          <cell r="H25">
            <v>32321</v>
          </cell>
        </row>
        <row r="26">
          <cell r="C26">
            <v>44824430</v>
          </cell>
          <cell r="H26">
            <v>44824</v>
          </cell>
        </row>
        <row r="27">
          <cell r="C27">
            <v>87052375</v>
          </cell>
          <cell r="H27">
            <v>87052</v>
          </cell>
        </row>
        <row r="28">
          <cell r="C28">
            <v>41329875</v>
          </cell>
          <cell r="H28">
            <v>41331</v>
          </cell>
        </row>
        <row r="41">
          <cell r="C41">
            <v>402084502</v>
          </cell>
          <cell r="H41">
            <v>402087</v>
          </cell>
        </row>
        <row r="42">
          <cell r="C42">
            <v>40517809</v>
          </cell>
          <cell r="H42">
            <v>40518</v>
          </cell>
        </row>
        <row r="44">
          <cell r="C44">
            <v>7481775</v>
          </cell>
          <cell r="H44">
            <v>7482</v>
          </cell>
        </row>
        <row r="48">
          <cell r="C48">
            <v>27075539</v>
          </cell>
          <cell r="H48">
            <v>27075</v>
          </cell>
        </row>
        <row r="49">
          <cell r="C49">
            <v>812066</v>
          </cell>
          <cell r="H49">
            <v>813</v>
          </cell>
        </row>
        <row r="53">
          <cell r="C53">
            <v>76462110</v>
          </cell>
          <cell r="H53">
            <v>76462</v>
          </cell>
        </row>
        <row r="54">
          <cell r="C54">
            <v>57815920</v>
          </cell>
          <cell r="H54">
            <v>57816</v>
          </cell>
        </row>
        <row r="56">
          <cell r="C56">
            <v>30941247</v>
          </cell>
          <cell r="H56">
            <v>30941</v>
          </cell>
        </row>
        <row r="57">
          <cell r="C57">
            <v>16283222</v>
          </cell>
          <cell r="H57">
            <v>16283</v>
          </cell>
        </row>
        <row r="63">
          <cell r="C63">
            <v>486277242</v>
          </cell>
          <cell r="H63">
            <v>486277</v>
          </cell>
        </row>
        <row r="64">
          <cell r="C64">
            <v>9677181</v>
          </cell>
          <cell r="H64">
            <v>9677</v>
          </cell>
        </row>
        <row r="66">
          <cell r="C66">
            <v>7769932</v>
          </cell>
          <cell r="H66">
            <v>7770</v>
          </cell>
        </row>
        <row r="68">
          <cell r="C68">
            <v>22037751</v>
          </cell>
          <cell r="H68">
            <v>22038</v>
          </cell>
        </row>
        <row r="72">
          <cell r="C72">
            <v>1492638</v>
          </cell>
          <cell r="H72">
            <v>1493</v>
          </cell>
        </row>
        <row r="74">
          <cell r="C74">
            <v>1324</v>
          </cell>
          <cell r="H7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Aprīlis1"/>
      <sheetName val="Maijs"/>
      <sheetName val="Jūnijs"/>
      <sheetName val="Jūlijs"/>
      <sheetName val="Augusts"/>
      <sheetName val="Septembris"/>
      <sheetName val="Oktobris"/>
      <sheetName val="Novembris"/>
      <sheetName val="Sheet12"/>
      <sheetName val="Sheet13"/>
      <sheetName val="Sheet14"/>
      <sheetName val="Sheet15"/>
      <sheetName val="Sheet16"/>
    </sheetNames>
    <sheetDataSet>
      <sheetData sheetId="9">
        <row r="9">
          <cell r="C9">
            <v>88746063</v>
          </cell>
        </row>
        <row r="10">
          <cell r="C10">
            <v>32368065</v>
          </cell>
        </row>
        <row r="24">
          <cell r="C24">
            <v>49940913</v>
          </cell>
        </row>
        <row r="40">
          <cell r="C40">
            <v>15250000</v>
          </cell>
        </row>
        <row r="52">
          <cell r="C52">
            <v>16569128</v>
          </cell>
        </row>
        <row r="83">
          <cell r="C83">
            <v>1033222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96"/>
  <sheetViews>
    <sheetView workbookViewId="0" topLeftCell="Z1">
      <selection activeCell="C8" sqref="C8"/>
    </sheetView>
  </sheetViews>
  <sheetFormatPr defaultColWidth="9.140625" defaultRowHeight="12.75"/>
  <cols>
    <col min="1" max="1" width="39.28125" style="8" hidden="1" customWidth="1"/>
    <col min="2" max="2" width="13.28125" style="8" hidden="1" customWidth="1"/>
    <col min="3" max="3" width="11.57421875" style="65" hidden="1" customWidth="1"/>
    <col min="4" max="4" width="12.140625" style="8" hidden="1" customWidth="1"/>
    <col min="5" max="5" width="9.421875" style="73" hidden="1" customWidth="1"/>
    <col min="6" max="6" width="41.140625" style="8" hidden="1" customWidth="1"/>
    <col min="7" max="7" width="11.00390625" style="8" hidden="1" customWidth="1"/>
    <col min="8" max="8" width="11.8515625" style="8" hidden="1" customWidth="1"/>
    <col min="9" max="9" width="11.140625" style="8" hidden="1" customWidth="1"/>
    <col min="10" max="10" width="9.140625" style="8" hidden="1" customWidth="1"/>
    <col min="11" max="11" width="31.28125" style="8" hidden="1" customWidth="1"/>
    <col min="12" max="12" width="11.28125" style="8" hidden="1" customWidth="1"/>
    <col min="13" max="13" width="11.00390625" style="8" hidden="1" customWidth="1"/>
    <col min="14" max="14" width="10.7109375" style="8" hidden="1" customWidth="1"/>
    <col min="15" max="15" width="13.140625" style="8" hidden="1" customWidth="1"/>
    <col min="16" max="16" width="30.7109375" style="7" hidden="1" customWidth="1"/>
    <col min="17" max="17" width="10.57421875" style="8" hidden="1" customWidth="1"/>
    <col min="18" max="18" width="11.140625" style="8" hidden="1" customWidth="1"/>
    <col min="19" max="19" width="10.7109375" style="8" hidden="1" customWidth="1"/>
    <col min="20" max="20" width="13.28125" style="8" hidden="1" customWidth="1"/>
    <col min="21" max="21" width="33.00390625" style="8" hidden="1" customWidth="1"/>
    <col min="22" max="22" width="12.00390625" style="8" hidden="1" customWidth="1"/>
    <col min="23" max="23" width="11.8515625" style="8" hidden="1" customWidth="1"/>
    <col min="24" max="24" width="11.140625" style="8" hidden="1" customWidth="1"/>
    <col min="25" max="25" width="10.00390625" style="8" hidden="1" customWidth="1"/>
    <col min="26" max="26" width="36.57421875" style="8" customWidth="1"/>
    <col min="27" max="27" width="10.28125" style="8" customWidth="1"/>
    <col min="28" max="29" width="10.140625" style="8" customWidth="1"/>
    <col min="30" max="16384" width="9.140625" style="8" customWidth="1"/>
  </cols>
  <sheetData>
    <row r="1" spans="1:30" s="1" customFormat="1" ht="24.75" customHeight="1">
      <c r="A1" s="290" t="s">
        <v>0</v>
      </c>
      <c r="B1" s="290"/>
      <c r="C1" s="290"/>
      <c r="D1" s="290"/>
      <c r="E1" s="290"/>
      <c r="F1" s="290" t="s">
        <v>1</v>
      </c>
      <c r="G1" s="290"/>
      <c r="H1" s="290"/>
      <c r="I1" s="290"/>
      <c r="J1" s="290"/>
      <c r="K1" s="290" t="s">
        <v>2</v>
      </c>
      <c r="L1" s="290"/>
      <c r="M1" s="290"/>
      <c r="N1" s="290"/>
      <c r="O1" s="290"/>
      <c r="P1" s="291" t="s">
        <v>3</v>
      </c>
      <c r="Q1" s="291"/>
      <c r="R1" s="291"/>
      <c r="S1" s="291"/>
      <c r="T1" s="291"/>
      <c r="U1" s="291" t="s">
        <v>4</v>
      </c>
      <c r="V1" s="291"/>
      <c r="W1" s="291"/>
      <c r="X1" s="291"/>
      <c r="Y1" s="291"/>
      <c r="Z1" s="291" t="s">
        <v>5</v>
      </c>
      <c r="AA1" s="291"/>
      <c r="AB1" s="291"/>
      <c r="AC1" s="291"/>
      <c r="AD1" s="291"/>
    </row>
    <row r="2" spans="1:30" s="1" customFormat="1" ht="27.7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</row>
    <row r="3" spans="1:29" ht="12.75" customHeight="1">
      <c r="A3" s="2"/>
      <c r="B3" s="3"/>
      <c r="C3" s="4"/>
      <c r="D3" s="5" t="s">
        <v>6</v>
      </c>
      <c r="E3" s="6"/>
      <c r="F3" s="2"/>
      <c r="G3" s="3"/>
      <c r="H3" s="4"/>
      <c r="I3" s="5" t="s">
        <v>6</v>
      </c>
      <c r="J3" s="6"/>
      <c r="K3" s="2"/>
      <c r="L3" s="3"/>
      <c r="M3" s="4"/>
      <c r="N3" s="5" t="s">
        <v>6</v>
      </c>
      <c r="O3" s="6"/>
      <c r="S3" s="8" t="s">
        <v>6</v>
      </c>
      <c r="U3" s="7"/>
      <c r="X3" s="8" t="s">
        <v>6</v>
      </c>
      <c r="Z3" s="7"/>
      <c r="AC3" s="8" t="s">
        <v>6</v>
      </c>
    </row>
    <row r="4" spans="1:30" s="12" customFormat="1" ht="33.75">
      <c r="A4" s="9" t="s">
        <v>7</v>
      </c>
      <c r="B4" s="10" t="s">
        <v>8</v>
      </c>
      <c r="C4" s="10" t="s">
        <v>9</v>
      </c>
      <c r="D4" s="10" t="s">
        <v>10</v>
      </c>
      <c r="E4" s="11" t="s">
        <v>11</v>
      </c>
      <c r="F4" s="9" t="s">
        <v>7</v>
      </c>
      <c r="G4" s="10" t="s">
        <v>8</v>
      </c>
      <c r="H4" s="10" t="s">
        <v>9</v>
      </c>
      <c r="I4" s="10" t="s">
        <v>10</v>
      </c>
      <c r="J4" s="11" t="s">
        <v>12</v>
      </c>
      <c r="K4" s="9" t="s">
        <v>7</v>
      </c>
      <c r="L4" s="10" t="s">
        <v>8</v>
      </c>
      <c r="M4" s="10" t="s">
        <v>9</v>
      </c>
      <c r="N4" s="10" t="s">
        <v>10</v>
      </c>
      <c r="O4" s="11" t="s">
        <v>13</v>
      </c>
      <c r="P4" s="9" t="s">
        <v>7</v>
      </c>
      <c r="Q4" s="10" t="s">
        <v>8</v>
      </c>
      <c r="R4" s="10" t="s">
        <v>9</v>
      </c>
      <c r="S4" s="10" t="s">
        <v>10</v>
      </c>
      <c r="T4" s="11" t="s">
        <v>14</v>
      </c>
      <c r="U4" s="9" t="s">
        <v>7</v>
      </c>
      <c r="V4" s="10" t="s">
        <v>8</v>
      </c>
      <c r="W4" s="10" t="s">
        <v>9</v>
      </c>
      <c r="X4" s="10" t="s">
        <v>10</v>
      </c>
      <c r="Y4" s="11" t="s">
        <v>15</v>
      </c>
      <c r="Z4" s="9" t="s">
        <v>7</v>
      </c>
      <c r="AA4" s="10" t="s">
        <v>8</v>
      </c>
      <c r="AB4" s="10" t="s">
        <v>9</v>
      </c>
      <c r="AC4" s="10" t="s">
        <v>10</v>
      </c>
      <c r="AD4" s="11" t="s">
        <v>16</v>
      </c>
    </row>
    <row r="5" spans="1:30" s="17" customFormat="1" ht="12.75">
      <c r="A5" s="13" t="s">
        <v>17</v>
      </c>
      <c r="B5" s="14">
        <v>405514</v>
      </c>
      <c r="C5" s="15">
        <v>131581</v>
      </c>
      <c r="D5" s="14">
        <f>B5+C5</f>
        <v>537095</v>
      </c>
      <c r="E5" s="16">
        <v>140836</v>
      </c>
      <c r="F5" s="13" t="s">
        <v>17</v>
      </c>
      <c r="G5" s="14">
        <v>510019</v>
      </c>
      <c r="H5" s="15">
        <v>168552</v>
      </c>
      <c r="I5" s="14">
        <f>G5+H5</f>
        <v>678571</v>
      </c>
      <c r="J5" s="16">
        <f>I5-D5</f>
        <v>141476</v>
      </c>
      <c r="K5" s="13" t="s">
        <v>17</v>
      </c>
      <c r="L5" s="14">
        <v>613064</v>
      </c>
      <c r="M5" s="15">
        <v>210284</v>
      </c>
      <c r="N5" s="14">
        <f>L5+M5</f>
        <v>823348</v>
      </c>
      <c r="O5" s="16">
        <f>N5-I5</f>
        <v>144777</v>
      </c>
      <c r="P5" s="13" t="s">
        <v>17</v>
      </c>
      <c r="Q5" s="14">
        <v>721720</v>
      </c>
      <c r="R5" s="15">
        <v>240923</v>
      </c>
      <c r="S5" s="14">
        <f>Q5+R5</f>
        <v>962643</v>
      </c>
      <c r="T5" s="16">
        <f aca="true" t="shared" si="0" ref="T5:T39">S5-N5</f>
        <v>139295</v>
      </c>
      <c r="U5" s="13" t="s">
        <v>17</v>
      </c>
      <c r="V5" s="14">
        <v>836048</v>
      </c>
      <c r="W5" s="15">
        <v>271539</v>
      </c>
      <c r="X5" s="14">
        <f>V5+W5</f>
        <v>1107587</v>
      </c>
      <c r="Y5" s="16">
        <f aca="true" t="shared" si="1" ref="Y5:Y39">X5-S5</f>
        <v>144944</v>
      </c>
      <c r="Z5" s="13" t="s">
        <v>17</v>
      </c>
      <c r="AA5" s="14">
        <v>944524</v>
      </c>
      <c r="AB5" s="15">
        <v>305186</v>
      </c>
      <c r="AC5" s="14">
        <f>AA5+AB5</f>
        <v>1249710</v>
      </c>
      <c r="AD5" s="16">
        <f aca="true" t="shared" si="2" ref="AD5:AD39">AC5-X5</f>
        <v>142123</v>
      </c>
    </row>
    <row r="6" spans="1:30" s="22" customFormat="1" ht="23.25" customHeight="1">
      <c r="A6" s="18" t="s">
        <v>18</v>
      </c>
      <c r="B6" s="19" t="s">
        <v>19</v>
      </c>
      <c r="C6" s="19" t="s">
        <v>19</v>
      </c>
      <c r="D6" s="20">
        <v>30831</v>
      </c>
      <c r="E6" s="21">
        <v>9242</v>
      </c>
      <c r="F6" s="18" t="s">
        <v>18</v>
      </c>
      <c r="G6" s="19" t="s">
        <v>19</v>
      </c>
      <c r="H6" s="19" t="s">
        <v>19</v>
      </c>
      <c r="I6" s="20">
        <v>39349</v>
      </c>
      <c r="J6" s="21">
        <f aca="true" t="shared" si="3" ref="J6:J39">I6-D6</f>
        <v>8518</v>
      </c>
      <c r="K6" s="18" t="s">
        <v>18</v>
      </c>
      <c r="L6" s="19" t="s">
        <v>19</v>
      </c>
      <c r="M6" s="19" t="s">
        <v>19</v>
      </c>
      <c r="N6" s="20">
        <f>52348+3052</f>
        <v>55400</v>
      </c>
      <c r="O6" s="21">
        <f aca="true" t="shared" si="4" ref="O6:O39">N6-I6</f>
        <v>16051</v>
      </c>
      <c r="P6" s="18" t="s">
        <v>18</v>
      </c>
      <c r="Q6" s="19" t="s">
        <v>19</v>
      </c>
      <c r="R6" s="19" t="s">
        <v>19</v>
      </c>
      <c r="S6" s="20">
        <f>58297+3560</f>
        <v>61857</v>
      </c>
      <c r="T6" s="21">
        <f t="shared" si="0"/>
        <v>6457</v>
      </c>
      <c r="U6" s="18" t="s">
        <v>18</v>
      </c>
      <c r="V6" s="19" t="s">
        <v>19</v>
      </c>
      <c r="W6" s="19" t="s">
        <v>19</v>
      </c>
      <c r="X6" s="20">
        <f>63081+4069</f>
        <v>67150</v>
      </c>
      <c r="Y6" s="21">
        <f t="shared" si="1"/>
        <v>5293</v>
      </c>
      <c r="Z6" s="18" t="s">
        <v>18</v>
      </c>
      <c r="AA6" s="19" t="s">
        <v>19</v>
      </c>
      <c r="AB6" s="19" t="s">
        <v>19</v>
      </c>
      <c r="AC6" s="20">
        <v>74264</v>
      </c>
      <c r="AD6" s="21">
        <f t="shared" si="2"/>
        <v>7114</v>
      </c>
    </row>
    <row r="7" spans="1:30" s="22" customFormat="1" ht="21.75" customHeight="1">
      <c r="A7" s="18" t="s">
        <v>20</v>
      </c>
      <c r="B7" s="19" t="s">
        <v>19</v>
      </c>
      <c r="C7" s="19" t="s">
        <v>19</v>
      </c>
      <c r="D7" s="20">
        <v>3961</v>
      </c>
      <c r="E7" s="21">
        <v>-584</v>
      </c>
      <c r="F7" s="18" t="s">
        <v>20</v>
      </c>
      <c r="G7" s="19" t="s">
        <v>19</v>
      </c>
      <c r="H7" s="19" t="s">
        <v>19</v>
      </c>
      <c r="I7" s="20">
        <v>4494</v>
      </c>
      <c r="J7" s="21">
        <f t="shared" si="3"/>
        <v>533</v>
      </c>
      <c r="K7" s="18" t="s">
        <v>20</v>
      </c>
      <c r="L7" s="19" t="s">
        <v>19</v>
      </c>
      <c r="M7" s="19" t="s">
        <v>19</v>
      </c>
      <c r="N7" s="20">
        <v>5232</v>
      </c>
      <c r="O7" s="21">
        <f t="shared" si="4"/>
        <v>738</v>
      </c>
      <c r="P7" s="18" t="s">
        <v>20</v>
      </c>
      <c r="Q7" s="19" t="s">
        <v>19</v>
      </c>
      <c r="R7" s="19" t="s">
        <v>19</v>
      </c>
      <c r="S7" s="20">
        <v>5878</v>
      </c>
      <c r="T7" s="21">
        <f t="shared" si="0"/>
        <v>646</v>
      </c>
      <c r="U7" s="18" t="s">
        <v>20</v>
      </c>
      <c r="V7" s="19" t="s">
        <v>19</v>
      </c>
      <c r="W7" s="19" t="s">
        <v>19</v>
      </c>
      <c r="X7" s="20">
        <v>13955</v>
      </c>
      <c r="Y7" s="21">
        <f t="shared" si="1"/>
        <v>8077</v>
      </c>
      <c r="Z7" s="18" t="s">
        <v>20</v>
      </c>
      <c r="AA7" s="19" t="s">
        <v>19</v>
      </c>
      <c r="AB7" s="19" t="s">
        <v>19</v>
      </c>
      <c r="AC7" s="20">
        <v>15896</v>
      </c>
      <c r="AD7" s="21">
        <f t="shared" si="2"/>
        <v>1941</v>
      </c>
    </row>
    <row r="8" spans="1:30" s="17" customFormat="1" ht="25.5">
      <c r="A8" s="23" t="s">
        <v>21</v>
      </c>
      <c r="B8" s="24" t="s">
        <v>19</v>
      </c>
      <c r="C8" s="24" t="s">
        <v>19</v>
      </c>
      <c r="D8" s="14">
        <f>D5-D6-D7</f>
        <v>502303</v>
      </c>
      <c r="E8" s="25">
        <f>E5-E6-E7</f>
        <v>132178</v>
      </c>
      <c r="F8" s="23" t="s">
        <v>21</v>
      </c>
      <c r="G8" s="24" t="s">
        <v>19</v>
      </c>
      <c r="H8" s="24" t="s">
        <v>19</v>
      </c>
      <c r="I8" s="14">
        <f>I5-I6-I7</f>
        <v>634728</v>
      </c>
      <c r="J8" s="16">
        <f t="shared" si="3"/>
        <v>132425</v>
      </c>
      <c r="K8" s="23" t="s">
        <v>21</v>
      </c>
      <c r="L8" s="24" t="s">
        <v>19</v>
      </c>
      <c r="M8" s="24" t="s">
        <v>19</v>
      </c>
      <c r="N8" s="14">
        <f>N5-N6-N7</f>
        <v>762716</v>
      </c>
      <c r="O8" s="16">
        <f t="shared" si="4"/>
        <v>127988</v>
      </c>
      <c r="P8" s="23" t="s">
        <v>21</v>
      </c>
      <c r="Q8" s="24" t="s">
        <v>19</v>
      </c>
      <c r="R8" s="24" t="s">
        <v>19</v>
      </c>
      <c r="S8" s="14">
        <f>S5-S6-S7</f>
        <v>894908</v>
      </c>
      <c r="T8" s="16">
        <f t="shared" si="0"/>
        <v>132192</v>
      </c>
      <c r="U8" s="23" t="s">
        <v>21</v>
      </c>
      <c r="V8" s="24" t="s">
        <v>19</v>
      </c>
      <c r="W8" s="24" t="s">
        <v>19</v>
      </c>
      <c r="X8" s="14">
        <f>X5-X6-X7</f>
        <v>1026482</v>
      </c>
      <c r="Y8" s="16">
        <f t="shared" si="1"/>
        <v>131574</v>
      </c>
      <c r="Z8" s="23" t="s">
        <v>21</v>
      </c>
      <c r="AA8" s="24" t="s">
        <v>19</v>
      </c>
      <c r="AB8" s="24" t="s">
        <v>19</v>
      </c>
      <c r="AC8" s="14">
        <f>AC5-AC6-AC7</f>
        <v>1159550</v>
      </c>
      <c r="AD8" s="16">
        <f t="shared" si="2"/>
        <v>133068</v>
      </c>
    </row>
    <row r="9" spans="1:30" s="26" customFormat="1" ht="12.75">
      <c r="A9" s="13" t="s">
        <v>22</v>
      </c>
      <c r="B9" s="14">
        <v>430174</v>
      </c>
      <c r="C9" s="15">
        <v>124192</v>
      </c>
      <c r="D9" s="14">
        <f>B9+C9</f>
        <v>554366</v>
      </c>
      <c r="E9" s="16">
        <f>153802-28</f>
        <v>153774</v>
      </c>
      <c r="F9" s="13" t="s">
        <v>22</v>
      </c>
      <c r="G9" s="14">
        <v>551865</v>
      </c>
      <c r="H9" s="15">
        <v>159035</v>
      </c>
      <c r="I9" s="14">
        <f>G9+H9</f>
        <v>710900</v>
      </c>
      <c r="J9" s="16">
        <f t="shared" si="3"/>
        <v>156534</v>
      </c>
      <c r="K9" s="13" t="s">
        <v>22</v>
      </c>
      <c r="L9" s="14">
        <f>676258+121</f>
        <v>676379</v>
      </c>
      <c r="M9" s="15">
        <v>204319</v>
      </c>
      <c r="N9" s="14">
        <f>L9+M9</f>
        <v>880698</v>
      </c>
      <c r="O9" s="16">
        <f>N9-I9</f>
        <v>169798</v>
      </c>
      <c r="P9" s="13" t="s">
        <v>22</v>
      </c>
      <c r="Q9" s="14">
        <v>792546</v>
      </c>
      <c r="R9" s="15">
        <v>237976</v>
      </c>
      <c r="S9" s="14">
        <f>Q9+R9</f>
        <v>1030522</v>
      </c>
      <c r="T9" s="16">
        <f t="shared" si="0"/>
        <v>149824</v>
      </c>
      <c r="U9" s="13" t="s">
        <v>22</v>
      </c>
      <c r="V9" s="14">
        <v>907658</v>
      </c>
      <c r="W9" s="15">
        <v>268419</v>
      </c>
      <c r="X9" s="14">
        <f>V9+W9</f>
        <v>1176077</v>
      </c>
      <c r="Y9" s="16">
        <f t="shared" si="1"/>
        <v>145555</v>
      </c>
      <c r="Z9" s="13" t="s">
        <v>22</v>
      </c>
      <c r="AA9" s="14">
        <v>1030464</v>
      </c>
      <c r="AB9" s="15">
        <v>304508</v>
      </c>
      <c r="AC9" s="14">
        <f>AA9+AB9</f>
        <v>1334972</v>
      </c>
      <c r="AD9" s="16">
        <f t="shared" si="2"/>
        <v>158895</v>
      </c>
    </row>
    <row r="10" spans="1:30" s="27" customFormat="1" ht="27" customHeight="1">
      <c r="A10" s="18" t="s">
        <v>23</v>
      </c>
      <c r="B10" s="19" t="s">
        <v>19</v>
      </c>
      <c r="C10" s="19" t="s">
        <v>19</v>
      </c>
      <c r="D10" s="20">
        <v>30831</v>
      </c>
      <c r="E10" s="21">
        <v>9242</v>
      </c>
      <c r="F10" s="18" t="s">
        <v>23</v>
      </c>
      <c r="G10" s="19" t="s">
        <v>19</v>
      </c>
      <c r="H10" s="19" t="s">
        <v>19</v>
      </c>
      <c r="I10" s="20">
        <v>39349</v>
      </c>
      <c r="J10" s="21">
        <f t="shared" si="3"/>
        <v>8518</v>
      </c>
      <c r="K10" s="18" t="s">
        <v>23</v>
      </c>
      <c r="L10" s="19" t="s">
        <v>19</v>
      </c>
      <c r="M10" s="19" t="s">
        <v>19</v>
      </c>
      <c r="N10" s="20">
        <v>55400</v>
      </c>
      <c r="O10" s="21">
        <f t="shared" si="4"/>
        <v>16051</v>
      </c>
      <c r="P10" s="18" t="s">
        <v>23</v>
      </c>
      <c r="Q10" s="19" t="s">
        <v>19</v>
      </c>
      <c r="R10" s="19" t="s">
        <v>19</v>
      </c>
      <c r="S10" s="20">
        <v>61857</v>
      </c>
      <c r="T10" s="21">
        <f t="shared" si="0"/>
        <v>6457</v>
      </c>
      <c r="U10" s="18" t="s">
        <v>23</v>
      </c>
      <c r="V10" s="19" t="s">
        <v>19</v>
      </c>
      <c r="W10" s="19" t="s">
        <v>19</v>
      </c>
      <c r="X10" s="20">
        <v>67150</v>
      </c>
      <c r="Y10" s="21">
        <f t="shared" si="1"/>
        <v>5293</v>
      </c>
      <c r="Z10" s="18" t="s">
        <v>23</v>
      </c>
      <c r="AA10" s="19" t="s">
        <v>19</v>
      </c>
      <c r="AB10" s="19" t="s">
        <v>19</v>
      </c>
      <c r="AC10" s="20">
        <v>74264</v>
      </c>
      <c r="AD10" s="21">
        <f t="shared" si="2"/>
        <v>7114</v>
      </c>
    </row>
    <row r="11" spans="1:30" s="27" customFormat="1" ht="22.5">
      <c r="A11" s="18" t="s">
        <v>24</v>
      </c>
      <c r="B11" s="19" t="s">
        <v>19</v>
      </c>
      <c r="C11" s="19" t="s">
        <v>19</v>
      </c>
      <c r="D11" s="20">
        <v>3961</v>
      </c>
      <c r="E11" s="21">
        <v>-584</v>
      </c>
      <c r="F11" s="18" t="s">
        <v>24</v>
      </c>
      <c r="G11" s="19" t="s">
        <v>19</v>
      </c>
      <c r="H11" s="19" t="s">
        <v>19</v>
      </c>
      <c r="I11" s="20">
        <v>4494</v>
      </c>
      <c r="J11" s="21">
        <f t="shared" si="3"/>
        <v>533</v>
      </c>
      <c r="K11" s="18" t="s">
        <v>24</v>
      </c>
      <c r="L11" s="19" t="s">
        <v>19</v>
      </c>
      <c r="M11" s="19" t="s">
        <v>19</v>
      </c>
      <c r="N11" s="20">
        <v>5232</v>
      </c>
      <c r="O11" s="21">
        <f t="shared" si="4"/>
        <v>738</v>
      </c>
      <c r="P11" s="18" t="s">
        <v>24</v>
      </c>
      <c r="Q11" s="19" t="s">
        <v>19</v>
      </c>
      <c r="R11" s="19" t="s">
        <v>19</v>
      </c>
      <c r="S11" s="20">
        <v>5878</v>
      </c>
      <c r="T11" s="21">
        <f t="shared" si="0"/>
        <v>646</v>
      </c>
      <c r="U11" s="18" t="s">
        <v>24</v>
      </c>
      <c r="V11" s="19" t="s">
        <v>19</v>
      </c>
      <c r="W11" s="19" t="s">
        <v>19</v>
      </c>
      <c r="X11" s="20">
        <v>13955</v>
      </c>
      <c r="Y11" s="21">
        <f t="shared" si="1"/>
        <v>8077</v>
      </c>
      <c r="Z11" s="18" t="s">
        <v>24</v>
      </c>
      <c r="AA11" s="19" t="s">
        <v>19</v>
      </c>
      <c r="AB11" s="19" t="s">
        <v>19</v>
      </c>
      <c r="AC11" s="20">
        <v>15896</v>
      </c>
      <c r="AD11" s="21">
        <f t="shared" si="2"/>
        <v>1941</v>
      </c>
    </row>
    <row r="12" spans="1:30" s="26" customFormat="1" ht="12.75">
      <c r="A12" s="23" t="s">
        <v>25</v>
      </c>
      <c r="B12" s="24" t="s">
        <v>19</v>
      </c>
      <c r="C12" s="24" t="s">
        <v>19</v>
      </c>
      <c r="D12" s="14">
        <f>D9-D10-D11</f>
        <v>519574</v>
      </c>
      <c r="E12" s="25">
        <f>E9-E10-E11</f>
        <v>145116</v>
      </c>
      <c r="F12" s="23" t="s">
        <v>25</v>
      </c>
      <c r="G12" s="24" t="s">
        <v>19</v>
      </c>
      <c r="H12" s="24" t="s">
        <v>19</v>
      </c>
      <c r="I12" s="14">
        <f>I9-I10-I11</f>
        <v>667057</v>
      </c>
      <c r="J12" s="16">
        <f t="shared" si="3"/>
        <v>147483</v>
      </c>
      <c r="K12" s="23" t="s">
        <v>25</v>
      </c>
      <c r="L12" s="24" t="s">
        <v>19</v>
      </c>
      <c r="M12" s="24" t="s">
        <v>19</v>
      </c>
      <c r="N12" s="14">
        <f>N9-N10-N11</f>
        <v>820066</v>
      </c>
      <c r="O12" s="16">
        <f>N12-I12</f>
        <v>153009</v>
      </c>
      <c r="P12" s="23" t="s">
        <v>25</v>
      </c>
      <c r="Q12" s="24" t="s">
        <v>19</v>
      </c>
      <c r="R12" s="24" t="s">
        <v>19</v>
      </c>
      <c r="S12" s="14">
        <f>S9-S10-S11</f>
        <v>962787</v>
      </c>
      <c r="T12" s="16">
        <f t="shared" si="0"/>
        <v>142721</v>
      </c>
      <c r="U12" s="23" t="s">
        <v>25</v>
      </c>
      <c r="V12" s="24" t="s">
        <v>19</v>
      </c>
      <c r="W12" s="24" t="s">
        <v>19</v>
      </c>
      <c r="X12" s="14">
        <f>X9-X10-X11</f>
        <v>1094972</v>
      </c>
      <c r="Y12" s="16">
        <f t="shared" si="1"/>
        <v>132185</v>
      </c>
      <c r="Z12" s="23" t="s">
        <v>25</v>
      </c>
      <c r="AA12" s="24" t="s">
        <v>19</v>
      </c>
      <c r="AB12" s="24" t="s">
        <v>19</v>
      </c>
      <c r="AC12" s="14">
        <f>AC9-AC10-AC11</f>
        <v>1244812</v>
      </c>
      <c r="AD12" s="16">
        <f t="shared" si="2"/>
        <v>149840</v>
      </c>
    </row>
    <row r="13" spans="1:30" s="28" customFormat="1" ht="25.5">
      <c r="A13" s="23" t="s">
        <v>26</v>
      </c>
      <c r="B13" s="14">
        <f>B5-B9</f>
        <v>-24660</v>
      </c>
      <c r="C13" s="15">
        <f>C5-C9</f>
        <v>7389</v>
      </c>
      <c r="D13" s="14">
        <f>D8-D12</f>
        <v>-17271</v>
      </c>
      <c r="E13" s="25">
        <f>E8-E12</f>
        <v>-12938</v>
      </c>
      <c r="F13" s="23" t="s">
        <v>26</v>
      </c>
      <c r="G13" s="14">
        <f>G5-G9</f>
        <v>-41846</v>
      </c>
      <c r="H13" s="15">
        <f>H5-H9</f>
        <v>9517</v>
      </c>
      <c r="I13" s="14">
        <f>I8-I12</f>
        <v>-32329</v>
      </c>
      <c r="J13" s="16">
        <f t="shared" si="3"/>
        <v>-15058</v>
      </c>
      <c r="K13" s="23" t="s">
        <v>26</v>
      </c>
      <c r="L13" s="14">
        <f>L5-L9</f>
        <v>-63315</v>
      </c>
      <c r="M13" s="15">
        <f>M5-M9</f>
        <v>5965</v>
      </c>
      <c r="N13" s="14">
        <f>N8-N12</f>
        <v>-57350</v>
      </c>
      <c r="O13" s="16">
        <f t="shared" si="4"/>
        <v>-25021</v>
      </c>
      <c r="P13" s="23" t="s">
        <v>26</v>
      </c>
      <c r="Q13" s="14">
        <f>Q5-Q9</f>
        <v>-70826</v>
      </c>
      <c r="R13" s="15">
        <f>R5-R9</f>
        <v>2947</v>
      </c>
      <c r="S13" s="14">
        <f>S8-S12</f>
        <v>-67879</v>
      </c>
      <c r="T13" s="16">
        <f t="shared" si="0"/>
        <v>-10529</v>
      </c>
      <c r="U13" s="23" t="s">
        <v>26</v>
      </c>
      <c r="V13" s="14">
        <f>V5-V9</f>
        <v>-71610</v>
      </c>
      <c r="W13" s="15">
        <f>W5-W9</f>
        <v>3120</v>
      </c>
      <c r="X13" s="14">
        <f>X8-X12</f>
        <v>-68490</v>
      </c>
      <c r="Y13" s="16">
        <f t="shared" si="1"/>
        <v>-611</v>
      </c>
      <c r="Z13" s="23" t="s">
        <v>26</v>
      </c>
      <c r="AA13" s="14">
        <f>AA5-AA9</f>
        <v>-85940</v>
      </c>
      <c r="AB13" s="15">
        <f>AB5-AB9</f>
        <v>678</v>
      </c>
      <c r="AC13" s="14">
        <f>AC8-AC12</f>
        <v>-85262</v>
      </c>
      <c r="AD13" s="16">
        <f t="shared" si="2"/>
        <v>-16772</v>
      </c>
    </row>
    <row r="14" spans="1:30" s="28" customFormat="1" ht="12.75">
      <c r="A14" s="29" t="s">
        <v>27</v>
      </c>
      <c r="B14" s="15">
        <f>B15-B18</f>
        <v>2182</v>
      </c>
      <c r="C14" s="15">
        <f>C15-C18</f>
        <v>-652</v>
      </c>
      <c r="D14" s="15">
        <f>D17-D20</f>
        <v>4511</v>
      </c>
      <c r="E14" s="25">
        <f>E17-E20</f>
        <v>966</v>
      </c>
      <c r="F14" s="29" t="s">
        <v>27</v>
      </c>
      <c r="G14" s="15">
        <f>G15-G18</f>
        <v>3779</v>
      </c>
      <c r="H14" s="15">
        <f>H15-H18</f>
        <v>-424</v>
      </c>
      <c r="I14" s="15">
        <f>I17-I20</f>
        <v>6113</v>
      </c>
      <c r="J14" s="16">
        <f t="shared" si="3"/>
        <v>1602</v>
      </c>
      <c r="K14" s="29" t="s">
        <v>27</v>
      </c>
      <c r="L14" s="15">
        <f>L15-L18</f>
        <v>5127</v>
      </c>
      <c r="M14" s="15">
        <f>M15-M18</f>
        <v>-233</v>
      </c>
      <c r="N14" s="15">
        <f>N17-N20</f>
        <v>6502</v>
      </c>
      <c r="O14" s="16">
        <f t="shared" si="4"/>
        <v>389</v>
      </c>
      <c r="P14" s="29" t="s">
        <v>27</v>
      </c>
      <c r="Q14" s="15">
        <f>Q15-Q18</f>
        <v>5704</v>
      </c>
      <c r="R14" s="15">
        <f>R15-R18</f>
        <v>123</v>
      </c>
      <c r="S14" s="15">
        <f>S17-S20</f>
        <v>6015</v>
      </c>
      <c r="T14" s="16">
        <f t="shared" si="0"/>
        <v>-487</v>
      </c>
      <c r="U14" s="29" t="s">
        <v>27</v>
      </c>
      <c r="V14" s="15">
        <f>V15-V18</f>
        <v>5480</v>
      </c>
      <c r="W14" s="15">
        <f>W15-W18</f>
        <v>481</v>
      </c>
      <c r="X14" s="15">
        <f>X17-X20</f>
        <v>6227</v>
      </c>
      <c r="Y14" s="16">
        <f t="shared" si="1"/>
        <v>212</v>
      </c>
      <c r="Z14" s="29" t="s">
        <v>27</v>
      </c>
      <c r="AA14" s="15">
        <f>AA15-AA18</f>
        <v>7856</v>
      </c>
      <c r="AB14" s="15">
        <f>AB15-AB18</f>
        <v>2175</v>
      </c>
      <c r="AC14" s="15">
        <f>AC17-AC20</f>
        <v>9756</v>
      </c>
      <c r="AD14" s="16">
        <f t="shared" si="2"/>
        <v>3529</v>
      </c>
    </row>
    <row r="15" spans="1:30" s="35" customFormat="1" ht="12">
      <c r="A15" s="30" t="s">
        <v>28</v>
      </c>
      <c r="B15" s="31">
        <v>11179</v>
      </c>
      <c r="C15" s="32">
        <v>2104</v>
      </c>
      <c r="D15" s="31">
        <f>B15+C15</f>
        <v>13283</v>
      </c>
      <c r="E15" s="33">
        <v>3971</v>
      </c>
      <c r="F15" s="30" t="s">
        <v>28</v>
      </c>
      <c r="G15" s="31">
        <v>14328</v>
      </c>
      <c r="H15" s="32">
        <v>2660</v>
      </c>
      <c r="I15" s="31">
        <f>G15+H15</f>
        <v>16988</v>
      </c>
      <c r="J15" s="34">
        <f t="shared" si="3"/>
        <v>3705</v>
      </c>
      <c r="K15" s="30" t="s">
        <v>28</v>
      </c>
      <c r="L15" s="31">
        <f>17033</f>
        <v>17033</v>
      </c>
      <c r="M15" s="32">
        <v>3098</v>
      </c>
      <c r="N15" s="31">
        <f>L15+M15</f>
        <v>20131</v>
      </c>
      <c r="O15" s="34">
        <f t="shared" si="4"/>
        <v>3143</v>
      </c>
      <c r="P15" s="30" t="s">
        <v>28</v>
      </c>
      <c r="Q15" s="31">
        <f>17579+1493</f>
        <v>19072</v>
      </c>
      <c r="R15" s="32">
        <v>3320</v>
      </c>
      <c r="S15" s="31">
        <f>Q15+R15</f>
        <v>22392</v>
      </c>
      <c r="T15" s="34">
        <f t="shared" si="0"/>
        <v>2261</v>
      </c>
      <c r="U15" s="30" t="s">
        <v>28</v>
      </c>
      <c r="V15" s="31">
        <v>20139</v>
      </c>
      <c r="W15" s="32">
        <v>3771</v>
      </c>
      <c r="X15" s="31">
        <f>V15+W15</f>
        <v>23910</v>
      </c>
      <c r="Y15" s="34">
        <f t="shared" si="1"/>
        <v>1518</v>
      </c>
      <c r="Z15" s="30" t="s">
        <v>28</v>
      </c>
      <c r="AA15" s="31">
        <v>23952</v>
      </c>
      <c r="AB15" s="32">
        <v>5570</v>
      </c>
      <c r="AC15" s="31">
        <f>AA15+AB15</f>
        <v>29522</v>
      </c>
      <c r="AD15" s="34">
        <f t="shared" si="2"/>
        <v>5612</v>
      </c>
    </row>
    <row r="16" spans="1:30" s="37" customFormat="1" ht="22.5">
      <c r="A16" s="18" t="s">
        <v>29</v>
      </c>
      <c r="B16" s="19" t="s">
        <v>19</v>
      </c>
      <c r="C16" s="19" t="s">
        <v>19</v>
      </c>
      <c r="D16" s="20">
        <v>1197</v>
      </c>
      <c r="E16" s="36">
        <v>105</v>
      </c>
      <c r="F16" s="18" t="s">
        <v>29</v>
      </c>
      <c r="G16" s="19" t="s">
        <v>19</v>
      </c>
      <c r="H16" s="19" t="s">
        <v>19</v>
      </c>
      <c r="I16" s="20">
        <v>2067</v>
      </c>
      <c r="J16" s="21">
        <f t="shared" si="3"/>
        <v>870</v>
      </c>
      <c r="K16" s="18" t="s">
        <v>29</v>
      </c>
      <c r="L16" s="19" t="s">
        <v>19</v>
      </c>
      <c r="M16" s="19" t="s">
        <v>19</v>
      </c>
      <c r="N16" s="20">
        <v>3716</v>
      </c>
      <c r="O16" s="21">
        <f t="shared" si="4"/>
        <v>1649</v>
      </c>
      <c r="P16" s="18" t="s">
        <v>29</v>
      </c>
      <c r="Q16" s="19" t="s">
        <v>19</v>
      </c>
      <c r="R16" s="19" t="s">
        <v>19</v>
      </c>
      <c r="S16" s="20">
        <v>5701</v>
      </c>
      <c r="T16" s="21">
        <f t="shared" si="0"/>
        <v>1985</v>
      </c>
      <c r="U16" s="18" t="s">
        <v>29</v>
      </c>
      <c r="V16" s="19" t="s">
        <v>19</v>
      </c>
      <c r="W16" s="19" t="s">
        <v>19</v>
      </c>
      <c r="X16" s="20">
        <v>6168</v>
      </c>
      <c r="Y16" s="21">
        <f t="shared" si="1"/>
        <v>467</v>
      </c>
      <c r="Z16" s="18" t="s">
        <v>29</v>
      </c>
      <c r="AA16" s="19" t="s">
        <v>19</v>
      </c>
      <c r="AB16" s="19" t="s">
        <v>19</v>
      </c>
      <c r="AC16" s="20">
        <v>7302</v>
      </c>
      <c r="AD16" s="21">
        <f t="shared" si="2"/>
        <v>1134</v>
      </c>
    </row>
    <row r="17" spans="1:30" s="28" customFormat="1" ht="12.75">
      <c r="A17" s="29" t="s">
        <v>30</v>
      </c>
      <c r="B17" s="24" t="s">
        <v>19</v>
      </c>
      <c r="C17" s="24" t="s">
        <v>19</v>
      </c>
      <c r="D17" s="14">
        <f>D15-D16</f>
        <v>12086</v>
      </c>
      <c r="E17" s="25">
        <f>E15-E16</f>
        <v>3866</v>
      </c>
      <c r="F17" s="29" t="s">
        <v>30</v>
      </c>
      <c r="G17" s="24" t="s">
        <v>19</v>
      </c>
      <c r="H17" s="24" t="s">
        <v>19</v>
      </c>
      <c r="I17" s="14">
        <f>I15-I16</f>
        <v>14921</v>
      </c>
      <c r="J17" s="16">
        <f t="shared" si="3"/>
        <v>2835</v>
      </c>
      <c r="K17" s="29" t="s">
        <v>30</v>
      </c>
      <c r="L17" s="24" t="s">
        <v>19</v>
      </c>
      <c r="M17" s="24" t="s">
        <v>19</v>
      </c>
      <c r="N17" s="14">
        <f>N15-N16</f>
        <v>16415</v>
      </c>
      <c r="O17" s="16">
        <f t="shared" si="4"/>
        <v>1494</v>
      </c>
      <c r="P17" s="29" t="s">
        <v>30</v>
      </c>
      <c r="Q17" s="24" t="s">
        <v>19</v>
      </c>
      <c r="R17" s="24" t="s">
        <v>19</v>
      </c>
      <c r="S17" s="14">
        <f>S15-S16</f>
        <v>16691</v>
      </c>
      <c r="T17" s="16">
        <f t="shared" si="0"/>
        <v>276</v>
      </c>
      <c r="U17" s="29" t="s">
        <v>30</v>
      </c>
      <c r="V17" s="24" t="s">
        <v>19</v>
      </c>
      <c r="W17" s="24" t="s">
        <v>19</v>
      </c>
      <c r="X17" s="14">
        <f>X15-X16</f>
        <v>17742</v>
      </c>
      <c r="Y17" s="16">
        <f t="shared" si="1"/>
        <v>1051</v>
      </c>
      <c r="Z17" s="29" t="s">
        <v>30</v>
      </c>
      <c r="AA17" s="24" t="s">
        <v>19</v>
      </c>
      <c r="AB17" s="24" t="s">
        <v>19</v>
      </c>
      <c r="AC17" s="14">
        <f>AC15-AC16</f>
        <v>22220</v>
      </c>
      <c r="AD17" s="16">
        <f t="shared" si="2"/>
        <v>4478</v>
      </c>
    </row>
    <row r="18" spans="1:30" s="35" customFormat="1" ht="12">
      <c r="A18" s="30" t="s">
        <v>31</v>
      </c>
      <c r="B18" s="31">
        <v>8997</v>
      </c>
      <c r="C18" s="32">
        <v>2756</v>
      </c>
      <c r="D18" s="31">
        <f>B18+C18</f>
        <v>11753</v>
      </c>
      <c r="E18" s="33">
        <v>3398</v>
      </c>
      <c r="F18" s="30" t="s">
        <v>31</v>
      </c>
      <c r="G18" s="31">
        <v>10549</v>
      </c>
      <c r="H18" s="32">
        <v>3084</v>
      </c>
      <c r="I18" s="31">
        <f>G18+H18</f>
        <v>13633</v>
      </c>
      <c r="J18" s="34">
        <f t="shared" si="3"/>
        <v>1880</v>
      </c>
      <c r="K18" s="30" t="s">
        <v>31</v>
      </c>
      <c r="L18" s="31">
        <v>11906</v>
      </c>
      <c r="M18" s="32">
        <v>3331</v>
      </c>
      <c r="N18" s="31">
        <f>L18+M18</f>
        <v>15237</v>
      </c>
      <c r="O18" s="34">
        <f t="shared" si="4"/>
        <v>1604</v>
      </c>
      <c r="P18" s="30" t="s">
        <v>31</v>
      </c>
      <c r="Q18" s="31">
        <v>13368</v>
      </c>
      <c r="R18" s="32">
        <v>3197</v>
      </c>
      <c r="S18" s="31">
        <f>Q18+R18</f>
        <v>16565</v>
      </c>
      <c r="T18" s="34">
        <f t="shared" si="0"/>
        <v>1328</v>
      </c>
      <c r="U18" s="30" t="s">
        <v>31</v>
      </c>
      <c r="V18" s="31">
        <v>14659</v>
      </c>
      <c r="W18" s="32">
        <v>3290</v>
      </c>
      <c r="X18" s="31">
        <f>V18+W18</f>
        <v>17949</v>
      </c>
      <c r="Y18" s="34">
        <f t="shared" si="1"/>
        <v>1384</v>
      </c>
      <c r="Z18" s="30" t="s">
        <v>31</v>
      </c>
      <c r="AA18" s="31">
        <v>16096</v>
      </c>
      <c r="AB18" s="32">
        <v>3395</v>
      </c>
      <c r="AC18" s="31">
        <f>AA18+AB18</f>
        <v>19491</v>
      </c>
      <c r="AD18" s="34">
        <f t="shared" si="2"/>
        <v>1542</v>
      </c>
    </row>
    <row r="19" spans="1:30" s="39" customFormat="1" ht="22.5">
      <c r="A19" s="18" t="s">
        <v>32</v>
      </c>
      <c r="B19" s="38" t="s">
        <v>19</v>
      </c>
      <c r="C19" s="38" t="s">
        <v>19</v>
      </c>
      <c r="D19" s="20">
        <v>4178</v>
      </c>
      <c r="E19" s="36">
        <v>498</v>
      </c>
      <c r="F19" s="18" t="s">
        <v>32</v>
      </c>
      <c r="G19" s="38" t="s">
        <v>19</v>
      </c>
      <c r="H19" s="38" t="s">
        <v>19</v>
      </c>
      <c r="I19" s="20">
        <v>4825</v>
      </c>
      <c r="J19" s="21">
        <f t="shared" si="3"/>
        <v>647</v>
      </c>
      <c r="K19" s="18" t="s">
        <v>32</v>
      </c>
      <c r="L19" s="38" t="s">
        <v>19</v>
      </c>
      <c r="M19" s="38" t="s">
        <v>19</v>
      </c>
      <c r="N19" s="20">
        <f>5226+98</f>
        <v>5324</v>
      </c>
      <c r="O19" s="21">
        <f t="shared" si="4"/>
        <v>499</v>
      </c>
      <c r="P19" s="18" t="s">
        <v>32</v>
      </c>
      <c r="Q19" s="38" t="s">
        <v>19</v>
      </c>
      <c r="R19" s="38" t="s">
        <v>19</v>
      </c>
      <c r="S19" s="20">
        <v>5889</v>
      </c>
      <c r="T19" s="21">
        <f t="shared" si="0"/>
        <v>565</v>
      </c>
      <c r="U19" s="18" t="s">
        <v>32</v>
      </c>
      <c r="V19" s="38" t="s">
        <v>19</v>
      </c>
      <c r="W19" s="38" t="s">
        <v>19</v>
      </c>
      <c r="X19" s="20">
        <v>6434</v>
      </c>
      <c r="Y19" s="21">
        <f t="shared" si="1"/>
        <v>545</v>
      </c>
      <c r="Z19" s="18" t="s">
        <v>32</v>
      </c>
      <c r="AA19" s="38" t="s">
        <v>19</v>
      </c>
      <c r="AB19" s="38" t="s">
        <v>19</v>
      </c>
      <c r="AC19" s="20">
        <v>7027</v>
      </c>
      <c r="AD19" s="21">
        <f t="shared" si="2"/>
        <v>593</v>
      </c>
    </row>
    <row r="20" spans="1:30" s="28" customFormat="1" ht="12.75">
      <c r="A20" s="29" t="s">
        <v>33</v>
      </c>
      <c r="B20" s="24" t="s">
        <v>19</v>
      </c>
      <c r="C20" s="24" t="s">
        <v>19</v>
      </c>
      <c r="D20" s="14">
        <f>D18-D19</f>
        <v>7575</v>
      </c>
      <c r="E20" s="25">
        <f>E18-E19</f>
        <v>2900</v>
      </c>
      <c r="F20" s="29" t="s">
        <v>33</v>
      </c>
      <c r="G20" s="24" t="s">
        <v>19</v>
      </c>
      <c r="H20" s="24" t="s">
        <v>19</v>
      </c>
      <c r="I20" s="14">
        <f>I18-I19</f>
        <v>8808</v>
      </c>
      <c r="J20" s="16">
        <f t="shared" si="3"/>
        <v>1233</v>
      </c>
      <c r="K20" s="29" t="s">
        <v>33</v>
      </c>
      <c r="L20" s="24" t="s">
        <v>19</v>
      </c>
      <c r="M20" s="24" t="s">
        <v>19</v>
      </c>
      <c r="N20" s="14">
        <f>N18-N19</f>
        <v>9913</v>
      </c>
      <c r="O20" s="16">
        <f t="shared" si="4"/>
        <v>1105</v>
      </c>
      <c r="P20" s="29" t="s">
        <v>33</v>
      </c>
      <c r="Q20" s="24" t="s">
        <v>19</v>
      </c>
      <c r="R20" s="24" t="s">
        <v>19</v>
      </c>
      <c r="S20" s="14">
        <f>S18-S19</f>
        <v>10676</v>
      </c>
      <c r="T20" s="16">
        <f t="shared" si="0"/>
        <v>763</v>
      </c>
      <c r="U20" s="29" t="s">
        <v>33</v>
      </c>
      <c r="V20" s="24" t="s">
        <v>19</v>
      </c>
      <c r="W20" s="24" t="s">
        <v>19</v>
      </c>
      <c r="X20" s="14">
        <f>X18-X19</f>
        <v>11515</v>
      </c>
      <c r="Y20" s="16">
        <f t="shared" si="1"/>
        <v>839</v>
      </c>
      <c r="Z20" s="29" t="s">
        <v>33</v>
      </c>
      <c r="AA20" s="24" t="s">
        <v>19</v>
      </c>
      <c r="AB20" s="24" t="s">
        <v>19</v>
      </c>
      <c r="AC20" s="14">
        <f>AC18-AC19</f>
        <v>12464</v>
      </c>
      <c r="AD20" s="16">
        <f t="shared" si="2"/>
        <v>949</v>
      </c>
    </row>
    <row r="21" spans="1:30" s="28" customFormat="1" ht="25.5">
      <c r="A21" s="23" t="s">
        <v>34</v>
      </c>
      <c r="B21" s="15">
        <f>B13-B14</f>
        <v>-26842</v>
      </c>
      <c r="C21" s="15">
        <f>C13-C14</f>
        <v>8041</v>
      </c>
      <c r="D21" s="14">
        <f>D13-D14</f>
        <v>-21782</v>
      </c>
      <c r="E21" s="25">
        <f>E13-E14</f>
        <v>-13904</v>
      </c>
      <c r="F21" s="23" t="s">
        <v>34</v>
      </c>
      <c r="G21" s="15">
        <f>G13-G14</f>
        <v>-45625</v>
      </c>
      <c r="H21" s="15">
        <f>H13-H14</f>
        <v>9941</v>
      </c>
      <c r="I21" s="14">
        <f>I13-I14</f>
        <v>-38442</v>
      </c>
      <c r="J21" s="16">
        <f t="shared" si="3"/>
        <v>-16660</v>
      </c>
      <c r="K21" s="23" t="s">
        <v>34</v>
      </c>
      <c r="L21" s="15">
        <f>L13-L14</f>
        <v>-68442</v>
      </c>
      <c r="M21" s="15">
        <f>M13-M14</f>
        <v>6198</v>
      </c>
      <c r="N21" s="14">
        <f>N13-N14</f>
        <v>-63852</v>
      </c>
      <c r="O21" s="16">
        <f t="shared" si="4"/>
        <v>-25410</v>
      </c>
      <c r="P21" s="23" t="s">
        <v>34</v>
      </c>
      <c r="Q21" s="15">
        <f>Q13-Q14</f>
        <v>-76530</v>
      </c>
      <c r="R21" s="15">
        <f>R13-R14</f>
        <v>2824</v>
      </c>
      <c r="S21" s="14">
        <f>S13-S14</f>
        <v>-73894</v>
      </c>
      <c r="T21" s="16">
        <f t="shared" si="0"/>
        <v>-10042</v>
      </c>
      <c r="U21" s="23" t="s">
        <v>34</v>
      </c>
      <c r="V21" s="15">
        <f>V13-V14</f>
        <v>-77090</v>
      </c>
      <c r="W21" s="15">
        <f>W13-W14</f>
        <v>2639</v>
      </c>
      <c r="X21" s="14">
        <f>X13-X14</f>
        <v>-74717</v>
      </c>
      <c r="Y21" s="16">
        <f t="shared" si="1"/>
        <v>-823</v>
      </c>
      <c r="Z21" s="23" t="s">
        <v>34</v>
      </c>
      <c r="AA21" s="15">
        <f>AA13-AA14</f>
        <v>-93796</v>
      </c>
      <c r="AB21" s="15">
        <f>AB13-AB14</f>
        <v>-1497</v>
      </c>
      <c r="AC21" s="14">
        <f>AC13-AC14</f>
        <v>-95018</v>
      </c>
      <c r="AD21" s="16">
        <f t="shared" si="2"/>
        <v>-20301</v>
      </c>
    </row>
    <row r="22" spans="1:30" s="28" customFormat="1" ht="12.75">
      <c r="A22" s="13" t="s">
        <v>35</v>
      </c>
      <c r="B22" s="14">
        <f>B23+B39</f>
        <v>26842</v>
      </c>
      <c r="C22" s="15">
        <f>C23+C39</f>
        <v>-8041</v>
      </c>
      <c r="D22" s="14">
        <f>D23+D39</f>
        <v>21782</v>
      </c>
      <c r="E22" s="40">
        <f>E23+E39</f>
        <v>15068</v>
      </c>
      <c r="F22" s="13" t="s">
        <v>35</v>
      </c>
      <c r="G22" s="14">
        <f>G23+G39</f>
        <v>45625</v>
      </c>
      <c r="H22" s="15">
        <f>H23+H39</f>
        <v>-9941</v>
      </c>
      <c r="I22" s="14">
        <f>I23+I39</f>
        <v>38442</v>
      </c>
      <c r="J22" s="16">
        <f t="shared" si="3"/>
        <v>16660</v>
      </c>
      <c r="K22" s="13" t="s">
        <v>35</v>
      </c>
      <c r="L22" s="14">
        <f>L23+L39</f>
        <v>68442</v>
      </c>
      <c r="M22" s="15">
        <f>M23+M39</f>
        <v>-6198</v>
      </c>
      <c r="N22" s="14">
        <f>N23+N39</f>
        <v>63852</v>
      </c>
      <c r="O22" s="16">
        <f t="shared" si="4"/>
        <v>25410</v>
      </c>
      <c r="P22" s="13" t="s">
        <v>35</v>
      </c>
      <c r="Q22" s="14">
        <f>Q23+Q39</f>
        <v>76530</v>
      </c>
      <c r="R22" s="15">
        <f>R23+R39</f>
        <v>-2824</v>
      </c>
      <c r="S22" s="14">
        <f>S23+S39</f>
        <v>73894</v>
      </c>
      <c r="T22" s="16">
        <f t="shared" si="0"/>
        <v>10042</v>
      </c>
      <c r="U22" s="13" t="s">
        <v>35</v>
      </c>
      <c r="V22" s="14">
        <f>V23+V39</f>
        <v>77090</v>
      </c>
      <c r="W22" s="15">
        <f>W23+W39</f>
        <v>-2639</v>
      </c>
      <c r="X22" s="14">
        <f>X23+X39</f>
        <v>74717</v>
      </c>
      <c r="Y22" s="16">
        <f t="shared" si="1"/>
        <v>823</v>
      </c>
      <c r="Z22" s="13" t="s">
        <v>35</v>
      </c>
      <c r="AA22" s="14">
        <f>AA23+AA39</f>
        <v>93796</v>
      </c>
      <c r="AB22" s="15">
        <f>AB23+AB39</f>
        <v>1497</v>
      </c>
      <c r="AC22" s="14">
        <f>AC23+AC39</f>
        <v>95018</v>
      </c>
      <c r="AD22" s="16">
        <f t="shared" si="2"/>
        <v>20301</v>
      </c>
    </row>
    <row r="23" spans="1:30" s="28" customFormat="1" ht="12.75">
      <c r="A23" s="13" t="s">
        <v>36</v>
      </c>
      <c r="B23" s="14">
        <f>B24+B29+B34+B38</f>
        <v>28468</v>
      </c>
      <c r="C23" s="15">
        <f>C24+C29+C34+C38</f>
        <v>-8041</v>
      </c>
      <c r="D23" s="15">
        <f>D24+D29+D34+D38</f>
        <v>23408</v>
      </c>
      <c r="E23" s="25">
        <f>E24+E29+E34+E38</f>
        <v>14466</v>
      </c>
      <c r="F23" s="13" t="s">
        <v>36</v>
      </c>
      <c r="G23" s="14">
        <f>G24+G29+G34+G38</f>
        <v>-47483</v>
      </c>
      <c r="H23" s="15">
        <f>H24+H29+H34+H38</f>
        <v>-9941</v>
      </c>
      <c r="I23" s="15">
        <f>I24+I29+I34+I38</f>
        <v>-54666</v>
      </c>
      <c r="J23" s="16">
        <f t="shared" si="3"/>
        <v>-78074</v>
      </c>
      <c r="K23" s="13" t="s">
        <v>36</v>
      </c>
      <c r="L23" s="14">
        <f>L24+L29+L34+L38</f>
        <v>-23422</v>
      </c>
      <c r="M23" s="15">
        <f>M24+M29+M34+M38</f>
        <v>-6198</v>
      </c>
      <c r="N23" s="15">
        <f>N24+N29+N34+N38</f>
        <v>-28012</v>
      </c>
      <c r="O23" s="16">
        <f t="shared" si="4"/>
        <v>26654</v>
      </c>
      <c r="P23" s="13" t="s">
        <v>36</v>
      </c>
      <c r="Q23" s="14">
        <f>Q24+Q29+Q34+Q38</f>
        <v>-12876</v>
      </c>
      <c r="R23" s="15">
        <f>R24+R29+R34+R38</f>
        <v>-2824</v>
      </c>
      <c r="S23" s="15">
        <f>S24+S29+S34+S38</f>
        <v>-15512</v>
      </c>
      <c r="T23" s="16">
        <f t="shared" si="0"/>
        <v>12500</v>
      </c>
      <c r="U23" s="13" t="s">
        <v>36</v>
      </c>
      <c r="V23" s="14">
        <f>V24+V29+V34+V38</f>
        <v>-10416</v>
      </c>
      <c r="W23" s="15">
        <f>W24+W29+W34+W38</f>
        <v>-2639</v>
      </c>
      <c r="X23" s="15">
        <f>X24+X29+X34+X38</f>
        <v>-12789</v>
      </c>
      <c r="Y23" s="16">
        <f t="shared" si="1"/>
        <v>2723</v>
      </c>
      <c r="Z23" s="13" t="s">
        <v>36</v>
      </c>
      <c r="AA23" s="14">
        <f>AA24+AA29+AA34+AA38</f>
        <v>8502</v>
      </c>
      <c r="AB23" s="15">
        <f>AB24+AB29+AB34+AB38</f>
        <v>1497</v>
      </c>
      <c r="AC23" s="15">
        <f>AC24+AC29+AC34+AC38</f>
        <v>9724</v>
      </c>
      <c r="AD23" s="16">
        <f t="shared" si="2"/>
        <v>22513</v>
      </c>
    </row>
    <row r="24" spans="1:30" s="35" customFormat="1" ht="12.75">
      <c r="A24" s="41" t="s">
        <v>37</v>
      </c>
      <c r="B24" s="42">
        <f>B25+B26</f>
        <v>-1165</v>
      </c>
      <c r="C24" s="42">
        <f>C25+C26</f>
        <v>-3344</v>
      </c>
      <c r="D24" s="42">
        <f>D25+D28</f>
        <v>-1051</v>
      </c>
      <c r="E24" s="43">
        <f>E25+E28</f>
        <v>324</v>
      </c>
      <c r="F24" s="41" t="s">
        <v>37</v>
      </c>
      <c r="G24" s="42">
        <f>G25+G26</f>
        <v>-1932</v>
      </c>
      <c r="H24" s="42">
        <f>H25+H26</f>
        <v>-2612</v>
      </c>
      <c r="I24" s="42">
        <f>I25+I28</f>
        <v>-1786</v>
      </c>
      <c r="J24" s="44">
        <f t="shared" si="3"/>
        <v>-735</v>
      </c>
      <c r="K24" s="41" t="s">
        <v>37</v>
      </c>
      <c r="L24" s="42">
        <f>L25+L26</f>
        <v>-1754</v>
      </c>
      <c r="M24" s="42">
        <f>M25+M26</f>
        <v>-1333</v>
      </c>
      <c r="N24" s="42">
        <f>N25+N28</f>
        <v>-1479</v>
      </c>
      <c r="O24" s="44">
        <f t="shared" si="4"/>
        <v>307</v>
      </c>
      <c r="P24" s="41" t="s">
        <v>37</v>
      </c>
      <c r="Q24" s="42">
        <f>Q25+Q26</f>
        <v>-2317</v>
      </c>
      <c r="R24" s="42">
        <f>R25+R26</f>
        <v>226</v>
      </c>
      <c r="S24" s="42">
        <f>S25+S28</f>
        <v>-1903</v>
      </c>
      <c r="T24" s="44">
        <f t="shared" si="0"/>
        <v>-424</v>
      </c>
      <c r="U24" s="41" t="s">
        <v>37</v>
      </c>
      <c r="V24" s="42">
        <f>V25+V26</f>
        <v>1220</v>
      </c>
      <c r="W24" s="42">
        <f>W25+W26</f>
        <v>441</v>
      </c>
      <c r="X24" s="42">
        <f>X25+X28</f>
        <v>1927</v>
      </c>
      <c r="Y24" s="44">
        <f t="shared" si="1"/>
        <v>3830</v>
      </c>
      <c r="Z24" s="41" t="s">
        <v>37</v>
      </c>
      <c r="AA24" s="42">
        <f>AA25+AA26</f>
        <v>3557</v>
      </c>
      <c r="AB24" s="42">
        <f>AB25+AB26</f>
        <v>1464</v>
      </c>
      <c r="AC24" s="42">
        <f>AC25+AC28</f>
        <v>4746</v>
      </c>
      <c r="AD24" s="44">
        <f t="shared" si="2"/>
        <v>2819</v>
      </c>
    </row>
    <row r="25" spans="1:30" s="46" customFormat="1" ht="22.5">
      <c r="A25" s="18" t="s">
        <v>38</v>
      </c>
      <c r="B25" s="20">
        <v>-1165</v>
      </c>
      <c r="C25" s="45">
        <v>114</v>
      </c>
      <c r="D25" s="20">
        <f>B25+C25</f>
        <v>-1051</v>
      </c>
      <c r="E25" s="36">
        <v>324</v>
      </c>
      <c r="F25" s="18" t="s">
        <v>38</v>
      </c>
      <c r="G25" s="20">
        <v>-1932</v>
      </c>
      <c r="H25" s="45">
        <v>146</v>
      </c>
      <c r="I25" s="20">
        <f>G25+H25</f>
        <v>-1786</v>
      </c>
      <c r="J25" s="21">
        <f t="shared" si="3"/>
        <v>-735</v>
      </c>
      <c r="K25" s="18" t="s">
        <v>38</v>
      </c>
      <c r="L25" s="20">
        <f>-1754</f>
        <v>-1754</v>
      </c>
      <c r="M25" s="45">
        <v>275</v>
      </c>
      <c r="N25" s="20">
        <f>L25+M25</f>
        <v>-1479</v>
      </c>
      <c r="O25" s="21">
        <f t="shared" si="4"/>
        <v>307</v>
      </c>
      <c r="P25" s="18" t="s">
        <v>38</v>
      </c>
      <c r="Q25" s="20">
        <v>-2317</v>
      </c>
      <c r="R25" s="45">
        <f>96+318</f>
        <v>414</v>
      </c>
      <c r="S25" s="20">
        <f>Q25+R25</f>
        <v>-1903</v>
      </c>
      <c r="T25" s="21">
        <f t="shared" si="0"/>
        <v>-424</v>
      </c>
      <c r="U25" s="18" t="s">
        <v>38</v>
      </c>
      <c r="V25" s="20">
        <v>1220</v>
      </c>
      <c r="W25" s="45">
        <v>707</v>
      </c>
      <c r="X25" s="20">
        <f>V25+W25</f>
        <v>1927</v>
      </c>
      <c r="Y25" s="21">
        <f t="shared" si="1"/>
        <v>3830</v>
      </c>
      <c r="Z25" s="18" t="s">
        <v>38</v>
      </c>
      <c r="AA25" s="20">
        <v>3557</v>
      </c>
      <c r="AB25" s="45">
        <v>1189</v>
      </c>
      <c r="AC25" s="20">
        <f>AA25+AB25</f>
        <v>4746</v>
      </c>
      <c r="AD25" s="21">
        <f t="shared" si="2"/>
        <v>2819</v>
      </c>
    </row>
    <row r="26" spans="1:30" s="37" customFormat="1" ht="22.5">
      <c r="A26" s="18" t="s">
        <v>39</v>
      </c>
      <c r="B26" s="20"/>
      <c r="C26" s="45">
        <v>-3458</v>
      </c>
      <c r="D26" s="20">
        <f>B26+C26</f>
        <v>-3458</v>
      </c>
      <c r="E26" s="36">
        <f>-2006-28</f>
        <v>-2034</v>
      </c>
      <c r="F26" s="18" t="s">
        <v>39</v>
      </c>
      <c r="G26" s="20"/>
      <c r="H26" s="45">
        <f>-3312+554</f>
        <v>-2758</v>
      </c>
      <c r="I26" s="20">
        <f>G26+H26</f>
        <v>-2758</v>
      </c>
      <c r="J26" s="21">
        <f t="shared" si="3"/>
        <v>700</v>
      </c>
      <c r="K26" s="18" t="s">
        <v>39</v>
      </c>
      <c r="L26" s="20"/>
      <c r="M26" s="45">
        <v>-1608</v>
      </c>
      <c r="N26" s="20">
        <f>L26+M26</f>
        <v>-1608</v>
      </c>
      <c r="O26" s="21">
        <f t="shared" si="4"/>
        <v>1150</v>
      </c>
      <c r="P26" s="18" t="s">
        <v>39</v>
      </c>
      <c r="Q26" s="20"/>
      <c r="R26" s="45">
        <f>-188</f>
        <v>-188</v>
      </c>
      <c r="S26" s="20">
        <f>Q26+R26</f>
        <v>-188</v>
      </c>
      <c r="T26" s="21">
        <f t="shared" si="0"/>
        <v>1420</v>
      </c>
      <c r="U26" s="18" t="s">
        <v>39</v>
      </c>
      <c r="V26" s="20"/>
      <c r="W26" s="45">
        <v>-266</v>
      </c>
      <c r="X26" s="20">
        <f>V26+W26</f>
        <v>-266</v>
      </c>
      <c r="Y26" s="21">
        <f t="shared" si="1"/>
        <v>-78</v>
      </c>
      <c r="Z26" s="18" t="s">
        <v>39</v>
      </c>
      <c r="AA26" s="20"/>
      <c r="AB26" s="45">
        <v>275</v>
      </c>
      <c r="AC26" s="20">
        <f>AA26+AB26</f>
        <v>275</v>
      </c>
      <c r="AD26" s="21">
        <f t="shared" si="2"/>
        <v>541</v>
      </c>
    </row>
    <row r="27" spans="1:30" s="35" customFormat="1" ht="22.5">
      <c r="A27" s="47" t="s">
        <v>40</v>
      </c>
      <c r="B27" s="38" t="s">
        <v>19</v>
      </c>
      <c r="C27" s="42" t="s">
        <v>19</v>
      </c>
      <c r="D27" s="48">
        <v>3458</v>
      </c>
      <c r="E27" s="49">
        <v>-870</v>
      </c>
      <c r="F27" s="47" t="s">
        <v>40</v>
      </c>
      <c r="G27" s="38" t="s">
        <v>19</v>
      </c>
      <c r="H27" s="38" t="s">
        <v>19</v>
      </c>
      <c r="I27" s="48">
        <v>2758</v>
      </c>
      <c r="J27" s="44">
        <f t="shared" si="3"/>
        <v>-700</v>
      </c>
      <c r="K27" s="47" t="s">
        <v>40</v>
      </c>
      <c r="L27" s="38" t="s">
        <v>19</v>
      </c>
      <c r="M27" s="38" t="s">
        <v>19</v>
      </c>
      <c r="N27" s="48">
        <v>1608</v>
      </c>
      <c r="O27" s="44">
        <f t="shared" si="4"/>
        <v>-1150</v>
      </c>
      <c r="P27" s="47" t="s">
        <v>40</v>
      </c>
      <c r="Q27" s="38" t="s">
        <v>19</v>
      </c>
      <c r="R27" s="38" t="s">
        <v>19</v>
      </c>
      <c r="S27" s="48">
        <v>188</v>
      </c>
      <c r="T27" s="44">
        <f t="shared" si="0"/>
        <v>-1420</v>
      </c>
      <c r="U27" s="47" t="s">
        <v>40</v>
      </c>
      <c r="V27" s="38" t="s">
        <v>19</v>
      </c>
      <c r="W27" s="38" t="s">
        <v>19</v>
      </c>
      <c r="X27" s="48">
        <f>266</f>
        <v>266</v>
      </c>
      <c r="Y27" s="44">
        <f t="shared" si="1"/>
        <v>78</v>
      </c>
      <c r="Z27" s="47" t="s">
        <v>40</v>
      </c>
      <c r="AA27" s="38" t="s">
        <v>19</v>
      </c>
      <c r="AB27" s="38" t="s">
        <v>19</v>
      </c>
      <c r="AC27" s="48">
        <v>-275</v>
      </c>
      <c r="AD27" s="44">
        <f t="shared" si="2"/>
        <v>-541</v>
      </c>
    </row>
    <row r="28" spans="1:30" s="46" customFormat="1" ht="22.5">
      <c r="A28" s="18" t="s">
        <v>41</v>
      </c>
      <c r="B28" s="38" t="s">
        <v>19</v>
      </c>
      <c r="C28" s="42" t="s">
        <v>19</v>
      </c>
      <c r="D28" s="48">
        <f>D26+D27</f>
        <v>0</v>
      </c>
      <c r="E28" s="49"/>
      <c r="F28" s="18" t="s">
        <v>41</v>
      </c>
      <c r="G28" s="38" t="s">
        <v>19</v>
      </c>
      <c r="H28" s="38" t="s">
        <v>19</v>
      </c>
      <c r="I28" s="48">
        <f>I26+I27</f>
        <v>0</v>
      </c>
      <c r="J28" s="44">
        <f t="shared" si="3"/>
        <v>0</v>
      </c>
      <c r="K28" s="18" t="s">
        <v>41</v>
      </c>
      <c r="L28" s="38" t="s">
        <v>19</v>
      </c>
      <c r="M28" s="38" t="s">
        <v>19</v>
      </c>
      <c r="N28" s="48">
        <f>N26+N27</f>
        <v>0</v>
      </c>
      <c r="O28" s="44">
        <f t="shared" si="4"/>
        <v>0</v>
      </c>
      <c r="P28" s="18" t="s">
        <v>41</v>
      </c>
      <c r="Q28" s="38" t="s">
        <v>19</v>
      </c>
      <c r="R28" s="38" t="s">
        <v>19</v>
      </c>
      <c r="S28" s="48">
        <f>S26+S27</f>
        <v>0</v>
      </c>
      <c r="T28" s="44">
        <f t="shared" si="0"/>
        <v>0</v>
      </c>
      <c r="U28" s="18" t="s">
        <v>41</v>
      </c>
      <c r="V28" s="38" t="s">
        <v>19</v>
      </c>
      <c r="W28" s="38" t="s">
        <v>19</v>
      </c>
      <c r="X28" s="48">
        <f>X26+X27</f>
        <v>0</v>
      </c>
      <c r="Y28" s="44">
        <f t="shared" si="1"/>
        <v>0</v>
      </c>
      <c r="Z28" s="18" t="s">
        <v>41</v>
      </c>
      <c r="AA28" s="38" t="s">
        <v>19</v>
      </c>
      <c r="AB28" s="38" t="s">
        <v>19</v>
      </c>
      <c r="AC28" s="48"/>
      <c r="AD28" s="44">
        <f t="shared" si="2"/>
        <v>0</v>
      </c>
    </row>
    <row r="29" spans="1:30" s="35" customFormat="1" ht="12.75">
      <c r="A29" s="50" t="s">
        <v>42</v>
      </c>
      <c r="B29" s="48">
        <f>SUM(B30:B33)</f>
        <v>4916</v>
      </c>
      <c r="C29" s="42">
        <f>SUM(C30:C33)</f>
        <v>0</v>
      </c>
      <c r="D29" s="48">
        <f aca="true" t="shared" si="5" ref="D29:D39">B29+C29</f>
        <v>4916</v>
      </c>
      <c r="E29" s="43">
        <f>SUM(E30:E33)</f>
        <v>21934</v>
      </c>
      <c r="F29" s="50" t="s">
        <v>42</v>
      </c>
      <c r="G29" s="48">
        <f>SUM(G30:G33)</f>
        <v>-59287</v>
      </c>
      <c r="H29" s="42">
        <f>SUM(H30:H33)</f>
        <v>0</v>
      </c>
      <c r="I29" s="48">
        <f aca="true" t="shared" si="6" ref="I29:I38">G29+H29</f>
        <v>-59287</v>
      </c>
      <c r="J29" s="44">
        <f t="shared" si="3"/>
        <v>-64203</v>
      </c>
      <c r="K29" s="50" t="s">
        <v>42</v>
      </c>
      <c r="L29" s="48">
        <f>SUM(L30:L33)</f>
        <v>-25311</v>
      </c>
      <c r="M29" s="42">
        <f>SUM(M30:M33)</f>
        <v>0</v>
      </c>
      <c r="N29" s="48">
        <f aca="true" t="shared" si="7" ref="N29:N38">L29+M29</f>
        <v>-25311</v>
      </c>
      <c r="O29" s="44">
        <f t="shared" si="4"/>
        <v>33976</v>
      </c>
      <c r="P29" s="50" t="s">
        <v>42</v>
      </c>
      <c r="Q29" s="48">
        <f>SUM(Q30:Q33)</f>
        <v>-22005</v>
      </c>
      <c r="R29" s="42">
        <f>SUM(R30:R33)</f>
        <v>0</v>
      </c>
      <c r="S29" s="48">
        <f aca="true" t="shared" si="8" ref="S29:S38">Q29+R29</f>
        <v>-22005</v>
      </c>
      <c r="T29" s="44">
        <f t="shared" si="0"/>
        <v>3306</v>
      </c>
      <c r="U29" s="50" t="s">
        <v>42</v>
      </c>
      <c r="V29" s="48">
        <f>SUM(V30:V33)</f>
        <v>-21683</v>
      </c>
      <c r="W29" s="42">
        <f>SUM(W30:W33)</f>
        <v>0</v>
      </c>
      <c r="X29" s="48">
        <f aca="true" t="shared" si="9" ref="X29:X38">V29+W29</f>
        <v>-21683</v>
      </c>
      <c r="Y29" s="44">
        <f t="shared" si="1"/>
        <v>322</v>
      </c>
      <c r="Z29" s="50" t="s">
        <v>42</v>
      </c>
      <c r="AA29" s="48">
        <f>SUM(AA30:AA33)</f>
        <v>6372</v>
      </c>
      <c r="AB29" s="42">
        <f>SUM(AB30:AB33)</f>
        <v>0</v>
      </c>
      <c r="AC29" s="48">
        <f aca="true" t="shared" si="10" ref="AC29:AC38">AA29+AB29</f>
        <v>6372</v>
      </c>
      <c r="AD29" s="44">
        <f t="shared" si="2"/>
        <v>28055</v>
      </c>
    </row>
    <row r="30" spans="1:30" s="35" customFormat="1" ht="12">
      <c r="A30" s="18" t="s">
        <v>43</v>
      </c>
      <c r="B30" s="20"/>
      <c r="C30" s="42"/>
      <c r="D30" s="20">
        <f t="shared" si="5"/>
        <v>0</v>
      </c>
      <c r="E30" s="36"/>
      <c r="F30" s="18" t="s">
        <v>43</v>
      </c>
      <c r="G30" s="20"/>
      <c r="H30" s="42"/>
      <c r="I30" s="20">
        <f t="shared" si="6"/>
        <v>0</v>
      </c>
      <c r="J30" s="21">
        <f t="shared" si="3"/>
        <v>0</v>
      </c>
      <c r="K30" s="18" t="s">
        <v>43</v>
      </c>
      <c r="L30" s="20"/>
      <c r="M30" s="42"/>
      <c r="N30" s="20">
        <f t="shared" si="7"/>
        <v>0</v>
      </c>
      <c r="O30" s="21">
        <f t="shared" si="4"/>
        <v>0</v>
      </c>
      <c r="P30" s="18" t="s">
        <v>43</v>
      </c>
      <c r="Q30" s="20"/>
      <c r="R30" s="42"/>
      <c r="S30" s="20">
        <f t="shared" si="8"/>
        <v>0</v>
      </c>
      <c r="T30" s="21">
        <f t="shared" si="0"/>
        <v>0</v>
      </c>
      <c r="U30" s="18" t="s">
        <v>43</v>
      </c>
      <c r="V30" s="20"/>
      <c r="W30" s="42"/>
      <c r="X30" s="20">
        <f t="shared" si="9"/>
        <v>0</v>
      </c>
      <c r="Y30" s="21">
        <f t="shared" si="1"/>
        <v>0</v>
      </c>
      <c r="Z30" s="18" t="s">
        <v>43</v>
      </c>
      <c r="AA30" s="20"/>
      <c r="AB30" s="42"/>
      <c r="AC30" s="20">
        <f t="shared" si="10"/>
        <v>0</v>
      </c>
      <c r="AD30" s="21">
        <f t="shared" si="2"/>
        <v>0</v>
      </c>
    </row>
    <row r="31" spans="1:30" s="51" customFormat="1" ht="12">
      <c r="A31" s="18" t="s">
        <v>44</v>
      </c>
      <c r="B31" s="20">
        <v>-12833</v>
      </c>
      <c r="C31" s="45"/>
      <c r="D31" s="20">
        <f t="shared" si="5"/>
        <v>-12833</v>
      </c>
      <c r="E31" s="36">
        <v>9625</v>
      </c>
      <c r="F31" s="18" t="s">
        <v>44</v>
      </c>
      <c r="G31" s="20">
        <v>-81636</v>
      </c>
      <c r="H31" s="45"/>
      <c r="I31" s="20">
        <f t="shared" si="6"/>
        <v>-81636</v>
      </c>
      <c r="J31" s="21">
        <f t="shared" si="3"/>
        <v>-68803</v>
      </c>
      <c r="K31" s="18" t="s">
        <v>44</v>
      </c>
      <c r="L31" s="20">
        <v>-47060</v>
      </c>
      <c r="M31" s="45"/>
      <c r="N31" s="20">
        <f t="shared" si="7"/>
        <v>-47060</v>
      </c>
      <c r="O31" s="21">
        <f t="shared" si="4"/>
        <v>34576</v>
      </c>
      <c r="P31" s="18" t="s">
        <v>44</v>
      </c>
      <c r="Q31" s="20">
        <v>-41542</v>
      </c>
      <c r="R31" s="45"/>
      <c r="S31" s="20">
        <f t="shared" si="8"/>
        <v>-41542</v>
      </c>
      <c r="T31" s="21">
        <f t="shared" si="0"/>
        <v>5518</v>
      </c>
      <c r="U31" s="18" t="s">
        <v>44</v>
      </c>
      <c r="V31" s="20">
        <v>-43074</v>
      </c>
      <c r="W31" s="45"/>
      <c r="X31" s="20">
        <f t="shared" si="9"/>
        <v>-43074</v>
      </c>
      <c r="Y31" s="21">
        <f t="shared" si="1"/>
        <v>-1532</v>
      </c>
      <c r="Z31" s="18" t="s">
        <v>44</v>
      </c>
      <c r="AA31" s="20">
        <v>-10448</v>
      </c>
      <c r="AB31" s="45"/>
      <c r="AC31" s="20">
        <f t="shared" si="10"/>
        <v>-10448</v>
      </c>
      <c r="AD31" s="21">
        <f t="shared" si="2"/>
        <v>32626</v>
      </c>
    </row>
    <row r="32" spans="1:30" s="51" customFormat="1" ht="22.5">
      <c r="A32" s="18" t="s">
        <v>45</v>
      </c>
      <c r="B32" s="20">
        <v>-62</v>
      </c>
      <c r="C32" s="45"/>
      <c r="D32" s="20">
        <f t="shared" si="5"/>
        <v>-62</v>
      </c>
      <c r="E32" s="36">
        <v>12973</v>
      </c>
      <c r="F32" s="18" t="s">
        <v>45</v>
      </c>
      <c r="G32" s="20">
        <v>-369</v>
      </c>
      <c r="H32" s="45"/>
      <c r="I32" s="20">
        <f t="shared" si="6"/>
        <v>-369</v>
      </c>
      <c r="J32" s="21">
        <f t="shared" si="3"/>
        <v>-307</v>
      </c>
      <c r="K32" s="18" t="s">
        <v>45</v>
      </c>
      <c r="L32" s="20">
        <v>1132</v>
      </c>
      <c r="M32" s="45"/>
      <c r="N32" s="20">
        <f t="shared" si="7"/>
        <v>1132</v>
      </c>
      <c r="O32" s="21">
        <f t="shared" si="4"/>
        <v>1501</v>
      </c>
      <c r="P32" s="18" t="s">
        <v>45</v>
      </c>
      <c r="Q32" s="20">
        <v>620</v>
      </c>
      <c r="R32" s="45"/>
      <c r="S32" s="20">
        <f t="shared" si="8"/>
        <v>620</v>
      </c>
      <c r="T32" s="21">
        <f t="shared" si="0"/>
        <v>-512</v>
      </c>
      <c r="U32" s="18" t="s">
        <v>45</v>
      </c>
      <c r="V32" s="20">
        <v>-532</v>
      </c>
      <c r="W32" s="45"/>
      <c r="X32" s="20">
        <f t="shared" si="9"/>
        <v>-532</v>
      </c>
      <c r="Y32" s="21">
        <f t="shared" si="1"/>
        <v>-1152</v>
      </c>
      <c r="Z32" s="18" t="s">
        <v>45</v>
      </c>
      <c r="AA32" s="20">
        <v>611</v>
      </c>
      <c r="AB32" s="45"/>
      <c r="AC32" s="20">
        <f t="shared" si="10"/>
        <v>611</v>
      </c>
      <c r="AD32" s="21">
        <f t="shared" si="2"/>
        <v>1143</v>
      </c>
    </row>
    <row r="33" spans="1:30" s="51" customFormat="1" ht="22.5">
      <c r="A33" s="18" t="s">
        <v>46</v>
      </c>
      <c r="B33" s="20">
        <v>17811</v>
      </c>
      <c r="C33" s="45"/>
      <c r="D33" s="20">
        <f t="shared" si="5"/>
        <v>17811</v>
      </c>
      <c r="E33" s="36">
        <v>-664</v>
      </c>
      <c r="F33" s="18" t="s">
        <v>46</v>
      </c>
      <c r="G33" s="20">
        <v>22718</v>
      </c>
      <c r="H33" s="45"/>
      <c r="I33" s="20">
        <f t="shared" si="6"/>
        <v>22718</v>
      </c>
      <c r="J33" s="21">
        <f t="shared" si="3"/>
        <v>4907</v>
      </c>
      <c r="K33" s="18" t="s">
        <v>46</v>
      </c>
      <c r="L33" s="20">
        <v>20617</v>
      </c>
      <c r="M33" s="45"/>
      <c r="N33" s="20">
        <f t="shared" si="7"/>
        <v>20617</v>
      </c>
      <c r="O33" s="21">
        <f t="shared" si="4"/>
        <v>-2101</v>
      </c>
      <c r="P33" s="18" t="s">
        <v>46</v>
      </c>
      <c r="Q33" s="20">
        <v>18917</v>
      </c>
      <c r="R33" s="45"/>
      <c r="S33" s="20">
        <f t="shared" si="8"/>
        <v>18917</v>
      </c>
      <c r="T33" s="21">
        <f t="shared" si="0"/>
        <v>-1700</v>
      </c>
      <c r="U33" s="18" t="s">
        <v>46</v>
      </c>
      <c r="V33" s="20">
        <v>21923</v>
      </c>
      <c r="W33" s="45"/>
      <c r="X33" s="20">
        <f t="shared" si="9"/>
        <v>21923</v>
      </c>
      <c r="Y33" s="21">
        <f t="shared" si="1"/>
        <v>3006</v>
      </c>
      <c r="Z33" s="18" t="s">
        <v>46</v>
      </c>
      <c r="AA33" s="20">
        <v>16209</v>
      </c>
      <c r="AB33" s="45"/>
      <c r="AC33" s="20">
        <f t="shared" si="10"/>
        <v>16209</v>
      </c>
      <c r="AD33" s="21">
        <f t="shared" si="2"/>
        <v>-5714</v>
      </c>
    </row>
    <row r="34" spans="1:30" s="35" customFormat="1" ht="12.75">
      <c r="A34" s="52" t="s">
        <v>47</v>
      </c>
      <c r="B34" s="20">
        <f>SUM(B35:B37)</f>
        <v>24717</v>
      </c>
      <c r="C34" s="45">
        <f>SUM(C35:C37)</f>
        <v>-5274</v>
      </c>
      <c r="D34" s="48">
        <f t="shared" si="5"/>
        <v>19443</v>
      </c>
      <c r="E34" s="53">
        <v>-7854</v>
      </c>
      <c r="F34" s="52" t="s">
        <v>47</v>
      </c>
      <c r="G34" s="48">
        <f>SUM(G35:G37)</f>
        <v>19736</v>
      </c>
      <c r="H34" s="45">
        <f>SUM(H35:H37)</f>
        <v>-7561</v>
      </c>
      <c r="I34" s="48">
        <f t="shared" si="6"/>
        <v>12175</v>
      </c>
      <c r="J34" s="44">
        <f t="shared" si="3"/>
        <v>-7268</v>
      </c>
      <c r="K34" s="52" t="s">
        <v>47</v>
      </c>
      <c r="L34" s="48">
        <f>SUM(L35:L37)</f>
        <v>9643</v>
      </c>
      <c r="M34" s="45">
        <f>SUM(M35:M37)</f>
        <v>-5185</v>
      </c>
      <c r="N34" s="48">
        <f t="shared" si="7"/>
        <v>4458</v>
      </c>
      <c r="O34" s="44">
        <f t="shared" si="4"/>
        <v>-7717</v>
      </c>
      <c r="P34" s="52" t="s">
        <v>47</v>
      </c>
      <c r="Q34" s="48">
        <f>SUM(Q35:Q37)</f>
        <v>17446</v>
      </c>
      <c r="R34" s="45">
        <f>SUM(R35:R37)</f>
        <v>-3674</v>
      </c>
      <c r="S34" s="48">
        <f t="shared" si="8"/>
        <v>13772</v>
      </c>
      <c r="T34" s="44">
        <f t="shared" si="0"/>
        <v>9314</v>
      </c>
      <c r="U34" s="52" t="s">
        <v>47</v>
      </c>
      <c r="V34" s="48">
        <f>SUM(V35:V37)</f>
        <v>16047</v>
      </c>
      <c r="W34" s="45">
        <f>SUM(W35:W37)</f>
        <v>-3506</v>
      </c>
      <c r="X34" s="48">
        <f t="shared" si="9"/>
        <v>12541</v>
      </c>
      <c r="Y34" s="44">
        <f t="shared" si="1"/>
        <v>-1231</v>
      </c>
      <c r="Z34" s="52" t="s">
        <v>47</v>
      </c>
      <c r="AA34" s="48">
        <f>SUM(AA35:AA37)</f>
        <v>4573</v>
      </c>
      <c r="AB34" s="45">
        <f>SUM(AB35:AB37)</f>
        <v>-597</v>
      </c>
      <c r="AC34" s="48">
        <f t="shared" si="10"/>
        <v>3976</v>
      </c>
      <c r="AD34" s="44">
        <f t="shared" si="2"/>
        <v>-8565</v>
      </c>
    </row>
    <row r="35" spans="1:30" s="35" customFormat="1" ht="12">
      <c r="A35" s="19" t="s">
        <v>48</v>
      </c>
      <c r="B35" s="20"/>
      <c r="C35" s="45">
        <v>-17</v>
      </c>
      <c r="D35" s="20">
        <f t="shared" si="5"/>
        <v>-17</v>
      </c>
      <c r="E35" s="36">
        <v>-31</v>
      </c>
      <c r="F35" s="19" t="s">
        <v>48</v>
      </c>
      <c r="G35" s="20"/>
      <c r="H35" s="45">
        <v>-26</v>
      </c>
      <c r="I35" s="20">
        <f t="shared" si="6"/>
        <v>-26</v>
      </c>
      <c r="J35" s="21">
        <f t="shared" si="3"/>
        <v>-9</v>
      </c>
      <c r="K35" s="19" t="s">
        <v>48</v>
      </c>
      <c r="L35" s="20"/>
      <c r="M35" s="45">
        <v>-56</v>
      </c>
      <c r="N35" s="20">
        <f t="shared" si="7"/>
        <v>-56</v>
      </c>
      <c r="O35" s="21">
        <f t="shared" si="4"/>
        <v>-30</v>
      </c>
      <c r="P35" s="19" t="s">
        <v>48</v>
      </c>
      <c r="Q35" s="20"/>
      <c r="R35" s="45">
        <v>-63</v>
      </c>
      <c r="S35" s="20">
        <f t="shared" si="8"/>
        <v>-63</v>
      </c>
      <c r="T35" s="21">
        <f t="shared" si="0"/>
        <v>-7</v>
      </c>
      <c r="U35" s="19" t="s">
        <v>48</v>
      </c>
      <c r="V35" s="20"/>
      <c r="W35" s="45">
        <v>133</v>
      </c>
      <c r="X35" s="20">
        <f t="shared" si="9"/>
        <v>133</v>
      </c>
      <c r="Y35" s="21">
        <f t="shared" si="1"/>
        <v>196</v>
      </c>
      <c r="Z35" s="19" t="s">
        <v>48</v>
      </c>
      <c r="AA35" s="20"/>
      <c r="AB35" s="45">
        <v>251</v>
      </c>
      <c r="AC35" s="20">
        <f t="shared" si="10"/>
        <v>251</v>
      </c>
      <c r="AD35" s="21">
        <f t="shared" si="2"/>
        <v>118</v>
      </c>
    </row>
    <row r="36" spans="1:30" s="51" customFormat="1" ht="12">
      <c r="A36" s="19" t="s">
        <v>44</v>
      </c>
      <c r="B36" s="20">
        <v>19691</v>
      </c>
      <c r="C36" s="45"/>
      <c r="D36" s="20">
        <f t="shared" si="5"/>
        <v>19691</v>
      </c>
      <c r="E36" s="36">
        <v>170</v>
      </c>
      <c r="F36" s="19" t="s">
        <v>44</v>
      </c>
      <c r="G36" s="20">
        <v>15191</v>
      </c>
      <c r="H36" s="45"/>
      <c r="I36" s="20">
        <f t="shared" si="6"/>
        <v>15191</v>
      </c>
      <c r="J36" s="21">
        <f t="shared" si="3"/>
        <v>-4500</v>
      </c>
      <c r="K36" s="19" t="s">
        <v>44</v>
      </c>
      <c r="L36" s="20">
        <v>8691</v>
      </c>
      <c r="M36" s="45"/>
      <c r="N36" s="20">
        <f t="shared" si="7"/>
        <v>8691</v>
      </c>
      <c r="O36" s="21">
        <f t="shared" si="4"/>
        <v>-6500</v>
      </c>
      <c r="P36" s="19" t="s">
        <v>44</v>
      </c>
      <c r="Q36" s="20">
        <v>14927</v>
      </c>
      <c r="R36" s="45"/>
      <c r="S36" s="20">
        <f t="shared" si="8"/>
        <v>14927</v>
      </c>
      <c r="T36" s="21">
        <f t="shared" si="0"/>
        <v>6236</v>
      </c>
      <c r="U36" s="19" t="s">
        <v>44</v>
      </c>
      <c r="V36" s="20">
        <v>11136</v>
      </c>
      <c r="W36" s="45"/>
      <c r="X36" s="20">
        <f t="shared" si="9"/>
        <v>11136</v>
      </c>
      <c r="Y36" s="21">
        <f t="shared" si="1"/>
        <v>-3791</v>
      </c>
      <c r="Z36" s="19" t="s">
        <v>44</v>
      </c>
      <c r="AA36" s="20">
        <v>2437</v>
      </c>
      <c r="AB36" s="45"/>
      <c r="AC36" s="20">
        <f t="shared" si="10"/>
        <v>2437</v>
      </c>
      <c r="AD36" s="21">
        <f t="shared" si="2"/>
        <v>-8699</v>
      </c>
    </row>
    <row r="37" spans="1:30" s="51" customFormat="1" ht="22.5">
      <c r="A37" s="18" t="s">
        <v>45</v>
      </c>
      <c r="B37" s="20">
        <v>5026</v>
      </c>
      <c r="C37" s="45">
        <v>-5257</v>
      </c>
      <c r="D37" s="20">
        <f t="shared" si="5"/>
        <v>-231</v>
      </c>
      <c r="E37" s="36">
        <v>-7802</v>
      </c>
      <c r="F37" s="18" t="s">
        <v>45</v>
      </c>
      <c r="G37" s="20">
        <v>4545</v>
      </c>
      <c r="H37" s="45">
        <v>-7535</v>
      </c>
      <c r="I37" s="20">
        <f t="shared" si="6"/>
        <v>-2990</v>
      </c>
      <c r="J37" s="21">
        <f t="shared" si="3"/>
        <v>-2759</v>
      </c>
      <c r="K37" s="18" t="s">
        <v>45</v>
      </c>
      <c r="L37" s="20">
        <v>952</v>
      </c>
      <c r="M37" s="45">
        <v>-5129</v>
      </c>
      <c r="N37" s="20">
        <f t="shared" si="7"/>
        <v>-4177</v>
      </c>
      <c r="O37" s="21">
        <f t="shared" si="4"/>
        <v>-1187</v>
      </c>
      <c r="P37" s="18" t="s">
        <v>45</v>
      </c>
      <c r="Q37" s="20">
        <v>2519</v>
      </c>
      <c r="R37" s="45">
        <v>-3611</v>
      </c>
      <c r="S37" s="20">
        <f t="shared" si="8"/>
        <v>-1092</v>
      </c>
      <c r="T37" s="21">
        <f t="shared" si="0"/>
        <v>3085</v>
      </c>
      <c r="U37" s="18" t="s">
        <v>45</v>
      </c>
      <c r="V37" s="20">
        <v>4911</v>
      </c>
      <c r="W37" s="45">
        <v>-3639</v>
      </c>
      <c r="X37" s="20">
        <f t="shared" si="9"/>
        <v>1272</v>
      </c>
      <c r="Y37" s="21">
        <f t="shared" si="1"/>
        <v>2364</v>
      </c>
      <c r="Z37" s="18" t="s">
        <v>45</v>
      </c>
      <c r="AA37" s="20">
        <v>2136</v>
      </c>
      <c r="AB37" s="45">
        <v>-848</v>
      </c>
      <c r="AC37" s="20">
        <f t="shared" si="10"/>
        <v>1288</v>
      </c>
      <c r="AD37" s="21">
        <f t="shared" si="2"/>
        <v>16</v>
      </c>
    </row>
    <row r="38" spans="1:30" s="35" customFormat="1" ht="12.75">
      <c r="A38" s="52" t="s">
        <v>49</v>
      </c>
      <c r="B38" s="48"/>
      <c r="C38" s="42">
        <v>577</v>
      </c>
      <c r="D38" s="48">
        <v>100</v>
      </c>
      <c r="E38" s="49">
        <v>62</v>
      </c>
      <c r="F38" s="52" t="s">
        <v>49</v>
      </c>
      <c r="G38" s="48">
        <v>-6000</v>
      </c>
      <c r="H38" s="42">
        <f>786-554</f>
        <v>232</v>
      </c>
      <c r="I38" s="20">
        <f t="shared" si="6"/>
        <v>-5768</v>
      </c>
      <c r="J38" s="21">
        <f t="shared" si="3"/>
        <v>-5868</v>
      </c>
      <c r="K38" s="52" t="s">
        <v>49</v>
      </c>
      <c r="L38" s="48">
        <v>-6000</v>
      </c>
      <c r="M38" s="42">
        <v>320</v>
      </c>
      <c r="N38" s="20">
        <f t="shared" si="7"/>
        <v>-5680</v>
      </c>
      <c r="O38" s="21">
        <f t="shared" si="4"/>
        <v>88</v>
      </c>
      <c r="P38" s="52" t="s">
        <v>49</v>
      </c>
      <c r="Q38" s="48">
        <v>-6000</v>
      </c>
      <c r="R38" s="42">
        <v>624</v>
      </c>
      <c r="S38" s="20">
        <f t="shared" si="8"/>
        <v>-5376</v>
      </c>
      <c r="T38" s="21">
        <f t="shared" si="0"/>
        <v>304</v>
      </c>
      <c r="U38" s="52" t="s">
        <v>49</v>
      </c>
      <c r="V38" s="48">
        <v>-6000</v>
      </c>
      <c r="W38" s="42">
        <v>426</v>
      </c>
      <c r="X38" s="20">
        <f t="shared" si="9"/>
        <v>-5574</v>
      </c>
      <c r="Y38" s="21">
        <f t="shared" si="1"/>
        <v>-198</v>
      </c>
      <c r="Z38" s="52" t="s">
        <v>49</v>
      </c>
      <c r="AA38" s="48">
        <v>-6000</v>
      </c>
      <c r="AB38" s="42">
        <v>630</v>
      </c>
      <c r="AC38" s="20">
        <f t="shared" si="10"/>
        <v>-5370</v>
      </c>
      <c r="AD38" s="21">
        <f t="shared" si="2"/>
        <v>204</v>
      </c>
    </row>
    <row r="39" spans="1:30" s="55" customFormat="1" ht="12.75">
      <c r="A39" s="54" t="s">
        <v>50</v>
      </c>
      <c r="B39" s="14">
        <v>-1626</v>
      </c>
      <c r="C39" s="15"/>
      <c r="D39" s="14">
        <f t="shared" si="5"/>
        <v>-1626</v>
      </c>
      <c r="E39" s="25">
        <v>602</v>
      </c>
      <c r="F39" s="54" t="s">
        <v>50</v>
      </c>
      <c r="G39" s="14">
        <f>93108</f>
        <v>93108</v>
      </c>
      <c r="H39" s="15"/>
      <c r="I39" s="14">
        <f>G39+H39</f>
        <v>93108</v>
      </c>
      <c r="J39" s="16">
        <f t="shared" si="3"/>
        <v>94734</v>
      </c>
      <c r="K39" s="54" t="s">
        <v>50</v>
      </c>
      <c r="L39" s="14">
        <v>91864</v>
      </c>
      <c r="M39" s="15"/>
      <c r="N39" s="14">
        <f>L39+M39</f>
        <v>91864</v>
      </c>
      <c r="O39" s="16">
        <f t="shared" si="4"/>
        <v>-1244</v>
      </c>
      <c r="P39" s="54" t="s">
        <v>50</v>
      </c>
      <c r="Q39" s="14">
        <v>89406</v>
      </c>
      <c r="R39" s="15"/>
      <c r="S39" s="14">
        <f>Q39+R39</f>
        <v>89406</v>
      </c>
      <c r="T39" s="16">
        <f t="shared" si="0"/>
        <v>-2458</v>
      </c>
      <c r="U39" s="54" t="s">
        <v>50</v>
      </c>
      <c r="V39" s="14">
        <v>87506</v>
      </c>
      <c r="W39" s="15"/>
      <c r="X39" s="14">
        <f>V39+W39</f>
        <v>87506</v>
      </c>
      <c r="Y39" s="16">
        <f t="shared" si="1"/>
        <v>-1900</v>
      </c>
      <c r="Z39" s="54" t="s">
        <v>50</v>
      </c>
      <c r="AA39" s="14">
        <v>85294</v>
      </c>
      <c r="AB39" s="15"/>
      <c r="AC39" s="14">
        <f>AA39+AB39</f>
        <v>85294</v>
      </c>
      <c r="AD39" s="16">
        <f t="shared" si="2"/>
        <v>-2212</v>
      </c>
    </row>
    <row r="40" spans="1:30" ht="12.75">
      <c r="A40" s="56" t="s">
        <v>51</v>
      </c>
      <c r="B40" s="57"/>
      <c r="C40" s="58"/>
      <c r="D40" s="59"/>
      <c r="E40" s="6"/>
      <c r="F40" s="56" t="s">
        <v>51</v>
      </c>
      <c r="G40" s="57"/>
      <c r="H40" s="58"/>
      <c r="I40" s="59"/>
      <c r="J40" s="6"/>
      <c r="K40" s="56" t="s">
        <v>51</v>
      </c>
      <c r="L40" s="57"/>
      <c r="M40" s="58"/>
      <c r="N40" s="59"/>
      <c r="O40" s="6"/>
      <c r="P40" s="56" t="s">
        <v>51</v>
      </c>
      <c r="Q40" s="57"/>
      <c r="R40" s="58"/>
      <c r="S40" s="59"/>
      <c r="T40" s="6"/>
      <c r="U40" s="56" t="s">
        <v>51</v>
      </c>
      <c r="V40" s="57"/>
      <c r="W40" s="58"/>
      <c r="X40" s="59"/>
      <c r="Y40" s="6"/>
      <c r="Z40" s="56" t="s">
        <v>51</v>
      </c>
      <c r="AA40" s="57"/>
      <c r="AB40" s="58"/>
      <c r="AC40" s="59"/>
      <c r="AD40" s="6"/>
    </row>
    <row r="41" spans="1:30" ht="12.75">
      <c r="A41" s="3"/>
      <c r="B41" s="60"/>
      <c r="C41" s="58"/>
      <c r="D41" s="61"/>
      <c r="E41" s="62"/>
      <c r="F41" s="3"/>
      <c r="G41" s="60"/>
      <c r="H41" s="58"/>
      <c r="I41" s="61"/>
      <c r="J41" s="62"/>
      <c r="K41" s="3"/>
      <c r="L41" s="60"/>
      <c r="M41" s="58"/>
      <c r="N41" s="61"/>
      <c r="O41" s="62"/>
      <c r="P41" s="3"/>
      <c r="Q41" s="60"/>
      <c r="R41" s="58"/>
      <c r="S41" s="61"/>
      <c r="T41" s="62"/>
      <c r="U41" s="3"/>
      <c r="V41" s="60"/>
      <c r="W41" s="58"/>
      <c r="X41" s="61"/>
      <c r="Y41" s="62"/>
      <c r="Z41" s="3"/>
      <c r="AA41" s="60"/>
      <c r="AB41" s="58"/>
      <c r="AC41" s="61"/>
      <c r="AD41" s="62"/>
    </row>
    <row r="42" spans="1:30" ht="12.75">
      <c r="A42" s="289"/>
      <c r="B42" s="289"/>
      <c r="C42" s="289"/>
      <c r="D42" s="289"/>
      <c r="E42" s="6"/>
      <c r="F42" s="289"/>
      <c r="G42" s="289"/>
      <c r="H42" s="289"/>
      <c r="I42" s="289"/>
      <c r="J42" s="6"/>
      <c r="K42" s="289"/>
      <c r="L42" s="289"/>
      <c r="M42" s="289"/>
      <c r="N42" s="289"/>
      <c r="O42" s="6"/>
      <c r="P42" s="289"/>
      <c r="Q42" s="289"/>
      <c r="R42" s="289"/>
      <c r="S42" s="289"/>
      <c r="T42" s="6"/>
      <c r="U42" s="289"/>
      <c r="V42" s="289"/>
      <c r="W42" s="289"/>
      <c r="X42" s="289"/>
      <c r="Y42" s="6"/>
      <c r="Z42" s="289"/>
      <c r="AA42" s="289"/>
      <c r="AB42" s="289"/>
      <c r="AC42" s="289"/>
      <c r="AD42" s="6"/>
    </row>
    <row r="43" spans="1:30" s="65" customFormat="1" ht="12.75">
      <c r="A43" s="289"/>
      <c r="B43" s="289"/>
      <c r="C43" s="289"/>
      <c r="D43" s="289"/>
      <c r="E43" s="63"/>
      <c r="F43" s="289"/>
      <c r="G43" s="289"/>
      <c r="H43" s="289"/>
      <c r="I43" s="289"/>
      <c r="J43" s="63"/>
      <c r="K43" s="64" t="s">
        <v>52</v>
      </c>
      <c r="L43" s="5"/>
      <c r="M43" s="5"/>
      <c r="N43" s="5"/>
      <c r="O43" s="63"/>
      <c r="P43" s="64" t="s">
        <v>52</v>
      </c>
      <c r="Q43" s="5"/>
      <c r="R43" s="5"/>
      <c r="S43" s="5"/>
      <c r="T43" s="63"/>
      <c r="U43" s="64" t="s">
        <v>52</v>
      </c>
      <c r="V43" s="5"/>
      <c r="W43" s="5"/>
      <c r="X43" s="5"/>
      <c r="Y43" s="63"/>
      <c r="Z43" s="64" t="s">
        <v>52</v>
      </c>
      <c r="AA43" s="5"/>
      <c r="AB43" s="5"/>
      <c r="AC43" s="5"/>
      <c r="AD43" s="63"/>
    </row>
    <row r="44" spans="1:30" ht="12.75">
      <c r="A44" s="289" t="s">
        <v>53</v>
      </c>
      <c r="B44" s="289"/>
      <c r="C44" s="289"/>
      <c r="D44" s="289"/>
      <c r="E44" s="6"/>
      <c r="F44" s="289" t="s">
        <v>54</v>
      </c>
      <c r="G44" s="289"/>
      <c r="H44" s="289"/>
      <c r="I44" s="289"/>
      <c r="J44" s="6"/>
      <c r="K44" s="5"/>
      <c r="L44" s="5"/>
      <c r="M44" s="5"/>
      <c r="N44" s="5"/>
      <c r="O44" s="6"/>
      <c r="P44" s="5"/>
      <c r="Q44" s="5"/>
      <c r="R44" s="5"/>
      <c r="S44" s="5"/>
      <c r="T44" s="6"/>
      <c r="U44" s="5"/>
      <c r="V44" s="5"/>
      <c r="W44" s="5"/>
      <c r="X44" s="5"/>
      <c r="Y44" s="6"/>
      <c r="Z44" s="5"/>
      <c r="AA44" s="5"/>
      <c r="AB44" s="5"/>
      <c r="AC44" s="5"/>
      <c r="AD44" s="6"/>
    </row>
    <row r="45" spans="3:30" s="12" customFormat="1" ht="11.25">
      <c r="C45" s="66"/>
      <c r="D45" s="67"/>
      <c r="E45" s="68"/>
      <c r="H45" s="66"/>
      <c r="I45" s="67"/>
      <c r="J45" s="68"/>
      <c r="M45" s="66"/>
      <c r="N45" s="67"/>
      <c r="O45" s="68"/>
      <c r="R45" s="66"/>
      <c r="S45" s="67"/>
      <c r="T45" s="68"/>
      <c r="W45" s="66"/>
      <c r="X45" s="67"/>
      <c r="Y45" s="68"/>
      <c r="AB45" s="66"/>
      <c r="AC45" s="67"/>
      <c r="AD45" s="68"/>
    </row>
    <row r="46" spans="3:30" s="12" customFormat="1" ht="11.25">
      <c r="C46" s="56"/>
      <c r="E46" s="69"/>
      <c r="H46" s="56"/>
      <c r="J46" s="69"/>
      <c r="M46" s="56"/>
      <c r="O46" s="69"/>
      <c r="R46" s="56"/>
      <c r="T46" s="69"/>
      <c r="W46" s="56"/>
      <c r="Y46" s="69"/>
      <c r="AB46" s="56"/>
      <c r="AD46" s="69"/>
    </row>
    <row r="47" spans="1:30" ht="12.75">
      <c r="A47" s="12" t="s">
        <v>55</v>
      </c>
      <c r="B47" s="57"/>
      <c r="C47" s="58"/>
      <c r="D47" s="59"/>
      <c r="E47" s="6"/>
      <c r="F47" s="12" t="s">
        <v>55</v>
      </c>
      <c r="G47" s="57"/>
      <c r="H47" s="58"/>
      <c r="I47" s="59"/>
      <c r="J47" s="6"/>
      <c r="K47" s="12" t="s">
        <v>55</v>
      </c>
      <c r="L47" s="57"/>
      <c r="M47" s="58"/>
      <c r="N47" s="59"/>
      <c r="O47" s="6"/>
      <c r="P47" s="12" t="s">
        <v>55</v>
      </c>
      <c r="Q47" s="57"/>
      <c r="R47" s="58"/>
      <c r="S47" s="59"/>
      <c r="T47" s="6"/>
      <c r="U47" s="12" t="s">
        <v>55</v>
      </c>
      <c r="V47" s="57"/>
      <c r="W47" s="58"/>
      <c r="X47" s="59"/>
      <c r="Y47" s="6"/>
      <c r="Z47" s="12" t="s">
        <v>55</v>
      </c>
      <c r="AA47" s="57"/>
      <c r="AB47" s="58"/>
      <c r="AC47" s="59"/>
      <c r="AD47" s="6"/>
    </row>
    <row r="48" spans="1:30" ht="12.75">
      <c r="A48" s="12" t="s">
        <v>56</v>
      </c>
      <c r="B48" s="57"/>
      <c r="C48" s="58"/>
      <c r="D48" s="59"/>
      <c r="E48" s="6"/>
      <c r="F48" s="12" t="s">
        <v>57</v>
      </c>
      <c r="G48" s="57"/>
      <c r="H48" s="58"/>
      <c r="I48" s="59"/>
      <c r="J48" s="6"/>
      <c r="K48" s="12" t="s">
        <v>58</v>
      </c>
      <c r="L48" s="57"/>
      <c r="M48" s="58"/>
      <c r="N48" s="59"/>
      <c r="O48" s="6"/>
      <c r="P48" s="12" t="s">
        <v>59</v>
      </c>
      <c r="Q48" s="57"/>
      <c r="R48" s="58"/>
      <c r="S48" s="59"/>
      <c r="T48" s="6"/>
      <c r="U48" s="12" t="s">
        <v>60</v>
      </c>
      <c r="V48" s="57"/>
      <c r="W48" s="58"/>
      <c r="X48" s="59"/>
      <c r="Y48" s="6"/>
      <c r="Z48" s="12" t="s">
        <v>61</v>
      </c>
      <c r="AA48" s="57"/>
      <c r="AB48" s="58"/>
      <c r="AC48" s="59"/>
      <c r="AD48" s="6"/>
    </row>
    <row r="49" spans="1:15" ht="12.75">
      <c r="A49" s="70"/>
      <c r="B49" s="70"/>
      <c r="C49" s="58"/>
      <c r="D49" s="70"/>
      <c r="E49" s="6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12.75">
      <c r="A50" s="70"/>
      <c r="B50" s="70"/>
      <c r="C50" s="58"/>
      <c r="D50" s="71"/>
      <c r="E50" s="72"/>
      <c r="F50" s="71"/>
      <c r="G50" s="71"/>
      <c r="H50" s="71"/>
      <c r="I50" s="71"/>
      <c r="J50" s="71"/>
      <c r="K50"/>
      <c r="L50"/>
      <c r="M50"/>
      <c r="N50"/>
      <c r="O50"/>
    </row>
    <row r="51" spans="11:15" ht="12.75">
      <c r="K51"/>
      <c r="L51"/>
      <c r="M51"/>
      <c r="N51"/>
      <c r="O51"/>
    </row>
    <row r="52" spans="11:15" ht="12.75">
      <c r="K52"/>
      <c r="L52"/>
      <c r="M52"/>
      <c r="N52"/>
      <c r="O52"/>
    </row>
    <row r="53" spans="11:15" ht="12.75">
      <c r="K53"/>
      <c r="L53"/>
      <c r="M53"/>
      <c r="N53"/>
      <c r="O53"/>
    </row>
    <row r="54" spans="11:15" ht="12.75">
      <c r="K54"/>
      <c r="L54"/>
      <c r="M54"/>
      <c r="N54"/>
      <c r="O54"/>
    </row>
    <row r="55" spans="11:15" ht="12.75">
      <c r="K55"/>
      <c r="L55"/>
      <c r="M55"/>
      <c r="N55"/>
      <c r="O55"/>
    </row>
    <row r="56" spans="11:15" ht="12.75">
      <c r="K56"/>
      <c r="L56"/>
      <c r="M56"/>
      <c r="N56"/>
      <c r="O56"/>
    </row>
    <row r="57" spans="11:15" ht="12.75">
      <c r="K57"/>
      <c r="L57"/>
      <c r="M57"/>
      <c r="N57"/>
      <c r="O57"/>
    </row>
    <row r="58" spans="11:15" ht="12.75">
      <c r="K58"/>
      <c r="L58"/>
      <c r="M58"/>
      <c r="N58"/>
      <c r="O58"/>
    </row>
    <row r="59" spans="11:15" ht="12.75">
      <c r="K59"/>
      <c r="L59"/>
      <c r="M59"/>
      <c r="N59"/>
      <c r="O59"/>
    </row>
    <row r="60" spans="11:15" ht="12.75">
      <c r="K60"/>
      <c r="L60"/>
      <c r="M60"/>
      <c r="N60"/>
      <c r="O60"/>
    </row>
    <row r="61" spans="11:15" ht="12.75">
      <c r="K61"/>
      <c r="L61"/>
      <c r="M61"/>
      <c r="N61"/>
      <c r="O61"/>
    </row>
    <row r="62" spans="11:15" ht="12.75">
      <c r="K62"/>
      <c r="L62"/>
      <c r="M62"/>
      <c r="N62"/>
      <c r="O62"/>
    </row>
    <row r="63" spans="11:15" ht="12.75">
      <c r="K63"/>
      <c r="L63"/>
      <c r="M63"/>
      <c r="N63"/>
      <c r="O63"/>
    </row>
    <row r="64" spans="11:15" ht="12.75">
      <c r="K64"/>
      <c r="L64"/>
      <c r="M64"/>
      <c r="N64"/>
      <c r="O64"/>
    </row>
    <row r="65" spans="11:15" ht="12.75">
      <c r="K65"/>
      <c r="L65"/>
      <c r="M65"/>
      <c r="N65"/>
      <c r="O65"/>
    </row>
    <row r="66" spans="11:15" ht="12.75">
      <c r="K66"/>
      <c r="L66"/>
      <c r="M66"/>
      <c r="N66"/>
      <c r="O66"/>
    </row>
    <row r="67" spans="11:15" ht="12.75">
      <c r="K67"/>
      <c r="L67"/>
      <c r="M67"/>
      <c r="N67"/>
      <c r="O67"/>
    </row>
    <row r="68" spans="11:15" ht="12.75">
      <c r="K68"/>
      <c r="L68"/>
      <c r="M68"/>
      <c r="N68"/>
      <c r="O68"/>
    </row>
    <row r="69" spans="11:15" ht="12.75">
      <c r="K69"/>
      <c r="L69"/>
      <c r="M69"/>
      <c r="N69"/>
      <c r="O69"/>
    </row>
    <row r="70" spans="11:15" ht="12.75">
      <c r="K70"/>
      <c r="L70"/>
      <c r="M70"/>
      <c r="N70"/>
      <c r="O70"/>
    </row>
    <row r="71" spans="11:15" ht="12.75">
      <c r="K71"/>
      <c r="L71"/>
      <c r="M71"/>
      <c r="N71"/>
      <c r="O71"/>
    </row>
    <row r="72" spans="11:15" ht="12.75">
      <c r="K72"/>
      <c r="L72"/>
      <c r="M72"/>
      <c r="N72"/>
      <c r="O72"/>
    </row>
    <row r="73" spans="11:15" ht="12.75">
      <c r="K73"/>
      <c r="L73"/>
      <c r="M73"/>
      <c r="N73"/>
      <c r="O73"/>
    </row>
    <row r="74" spans="11:15" ht="12.75">
      <c r="K74"/>
      <c r="L74"/>
      <c r="M74"/>
      <c r="N74"/>
      <c r="O74"/>
    </row>
    <row r="75" spans="11:15" ht="12.75">
      <c r="K75"/>
      <c r="L75"/>
      <c r="M75"/>
      <c r="N75"/>
      <c r="O75"/>
    </row>
    <row r="76" spans="11:15" ht="12.75">
      <c r="K76"/>
      <c r="L76"/>
      <c r="M76"/>
      <c r="N76"/>
      <c r="O76"/>
    </row>
    <row r="77" spans="11:15" ht="12.75">
      <c r="K77"/>
      <c r="L77"/>
      <c r="M77"/>
      <c r="N77"/>
      <c r="O77"/>
    </row>
    <row r="78" spans="11:15" ht="12.75">
      <c r="K78"/>
      <c r="L78"/>
      <c r="M78"/>
      <c r="N78"/>
      <c r="O78"/>
    </row>
    <row r="79" spans="11:15" ht="12.75">
      <c r="K79"/>
      <c r="L79"/>
      <c r="M79"/>
      <c r="N79"/>
      <c r="O79"/>
    </row>
    <row r="80" spans="11:15" ht="12.75">
      <c r="K80"/>
      <c r="L80"/>
      <c r="M80"/>
      <c r="N80"/>
      <c r="O80"/>
    </row>
    <row r="81" spans="11:15" ht="12.75">
      <c r="K81"/>
      <c r="L81"/>
      <c r="M81"/>
      <c r="N81"/>
      <c r="O81"/>
    </row>
    <row r="82" spans="11:15" ht="12.75">
      <c r="K82"/>
      <c r="L82"/>
      <c r="M82"/>
      <c r="N82"/>
      <c r="O82"/>
    </row>
    <row r="83" spans="11:15" ht="12.75">
      <c r="K83"/>
      <c r="L83"/>
      <c r="M83"/>
      <c r="N83"/>
      <c r="O83"/>
    </row>
    <row r="84" spans="11:15" ht="12.75">
      <c r="K84"/>
      <c r="L84"/>
      <c r="M84"/>
      <c r="N84"/>
      <c r="O84"/>
    </row>
    <row r="85" spans="11:15" ht="12.75">
      <c r="K85"/>
      <c r="L85"/>
      <c r="M85"/>
      <c r="N85"/>
      <c r="O85"/>
    </row>
    <row r="86" spans="11:15" ht="12.75">
      <c r="K86"/>
      <c r="L86"/>
      <c r="M86"/>
      <c r="N86"/>
      <c r="O86"/>
    </row>
    <row r="87" spans="11:15" ht="12.75">
      <c r="K87"/>
      <c r="L87"/>
      <c r="M87"/>
      <c r="N87"/>
      <c r="O87"/>
    </row>
    <row r="88" spans="11:15" ht="12.75">
      <c r="K88"/>
      <c r="L88"/>
      <c r="M88"/>
      <c r="N88"/>
      <c r="O88"/>
    </row>
    <row r="89" spans="11:15" ht="12.75">
      <c r="K89"/>
      <c r="L89"/>
      <c r="M89"/>
      <c r="N89"/>
      <c r="O89"/>
    </row>
    <row r="90" spans="11:15" ht="12.75">
      <c r="K90"/>
      <c r="L90"/>
      <c r="M90"/>
      <c r="N90"/>
      <c r="O90"/>
    </row>
    <row r="91" spans="11:15" ht="12.75">
      <c r="K91"/>
      <c r="L91"/>
      <c r="M91"/>
      <c r="N91"/>
      <c r="O91"/>
    </row>
    <row r="92" spans="11:15" ht="12.75">
      <c r="K92"/>
      <c r="L92"/>
      <c r="M92"/>
      <c r="N92"/>
      <c r="O92"/>
    </row>
    <row r="93" spans="11:15" ht="12.75">
      <c r="K93"/>
      <c r="L93"/>
      <c r="M93"/>
      <c r="N93"/>
      <c r="O93"/>
    </row>
    <row r="94" spans="11:15" ht="12.75">
      <c r="K94"/>
      <c r="L94"/>
      <c r="M94"/>
      <c r="N94"/>
      <c r="O94"/>
    </row>
    <row r="95" spans="11:15" ht="12.75">
      <c r="K95"/>
      <c r="L95"/>
      <c r="M95"/>
      <c r="N95"/>
      <c r="O95"/>
    </row>
    <row r="96" spans="11:15" ht="12.75">
      <c r="K96"/>
      <c r="L96"/>
      <c r="M96"/>
      <c r="N96"/>
      <c r="O96"/>
    </row>
    <row r="97" spans="11:15" ht="12.75">
      <c r="K97"/>
      <c r="L97"/>
      <c r="M97"/>
      <c r="N97"/>
      <c r="O97"/>
    </row>
    <row r="98" spans="11:15" ht="12.75">
      <c r="K98"/>
      <c r="L98"/>
      <c r="M98"/>
      <c r="N98"/>
      <c r="O98"/>
    </row>
    <row r="99" spans="11:15" ht="12.75">
      <c r="K99"/>
      <c r="L99"/>
      <c r="M99"/>
      <c r="N99"/>
      <c r="O99"/>
    </row>
    <row r="100" spans="11:15" ht="12.75">
      <c r="K100"/>
      <c r="L100"/>
      <c r="M100"/>
      <c r="N100"/>
      <c r="O100"/>
    </row>
    <row r="101" spans="11:15" ht="12.75">
      <c r="K101"/>
      <c r="L101"/>
      <c r="M101"/>
      <c r="N101"/>
      <c r="O101"/>
    </row>
    <row r="102" spans="11:15" ht="12.75">
      <c r="K102"/>
      <c r="L102"/>
      <c r="M102"/>
      <c r="N102"/>
      <c r="O102"/>
    </row>
    <row r="103" spans="11:15" ht="12.75">
      <c r="K103"/>
      <c r="L103"/>
      <c r="M103"/>
      <c r="N103"/>
      <c r="O103"/>
    </row>
    <row r="104" spans="11:15" ht="12.75">
      <c r="K104"/>
      <c r="L104"/>
      <c r="M104"/>
      <c r="N104"/>
      <c r="O104"/>
    </row>
    <row r="105" spans="11:15" ht="12.75">
      <c r="K105"/>
      <c r="L105"/>
      <c r="M105"/>
      <c r="N105"/>
      <c r="O105"/>
    </row>
    <row r="106" spans="11:15" ht="12.75">
      <c r="K106"/>
      <c r="L106"/>
      <c r="M106"/>
      <c r="N106"/>
      <c r="O106"/>
    </row>
    <row r="107" spans="11:15" ht="12.75">
      <c r="K107"/>
      <c r="L107"/>
      <c r="M107"/>
      <c r="N107"/>
      <c r="O107"/>
    </row>
    <row r="108" spans="11:15" ht="12.75">
      <c r="K108"/>
      <c r="L108"/>
      <c r="M108"/>
      <c r="N108"/>
      <c r="O108"/>
    </row>
    <row r="109" spans="11:15" ht="12.75">
      <c r="K109"/>
      <c r="L109"/>
      <c r="M109"/>
      <c r="N109"/>
      <c r="O109"/>
    </row>
    <row r="110" spans="11:15" ht="12.75">
      <c r="K110"/>
      <c r="L110"/>
      <c r="M110"/>
      <c r="N110"/>
      <c r="O110"/>
    </row>
    <row r="111" spans="11:15" ht="12.75">
      <c r="K111"/>
      <c r="L111"/>
      <c r="M111"/>
      <c r="N111"/>
      <c r="O111"/>
    </row>
    <row r="112" spans="11:15" ht="12.75">
      <c r="K112"/>
      <c r="L112"/>
      <c r="M112"/>
      <c r="N112"/>
      <c r="O112"/>
    </row>
    <row r="113" spans="11:15" ht="12.75">
      <c r="K113"/>
      <c r="L113"/>
      <c r="M113"/>
      <c r="N113"/>
      <c r="O113"/>
    </row>
    <row r="114" spans="11:15" ht="12.75">
      <c r="K114"/>
      <c r="L114"/>
      <c r="M114"/>
      <c r="N114"/>
      <c r="O114"/>
    </row>
    <row r="115" spans="11:15" ht="12.75">
      <c r="K115"/>
      <c r="L115"/>
      <c r="M115"/>
      <c r="N115"/>
      <c r="O115"/>
    </row>
    <row r="116" spans="11:15" ht="12.75">
      <c r="K116"/>
      <c r="L116"/>
      <c r="M116"/>
      <c r="N116"/>
      <c r="O116"/>
    </row>
    <row r="117" spans="11:15" ht="12.75">
      <c r="K117"/>
      <c r="L117"/>
      <c r="M117"/>
      <c r="N117"/>
      <c r="O117"/>
    </row>
    <row r="118" spans="11:15" ht="12.75">
      <c r="K118"/>
      <c r="L118"/>
      <c r="M118"/>
      <c r="N118"/>
      <c r="O118"/>
    </row>
    <row r="119" spans="11:15" ht="12.75">
      <c r="K119"/>
      <c r="L119"/>
      <c r="M119"/>
      <c r="N119"/>
      <c r="O119"/>
    </row>
    <row r="120" spans="11:15" ht="12.75">
      <c r="K120"/>
      <c r="L120"/>
      <c r="M120"/>
      <c r="N120"/>
      <c r="O120"/>
    </row>
    <row r="121" spans="11:15" ht="12.75">
      <c r="K121"/>
      <c r="L121"/>
      <c r="M121"/>
      <c r="N121"/>
      <c r="O121"/>
    </row>
    <row r="122" spans="11:15" ht="12.75">
      <c r="K122"/>
      <c r="L122"/>
      <c r="M122"/>
      <c r="N122"/>
      <c r="O122"/>
    </row>
    <row r="123" spans="11:15" ht="12.75">
      <c r="K123"/>
      <c r="L123"/>
      <c r="M123"/>
      <c r="N123"/>
      <c r="O123"/>
    </row>
    <row r="124" spans="11:15" ht="12.75">
      <c r="K124"/>
      <c r="L124"/>
      <c r="M124"/>
      <c r="N124"/>
      <c r="O124"/>
    </row>
    <row r="125" spans="11:15" ht="12.75">
      <c r="K125"/>
      <c r="L125"/>
      <c r="M125"/>
      <c r="N125"/>
      <c r="O125"/>
    </row>
    <row r="126" spans="11:15" ht="12.75">
      <c r="K126"/>
      <c r="L126"/>
      <c r="M126"/>
      <c r="N126"/>
      <c r="O126"/>
    </row>
    <row r="127" spans="11:15" ht="12.75">
      <c r="K127"/>
      <c r="L127"/>
      <c r="M127"/>
      <c r="N127"/>
      <c r="O127"/>
    </row>
    <row r="128" spans="11:15" ht="12.75">
      <c r="K128"/>
      <c r="L128"/>
      <c r="M128"/>
      <c r="N128"/>
      <c r="O128"/>
    </row>
    <row r="129" spans="11:15" ht="12.75">
      <c r="K129"/>
      <c r="L129"/>
      <c r="M129"/>
      <c r="N129"/>
      <c r="O129"/>
    </row>
    <row r="130" spans="11:15" ht="12.75">
      <c r="K130"/>
      <c r="L130"/>
      <c r="M130"/>
      <c r="N130"/>
      <c r="O130"/>
    </row>
    <row r="131" spans="11:15" ht="12.75">
      <c r="K131"/>
      <c r="L131"/>
      <c r="M131"/>
      <c r="N131"/>
      <c r="O131"/>
    </row>
    <row r="132" spans="11:15" ht="12.75">
      <c r="K132"/>
      <c r="L132"/>
      <c r="M132"/>
      <c r="N132"/>
      <c r="O132"/>
    </row>
    <row r="133" spans="11:15" ht="12.75">
      <c r="K133"/>
      <c r="L133"/>
      <c r="M133"/>
      <c r="N133"/>
      <c r="O133"/>
    </row>
    <row r="134" spans="11:15" ht="12.75">
      <c r="K134"/>
      <c r="L134"/>
      <c r="M134"/>
      <c r="N134"/>
      <c r="O134"/>
    </row>
    <row r="135" spans="11:15" ht="12.75">
      <c r="K135"/>
      <c r="L135"/>
      <c r="M135"/>
      <c r="N135"/>
      <c r="O135"/>
    </row>
    <row r="136" spans="11:15" ht="12.75">
      <c r="K136"/>
      <c r="L136"/>
      <c r="M136"/>
      <c r="N136"/>
      <c r="O136"/>
    </row>
    <row r="137" spans="11:15" ht="12.75">
      <c r="K137"/>
      <c r="L137"/>
      <c r="M137"/>
      <c r="N137"/>
      <c r="O137"/>
    </row>
    <row r="138" spans="11:15" ht="12.75">
      <c r="K138"/>
      <c r="L138"/>
      <c r="M138"/>
      <c r="N138"/>
      <c r="O138"/>
    </row>
    <row r="139" spans="11:15" ht="12.75">
      <c r="K139"/>
      <c r="L139"/>
      <c r="M139"/>
      <c r="N139"/>
      <c r="O139"/>
    </row>
    <row r="140" spans="11:15" ht="12.75">
      <c r="K140"/>
      <c r="L140"/>
      <c r="M140"/>
      <c r="N140"/>
      <c r="O140"/>
    </row>
    <row r="141" spans="11:15" ht="12.75">
      <c r="K141"/>
      <c r="L141"/>
      <c r="M141"/>
      <c r="N141"/>
      <c r="O141"/>
    </row>
    <row r="142" spans="11:15" ht="12.75">
      <c r="K142"/>
      <c r="L142"/>
      <c r="M142"/>
      <c r="N142"/>
      <c r="O142"/>
    </row>
    <row r="143" spans="11:15" ht="12.75">
      <c r="K143"/>
      <c r="L143"/>
      <c r="M143"/>
      <c r="N143"/>
      <c r="O143"/>
    </row>
    <row r="144" spans="11:15" ht="12.75">
      <c r="K144"/>
      <c r="L144"/>
      <c r="M144"/>
      <c r="N144"/>
      <c r="O144"/>
    </row>
    <row r="145" spans="11:15" ht="12.75">
      <c r="K145"/>
      <c r="L145"/>
      <c r="M145"/>
      <c r="N145"/>
      <c r="O145"/>
    </row>
    <row r="146" spans="11:15" ht="12.75">
      <c r="K146"/>
      <c r="L146"/>
      <c r="M146"/>
      <c r="N146"/>
      <c r="O146"/>
    </row>
    <row r="147" spans="11:15" ht="12.75">
      <c r="K147"/>
      <c r="L147"/>
      <c r="M147"/>
      <c r="N147"/>
      <c r="O147"/>
    </row>
    <row r="148" spans="11:15" ht="12.75">
      <c r="K148"/>
      <c r="L148"/>
      <c r="M148"/>
      <c r="N148"/>
      <c r="O148"/>
    </row>
    <row r="149" spans="11:15" ht="12.75">
      <c r="K149"/>
      <c r="L149"/>
      <c r="M149"/>
      <c r="N149"/>
      <c r="O149"/>
    </row>
    <row r="150" spans="11:15" ht="12.75">
      <c r="K150"/>
      <c r="L150"/>
      <c r="M150"/>
      <c r="N150"/>
      <c r="O150"/>
    </row>
    <row r="151" spans="11:15" ht="12.75">
      <c r="K151"/>
      <c r="L151"/>
      <c r="M151"/>
      <c r="N151"/>
      <c r="O151"/>
    </row>
    <row r="152" spans="11:15" ht="12.75">
      <c r="K152"/>
      <c r="L152"/>
      <c r="M152"/>
      <c r="N152"/>
      <c r="O152"/>
    </row>
    <row r="153" spans="11:15" ht="12.75">
      <c r="K153"/>
      <c r="L153"/>
      <c r="M153"/>
      <c r="N153"/>
      <c r="O153"/>
    </row>
    <row r="154" spans="11:15" ht="12.75">
      <c r="K154"/>
      <c r="L154"/>
      <c r="M154"/>
      <c r="N154"/>
      <c r="O154"/>
    </row>
    <row r="155" spans="11:15" ht="12.75">
      <c r="K155"/>
      <c r="L155"/>
      <c r="M155"/>
      <c r="N155"/>
      <c r="O155"/>
    </row>
    <row r="156" spans="11:15" ht="12.75">
      <c r="K156"/>
      <c r="L156"/>
      <c r="M156"/>
      <c r="N156"/>
      <c r="O156"/>
    </row>
    <row r="157" spans="11:15" ht="12.75">
      <c r="K157"/>
      <c r="L157"/>
      <c r="M157"/>
      <c r="N157"/>
      <c r="O157"/>
    </row>
    <row r="158" spans="11:15" ht="12.75">
      <c r="K158"/>
      <c r="L158"/>
      <c r="M158"/>
      <c r="N158"/>
      <c r="O158"/>
    </row>
    <row r="159" spans="11:15" ht="12.75">
      <c r="K159"/>
      <c r="L159"/>
      <c r="M159"/>
      <c r="N159"/>
      <c r="O159"/>
    </row>
    <row r="160" spans="11:15" ht="12.75">
      <c r="K160"/>
      <c r="L160"/>
      <c r="M160"/>
      <c r="N160"/>
      <c r="O160"/>
    </row>
    <row r="161" spans="11:15" ht="12.75">
      <c r="K161"/>
      <c r="L161"/>
      <c r="M161"/>
      <c r="N161"/>
      <c r="O161"/>
    </row>
    <row r="162" spans="11:15" ht="12.75">
      <c r="K162"/>
      <c r="L162"/>
      <c r="M162"/>
      <c r="N162"/>
      <c r="O162"/>
    </row>
    <row r="163" spans="11:15" ht="12.75">
      <c r="K163"/>
      <c r="L163"/>
      <c r="M163"/>
      <c r="N163"/>
      <c r="O163"/>
    </row>
    <row r="164" spans="11:15" ht="12.75">
      <c r="K164"/>
      <c r="L164"/>
      <c r="M164"/>
      <c r="N164"/>
      <c r="O164"/>
    </row>
    <row r="165" spans="11:15" ht="12.75">
      <c r="K165"/>
      <c r="L165"/>
      <c r="M165"/>
      <c r="N165"/>
      <c r="O165"/>
    </row>
    <row r="166" spans="11:15" ht="12.75">
      <c r="K166"/>
      <c r="L166"/>
      <c r="M166"/>
      <c r="N166"/>
      <c r="O166"/>
    </row>
    <row r="167" spans="11:15" ht="12.75">
      <c r="K167"/>
      <c r="L167"/>
      <c r="M167"/>
      <c r="N167"/>
      <c r="O167"/>
    </row>
    <row r="168" spans="11:15" ht="12.75">
      <c r="K168"/>
      <c r="L168"/>
      <c r="M168"/>
      <c r="N168"/>
      <c r="O168"/>
    </row>
    <row r="169" spans="11:15" ht="12.75">
      <c r="K169"/>
      <c r="L169"/>
      <c r="M169"/>
      <c r="N169"/>
      <c r="O169"/>
    </row>
    <row r="170" spans="11:15" ht="12.75">
      <c r="K170"/>
      <c r="L170"/>
      <c r="M170"/>
      <c r="N170"/>
      <c r="O170"/>
    </row>
    <row r="171" spans="11:15" ht="12.75">
      <c r="K171"/>
      <c r="L171"/>
      <c r="M171"/>
      <c r="N171"/>
      <c r="O171"/>
    </row>
    <row r="172" spans="11:15" ht="12.75">
      <c r="K172"/>
      <c r="L172"/>
      <c r="M172"/>
      <c r="N172"/>
      <c r="O172"/>
    </row>
    <row r="173" spans="11:15" ht="12.75">
      <c r="K173"/>
      <c r="L173"/>
      <c r="M173"/>
      <c r="N173"/>
      <c r="O173"/>
    </row>
    <row r="174" spans="11:15" ht="12.75">
      <c r="K174"/>
      <c r="L174"/>
      <c r="M174"/>
      <c r="N174"/>
      <c r="O174"/>
    </row>
    <row r="175" spans="11:15" ht="12.75">
      <c r="K175"/>
      <c r="L175"/>
      <c r="M175"/>
      <c r="N175"/>
      <c r="O175"/>
    </row>
    <row r="176" spans="11:15" ht="12.75">
      <c r="K176"/>
      <c r="L176"/>
      <c r="M176"/>
      <c r="N176"/>
      <c r="O176"/>
    </row>
    <row r="177" spans="11:15" ht="12.75">
      <c r="K177"/>
      <c r="L177"/>
      <c r="M177"/>
      <c r="N177"/>
      <c r="O177"/>
    </row>
    <row r="178" spans="11:15" ht="12.75">
      <c r="K178"/>
      <c r="L178"/>
      <c r="M178"/>
      <c r="N178"/>
      <c r="O178"/>
    </row>
    <row r="179" spans="11:15" ht="12.75">
      <c r="K179"/>
      <c r="L179"/>
      <c r="M179"/>
      <c r="N179"/>
      <c r="O179"/>
    </row>
    <row r="180" spans="11:15" ht="12.75">
      <c r="K180"/>
      <c r="L180"/>
      <c r="M180"/>
      <c r="N180"/>
      <c r="O180"/>
    </row>
    <row r="181" spans="11:15" ht="12.75">
      <c r="K181"/>
      <c r="L181"/>
      <c r="M181"/>
      <c r="N181"/>
      <c r="O181"/>
    </row>
    <row r="182" spans="11:15" ht="12.75">
      <c r="K182"/>
      <c r="L182"/>
      <c r="M182"/>
      <c r="N182"/>
      <c r="O182"/>
    </row>
    <row r="183" spans="11:15" ht="12.75">
      <c r="K183"/>
      <c r="L183"/>
      <c r="M183"/>
      <c r="N183"/>
      <c r="O183"/>
    </row>
    <row r="184" spans="11:15" ht="12.75">
      <c r="K184"/>
      <c r="L184"/>
      <c r="M184"/>
      <c r="N184"/>
      <c r="O184"/>
    </row>
    <row r="185" spans="11:15" ht="12.75">
      <c r="K185"/>
      <c r="L185"/>
      <c r="M185"/>
      <c r="N185"/>
      <c r="O185"/>
    </row>
    <row r="186" spans="11:15" ht="12.75">
      <c r="K186"/>
      <c r="L186"/>
      <c r="M186"/>
      <c r="N186"/>
      <c r="O186"/>
    </row>
    <row r="187" spans="11:15" ht="12.75">
      <c r="K187"/>
      <c r="L187"/>
      <c r="M187"/>
      <c r="N187"/>
      <c r="O187"/>
    </row>
    <row r="188" spans="11:15" ht="12.75">
      <c r="K188"/>
      <c r="L188"/>
      <c r="M188"/>
      <c r="N188"/>
      <c r="O188"/>
    </row>
    <row r="189" spans="11:15" ht="12.75">
      <c r="K189"/>
      <c r="L189"/>
      <c r="M189"/>
      <c r="N189"/>
      <c r="O189"/>
    </row>
    <row r="190" spans="11:15" ht="12.75">
      <c r="K190"/>
      <c r="L190"/>
      <c r="M190"/>
      <c r="N190"/>
      <c r="O190"/>
    </row>
    <row r="191" spans="11:15" ht="12.75">
      <c r="K191"/>
      <c r="L191"/>
      <c r="M191"/>
      <c r="N191"/>
      <c r="O191"/>
    </row>
    <row r="192" spans="11:15" ht="12.75">
      <c r="K192"/>
      <c r="L192"/>
      <c r="M192"/>
      <c r="N192"/>
      <c r="O192"/>
    </row>
    <row r="193" spans="11:15" ht="12.75">
      <c r="K193"/>
      <c r="L193"/>
      <c r="M193"/>
      <c r="N193"/>
      <c r="O193"/>
    </row>
    <row r="194" spans="11:15" ht="12.75">
      <c r="K194"/>
      <c r="L194"/>
      <c r="M194"/>
      <c r="N194"/>
      <c r="O194"/>
    </row>
    <row r="195" spans="11:15" ht="12.75">
      <c r="K195"/>
      <c r="L195"/>
      <c r="M195"/>
      <c r="N195"/>
      <c r="O195"/>
    </row>
    <row r="196" spans="11:15" ht="12.75">
      <c r="K196"/>
      <c r="L196"/>
      <c r="M196"/>
      <c r="N196"/>
      <c r="O196"/>
    </row>
    <row r="197" spans="11:15" ht="12.75">
      <c r="K197"/>
      <c r="L197"/>
      <c r="M197"/>
      <c r="N197"/>
      <c r="O197"/>
    </row>
    <row r="198" spans="11:15" ht="12.75">
      <c r="K198"/>
      <c r="L198"/>
      <c r="M198"/>
      <c r="N198"/>
      <c r="O198"/>
    </row>
    <row r="199" spans="11:15" ht="12.75">
      <c r="K199"/>
      <c r="L199"/>
      <c r="M199"/>
      <c r="N199"/>
      <c r="O199"/>
    </row>
    <row r="200" spans="11:15" ht="12.75">
      <c r="K200"/>
      <c r="L200"/>
      <c r="M200"/>
      <c r="N200"/>
      <c r="O200"/>
    </row>
    <row r="201" spans="11:15" ht="12.75">
      <c r="K201"/>
      <c r="L201"/>
      <c r="M201"/>
      <c r="N201"/>
      <c r="O201"/>
    </row>
    <row r="202" spans="11:15" ht="12.75">
      <c r="K202"/>
      <c r="L202"/>
      <c r="M202"/>
      <c r="N202"/>
      <c r="O202"/>
    </row>
    <row r="203" spans="11:15" ht="12.75">
      <c r="K203"/>
      <c r="L203"/>
      <c r="M203"/>
      <c r="N203"/>
      <c r="O203"/>
    </row>
    <row r="204" spans="11:15" ht="12.75">
      <c r="K204"/>
      <c r="L204"/>
      <c r="M204"/>
      <c r="N204"/>
      <c r="O204"/>
    </row>
    <row r="205" spans="11:15" ht="12.75">
      <c r="K205"/>
      <c r="L205"/>
      <c r="M205"/>
      <c r="N205"/>
      <c r="O205"/>
    </row>
    <row r="206" spans="11:15" ht="12.75">
      <c r="K206"/>
      <c r="L206"/>
      <c r="M206"/>
      <c r="N206"/>
      <c r="O206"/>
    </row>
    <row r="207" spans="11:15" ht="12.75">
      <c r="K207"/>
      <c r="L207"/>
      <c r="M207"/>
      <c r="N207"/>
      <c r="O207"/>
    </row>
    <row r="208" spans="11:15" ht="12.75">
      <c r="K208"/>
      <c r="L208"/>
      <c r="M208"/>
      <c r="N208"/>
      <c r="O208"/>
    </row>
    <row r="209" spans="11:15" ht="12.75">
      <c r="K209"/>
      <c r="L209"/>
      <c r="M209"/>
      <c r="N209"/>
      <c r="O209"/>
    </row>
    <row r="210" spans="11:15" ht="12.75">
      <c r="K210"/>
      <c r="L210"/>
      <c r="M210"/>
      <c r="N210"/>
      <c r="O210"/>
    </row>
    <row r="211" spans="11:15" ht="12.75">
      <c r="K211"/>
      <c r="L211"/>
      <c r="M211"/>
      <c r="N211"/>
      <c r="O211"/>
    </row>
    <row r="212" spans="11:15" ht="12.75">
      <c r="K212"/>
      <c r="L212"/>
      <c r="M212"/>
      <c r="N212"/>
      <c r="O212"/>
    </row>
    <row r="213" spans="11:15" ht="12.75">
      <c r="K213"/>
      <c r="L213"/>
      <c r="M213"/>
      <c r="N213"/>
      <c r="O213"/>
    </row>
    <row r="214" spans="11:15" ht="12.75">
      <c r="K214"/>
      <c r="L214"/>
      <c r="M214"/>
      <c r="N214"/>
      <c r="O214"/>
    </row>
    <row r="215" spans="11:15" ht="12.75">
      <c r="K215"/>
      <c r="L215"/>
      <c r="M215"/>
      <c r="N215"/>
      <c r="O215"/>
    </row>
    <row r="216" spans="11:15" ht="12.75">
      <c r="K216"/>
      <c r="L216"/>
      <c r="M216"/>
      <c r="N216"/>
      <c r="O216"/>
    </row>
    <row r="217" spans="11:15" ht="12.75">
      <c r="K217"/>
      <c r="L217"/>
      <c r="M217"/>
      <c r="N217"/>
      <c r="O217"/>
    </row>
    <row r="218" spans="11:15" ht="12.75">
      <c r="K218"/>
      <c r="L218"/>
      <c r="M218"/>
      <c r="N218"/>
      <c r="O218"/>
    </row>
    <row r="219" spans="11:15" ht="12.75">
      <c r="K219"/>
      <c r="L219"/>
      <c r="M219"/>
      <c r="N219"/>
      <c r="O219"/>
    </row>
    <row r="220" spans="11:15" ht="12.75">
      <c r="K220"/>
      <c r="L220"/>
      <c r="M220"/>
      <c r="N220"/>
      <c r="O220"/>
    </row>
    <row r="221" spans="11:15" ht="12.75">
      <c r="K221"/>
      <c r="L221"/>
      <c r="M221"/>
      <c r="N221"/>
      <c r="O221"/>
    </row>
    <row r="222" spans="11:15" ht="12.75">
      <c r="K222"/>
      <c r="L222"/>
      <c r="M222"/>
      <c r="N222"/>
      <c r="O222"/>
    </row>
    <row r="223" spans="11:15" ht="12.75">
      <c r="K223"/>
      <c r="L223"/>
      <c r="M223"/>
      <c r="N223"/>
      <c r="O223"/>
    </row>
    <row r="224" spans="11:15" ht="12.75">
      <c r="K224"/>
      <c r="L224"/>
      <c r="M224"/>
      <c r="N224"/>
      <c r="O224"/>
    </row>
    <row r="225" spans="11:15" ht="12.75">
      <c r="K225"/>
      <c r="L225"/>
      <c r="M225"/>
      <c r="N225"/>
      <c r="O225"/>
    </row>
    <row r="226" spans="11:15" ht="12.75">
      <c r="K226"/>
      <c r="L226"/>
      <c r="M226"/>
      <c r="N226"/>
      <c r="O226"/>
    </row>
    <row r="227" spans="11:15" ht="12.75">
      <c r="K227"/>
      <c r="L227"/>
      <c r="M227"/>
      <c r="N227"/>
      <c r="O227"/>
    </row>
    <row r="228" spans="11:15" ht="12.75">
      <c r="K228"/>
      <c r="L228"/>
      <c r="M228"/>
      <c r="N228"/>
      <c r="O228"/>
    </row>
    <row r="229" spans="11:15" ht="12.75">
      <c r="K229"/>
      <c r="L229"/>
      <c r="M229"/>
      <c r="N229"/>
      <c r="O229"/>
    </row>
    <row r="230" spans="11:15" ht="12.75">
      <c r="K230"/>
      <c r="L230"/>
      <c r="M230"/>
      <c r="N230"/>
      <c r="O230"/>
    </row>
    <row r="231" spans="11:15" ht="12.75">
      <c r="K231"/>
      <c r="L231"/>
      <c r="M231"/>
      <c r="N231"/>
      <c r="O231"/>
    </row>
    <row r="232" spans="11:15" ht="12.75">
      <c r="K232"/>
      <c r="L232"/>
      <c r="M232"/>
      <c r="N232"/>
      <c r="O232"/>
    </row>
    <row r="233" spans="11:15" ht="12.75">
      <c r="K233"/>
      <c r="L233"/>
      <c r="M233"/>
      <c r="N233"/>
      <c r="O233"/>
    </row>
    <row r="234" spans="11:15" ht="12.75">
      <c r="K234"/>
      <c r="L234"/>
      <c r="M234"/>
      <c r="N234"/>
      <c r="O234"/>
    </row>
    <row r="235" spans="11:15" ht="12.75">
      <c r="K235"/>
      <c r="L235"/>
      <c r="M235"/>
      <c r="N235"/>
      <c r="O235"/>
    </row>
    <row r="236" spans="11:15" ht="12.75">
      <c r="K236"/>
      <c r="L236"/>
      <c r="M236"/>
      <c r="N236"/>
      <c r="O236"/>
    </row>
    <row r="237" spans="11:15" ht="12.75">
      <c r="K237"/>
      <c r="L237"/>
      <c r="M237"/>
      <c r="N237"/>
      <c r="O237"/>
    </row>
    <row r="238" spans="11:15" ht="12.75">
      <c r="K238"/>
      <c r="L238"/>
      <c r="M238"/>
      <c r="N238"/>
      <c r="O238"/>
    </row>
    <row r="239" spans="11:15" ht="12.75">
      <c r="K239"/>
      <c r="L239"/>
      <c r="M239"/>
      <c r="N239"/>
      <c r="O239"/>
    </row>
    <row r="240" spans="11:15" ht="12.75">
      <c r="K240"/>
      <c r="L240"/>
      <c r="M240"/>
      <c r="N240"/>
      <c r="O240"/>
    </row>
    <row r="241" spans="11:15" ht="12.75">
      <c r="K241"/>
      <c r="L241"/>
      <c r="M241"/>
      <c r="N241"/>
      <c r="O241"/>
    </row>
    <row r="242" spans="11:15" ht="12.75">
      <c r="K242"/>
      <c r="L242"/>
      <c r="M242"/>
      <c r="N242"/>
      <c r="O242"/>
    </row>
    <row r="243" spans="11:15" ht="12.75">
      <c r="K243"/>
      <c r="L243"/>
      <c r="M243"/>
      <c r="N243"/>
      <c r="O243"/>
    </row>
    <row r="244" spans="11:15" ht="12.75">
      <c r="K244"/>
      <c r="L244"/>
      <c r="M244"/>
      <c r="N244"/>
      <c r="O244"/>
    </row>
    <row r="245" spans="11:15" ht="12.75">
      <c r="K245"/>
      <c r="L245"/>
      <c r="M245"/>
      <c r="N245"/>
      <c r="O245"/>
    </row>
    <row r="246" spans="11:15" ht="12.75">
      <c r="K246"/>
      <c r="L246"/>
      <c r="M246"/>
      <c r="N246"/>
      <c r="O246"/>
    </row>
    <row r="247" spans="11:15" ht="12.75">
      <c r="K247"/>
      <c r="L247"/>
      <c r="M247"/>
      <c r="N247"/>
      <c r="O247"/>
    </row>
    <row r="248" spans="11:15" ht="12.75">
      <c r="K248"/>
      <c r="L248"/>
      <c r="M248"/>
      <c r="N248"/>
      <c r="O248"/>
    </row>
    <row r="249" spans="11:15" ht="12.75">
      <c r="K249"/>
      <c r="L249"/>
      <c r="M249"/>
      <c r="N249"/>
      <c r="O249"/>
    </row>
    <row r="250" spans="11:15" ht="12.75">
      <c r="K250"/>
      <c r="L250"/>
      <c r="M250"/>
      <c r="N250"/>
      <c r="O250"/>
    </row>
    <row r="251" spans="11:15" ht="12.75">
      <c r="K251"/>
      <c r="L251"/>
      <c r="M251"/>
      <c r="N251"/>
      <c r="O251"/>
    </row>
    <row r="252" spans="11:15" ht="12.75">
      <c r="K252"/>
      <c r="L252"/>
      <c r="M252"/>
      <c r="N252"/>
      <c r="O252"/>
    </row>
    <row r="253" spans="11:15" ht="12.75">
      <c r="K253"/>
      <c r="L253"/>
      <c r="M253"/>
      <c r="N253"/>
      <c r="O253"/>
    </row>
    <row r="254" spans="11:15" ht="12.75">
      <c r="K254"/>
      <c r="L254"/>
      <c r="M254"/>
      <c r="N254"/>
      <c r="O254"/>
    </row>
    <row r="255" spans="11:15" ht="12.75">
      <c r="K255"/>
      <c r="L255"/>
      <c r="M255"/>
      <c r="N255"/>
      <c r="O255"/>
    </row>
    <row r="256" spans="11:15" ht="12.75">
      <c r="K256"/>
      <c r="L256"/>
      <c r="M256"/>
      <c r="N256"/>
      <c r="O256"/>
    </row>
    <row r="257" spans="11:15" ht="12.75">
      <c r="K257"/>
      <c r="L257"/>
      <c r="M257"/>
      <c r="N257"/>
      <c r="O257"/>
    </row>
    <row r="258" spans="11:15" ht="12.75">
      <c r="K258"/>
      <c r="L258"/>
      <c r="M258"/>
      <c r="N258"/>
      <c r="O258"/>
    </row>
    <row r="259" spans="11:15" ht="12.75">
      <c r="K259"/>
      <c r="L259"/>
      <c r="M259"/>
      <c r="N259"/>
      <c r="O259"/>
    </row>
    <row r="260" spans="11:15" ht="12.75">
      <c r="K260"/>
      <c r="L260"/>
      <c r="M260"/>
      <c r="N260"/>
      <c r="O260"/>
    </row>
    <row r="261" spans="11:15" ht="12.75">
      <c r="K261"/>
      <c r="L261"/>
      <c r="M261"/>
      <c r="N261"/>
      <c r="O261"/>
    </row>
    <row r="262" spans="11:15" ht="12.75">
      <c r="K262"/>
      <c r="L262"/>
      <c r="M262"/>
      <c r="N262"/>
      <c r="O262"/>
    </row>
    <row r="263" spans="11:15" ht="12.75">
      <c r="K263"/>
      <c r="L263"/>
      <c r="M263"/>
      <c r="N263"/>
      <c r="O263"/>
    </row>
    <row r="264" spans="11:15" ht="12.75">
      <c r="K264"/>
      <c r="L264"/>
      <c r="M264"/>
      <c r="N264"/>
      <c r="O264"/>
    </row>
    <row r="265" spans="11:15" ht="12.75">
      <c r="K265"/>
      <c r="L265"/>
      <c r="M265"/>
      <c r="N265"/>
      <c r="O265"/>
    </row>
    <row r="266" spans="11:15" ht="12.75">
      <c r="K266"/>
      <c r="L266"/>
      <c r="M266"/>
      <c r="N266"/>
      <c r="O266"/>
    </row>
    <row r="267" spans="11:15" ht="12.75">
      <c r="K267"/>
      <c r="L267"/>
      <c r="M267"/>
      <c r="N267"/>
      <c r="O267"/>
    </row>
    <row r="268" spans="11:15" ht="12.75">
      <c r="K268"/>
      <c r="L268"/>
      <c r="M268"/>
      <c r="N268"/>
      <c r="O268"/>
    </row>
    <row r="269" spans="11:15" ht="12.75">
      <c r="K269"/>
      <c r="L269"/>
      <c r="M269"/>
      <c r="N269"/>
      <c r="O269"/>
    </row>
    <row r="270" spans="11:15" ht="12.75">
      <c r="K270"/>
      <c r="L270"/>
      <c r="M270"/>
      <c r="N270"/>
      <c r="O270"/>
    </row>
    <row r="271" spans="11:15" ht="12.75">
      <c r="K271"/>
      <c r="L271"/>
      <c r="M271"/>
      <c r="N271"/>
      <c r="O271"/>
    </row>
    <row r="272" spans="11:15" ht="12.75">
      <c r="K272"/>
      <c r="L272"/>
      <c r="M272"/>
      <c r="N272"/>
      <c r="O272"/>
    </row>
    <row r="273" spans="11:15" ht="12.75">
      <c r="K273"/>
      <c r="L273"/>
      <c r="M273"/>
      <c r="N273"/>
      <c r="O273"/>
    </row>
    <row r="274" spans="11:15" ht="12.75">
      <c r="K274"/>
      <c r="L274"/>
      <c r="M274"/>
      <c r="N274"/>
      <c r="O274"/>
    </row>
    <row r="275" spans="11:15" ht="12.75">
      <c r="K275"/>
      <c r="L275"/>
      <c r="M275"/>
      <c r="N275"/>
      <c r="O275"/>
    </row>
    <row r="276" spans="11:15" ht="12.75">
      <c r="K276"/>
      <c r="L276"/>
      <c r="M276"/>
      <c r="N276"/>
      <c r="O276"/>
    </row>
    <row r="277" spans="11:15" ht="12.75">
      <c r="K277"/>
      <c r="L277"/>
      <c r="M277"/>
      <c r="N277"/>
      <c r="O277"/>
    </row>
    <row r="278" spans="11:15" ht="12.75">
      <c r="K278"/>
      <c r="L278"/>
      <c r="M278"/>
      <c r="N278"/>
      <c r="O278"/>
    </row>
    <row r="279" spans="11:15" ht="12.75">
      <c r="K279"/>
      <c r="L279"/>
      <c r="M279"/>
      <c r="N279"/>
      <c r="O279"/>
    </row>
    <row r="280" spans="11:15" ht="12.75">
      <c r="K280"/>
      <c r="L280"/>
      <c r="M280"/>
      <c r="N280"/>
      <c r="O280"/>
    </row>
    <row r="281" spans="11:15" ht="12.75">
      <c r="K281"/>
      <c r="L281"/>
      <c r="M281"/>
      <c r="N281"/>
      <c r="O281"/>
    </row>
    <row r="282" spans="11:15" ht="12.75">
      <c r="K282"/>
      <c r="L282"/>
      <c r="M282"/>
      <c r="N282"/>
      <c r="O282"/>
    </row>
    <row r="283" spans="11:15" ht="12.75">
      <c r="K283"/>
      <c r="L283"/>
      <c r="M283"/>
      <c r="N283"/>
      <c r="O283"/>
    </row>
    <row r="284" spans="11:15" ht="12.75">
      <c r="K284"/>
      <c r="L284"/>
      <c r="M284"/>
      <c r="N284"/>
      <c r="O284"/>
    </row>
    <row r="285" spans="11:15" ht="12.75">
      <c r="K285"/>
      <c r="L285"/>
      <c r="M285"/>
      <c r="N285"/>
      <c r="O285"/>
    </row>
    <row r="286" spans="11:15" ht="12.75">
      <c r="K286"/>
      <c r="L286"/>
      <c r="M286"/>
      <c r="N286"/>
      <c r="O286"/>
    </row>
    <row r="287" spans="11:15" ht="12.75">
      <c r="K287"/>
      <c r="L287"/>
      <c r="M287"/>
      <c r="N287"/>
      <c r="O287"/>
    </row>
    <row r="288" spans="11:15" ht="12.75">
      <c r="K288"/>
      <c r="L288"/>
      <c r="M288"/>
      <c r="N288"/>
      <c r="O288"/>
    </row>
    <row r="289" spans="11:15" ht="12.75">
      <c r="K289"/>
      <c r="L289"/>
      <c r="M289"/>
      <c r="N289"/>
      <c r="O289"/>
    </row>
    <row r="290" spans="11:15" ht="12.75">
      <c r="K290"/>
      <c r="L290"/>
      <c r="M290"/>
      <c r="N290"/>
      <c r="O290"/>
    </row>
    <row r="291" spans="11:15" ht="12.75">
      <c r="K291"/>
      <c r="L291"/>
      <c r="M291"/>
      <c r="N291"/>
      <c r="O291"/>
    </row>
    <row r="292" spans="11:15" ht="12.75">
      <c r="K292"/>
      <c r="L292"/>
      <c r="M292"/>
      <c r="N292"/>
      <c r="O292"/>
    </row>
    <row r="293" spans="11:15" ht="12.75">
      <c r="K293"/>
      <c r="L293"/>
      <c r="M293"/>
      <c r="N293"/>
      <c r="O293"/>
    </row>
    <row r="294" spans="11:15" ht="12.75">
      <c r="K294"/>
      <c r="L294"/>
      <c r="M294"/>
      <c r="N294"/>
      <c r="O294"/>
    </row>
    <row r="295" spans="11:15" ht="12.75">
      <c r="K295"/>
      <c r="L295"/>
      <c r="M295"/>
      <c r="N295"/>
      <c r="O295"/>
    </row>
    <row r="296" spans="11:15" ht="12.75">
      <c r="K296"/>
      <c r="L296"/>
      <c r="M296"/>
      <c r="N296"/>
      <c r="O296"/>
    </row>
  </sheetData>
  <mergeCells count="16">
    <mergeCell ref="U1:Y2"/>
    <mergeCell ref="Z1:AD2"/>
    <mergeCell ref="U42:X42"/>
    <mergeCell ref="Z42:AC42"/>
    <mergeCell ref="A1:E2"/>
    <mergeCell ref="F1:J2"/>
    <mergeCell ref="A42:D42"/>
    <mergeCell ref="F42:I42"/>
    <mergeCell ref="K42:N42"/>
    <mergeCell ref="P42:S42"/>
    <mergeCell ref="K1:O2"/>
    <mergeCell ref="P1:T2"/>
    <mergeCell ref="A43:D43"/>
    <mergeCell ref="F43:I43"/>
    <mergeCell ref="A44:D44"/>
    <mergeCell ref="F44:I4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2"/>
  <sheetViews>
    <sheetView workbookViewId="0" topLeftCell="G1">
      <selection activeCell="A7" sqref="A7"/>
    </sheetView>
  </sheetViews>
  <sheetFormatPr defaultColWidth="9.140625" defaultRowHeight="12.75"/>
  <cols>
    <col min="1" max="1" width="34.7109375" style="8" hidden="1" customWidth="1"/>
    <col min="2" max="2" width="9.00390625" style="8" hidden="1" customWidth="1"/>
    <col min="3" max="3" width="12.8515625" style="8" hidden="1" customWidth="1"/>
    <col min="4" max="4" width="11.7109375" style="8" hidden="1" customWidth="1"/>
    <col min="5" max="5" width="9.7109375" style="8" hidden="1" customWidth="1"/>
    <col min="6" max="6" width="10.7109375" style="8" hidden="1" customWidth="1"/>
    <col min="7" max="7" width="35.00390625" style="8" customWidth="1"/>
    <col min="8" max="8" width="8.28125" style="8" customWidth="1"/>
    <col min="9" max="9" width="12.421875" style="8" customWidth="1"/>
    <col min="10" max="10" width="10.140625" style="8" customWidth="1"/>
    <col min="11" max="11" width="10.421875" style="8" customWidth="1"/>
    <col min="12" max="12" width="12.28125" style="8" customWidth="1"/>
    <col min="13" max="16384" width="7.8515625" style="8" customWidth="1"/>
  </cols>
  <sheetData>
    <row r="1" spans="3:10" ht="12.75">
      <c r="C1" s="70"/>
      <c r="D1" s="70"/>
      <c r="I1" s="70"/>
      <c r="J1" s="70"/>
    </row>
    <row r="2" spans="1:12" ht="12.75">
      <c r="A2" s="70" t="s">
        <v>62</v>
      </c>
      <c r="C2" s="70"/>
      <c r="D2" s="70"/>
      <c r="E2" s="70"/>
      <c r="F2" s="64" t="s">
        <v>63</v>
      </c>
      <c r="G2" s="70" t="s">
        <v>62</v>
      </c>
      <c r="I2" s="70"/>
      <c r="J2" s="70"/>
      <c r="K2" s="70"/>
      <c r="L2" s="74" t="s">
        <v>63</v>
      </c>
    </row>
    <row r="4" spans="1:12" ht="15.75">
      <c r="A4" s="75" t="s">
        <v>64</v>
      </c>
      <c r="G4" s="292" t="s">
        <v>65</v>
      </c>
      <c r="H4" s="292"/>
      <c r="I4" s="292"/>
      <c r="J4" s="292"/>
      <c r="K4" s="292"/>
      <c r="L4" s="292"/>
    </row>
    <row r="5" spans="1:12" ht="15.75">
      <c r="A5" s="75" t="s">
        <v>66</v>
      </c>
      <c r="G5" s="292" t="s">
        <v>67</v>
      </c>
      <c r="H5" s="292"/>
      <c r="I5" s="292"/>
      <c r="J5" s="292"/>
      <c r="K5" s="292"/>
      <c r="L5" s="292"/>
    </row>
    <row r="7" spans="6:12" ht="12">
      <c r="F7" s="76"/>
      <c r="L7" s="76"/>
    </row>
    <row r="8" spans="4:12" ht="12.75">
      <c r="D8" s="70"/>
      <c r="F8" s="77" t="s">
        <v>68</v>
      </c>
      <c r="J8" s="70"/>
      <c r="L8" s="78" t="s">
        <v>68</v>
      </c>
    </row>
    <row r="9" spans="1:12" ht="60" customHeight="1">
      <c r="A9" s="79" t="s">
        <v>7</v>
      </c>
      <c r="B9" s="80" t="s">
        <v>69</v>
      </c>
      <c r="C9" s="80" t="s">
        <v>70</v>
      </c>
      <c r="D9" s="80" t="s">
        <v>71</v>
      </c>
      <c r="E9" s="80" t="s">
        <v>72</v>
      </c>
      <c r="F9" s="80" t="s">
        <v>73</v>
      </c>
      <c r="G9" s="79" t="s">
        <v>7</v>
      </c>
      <c r="H9" s="80" t="s">
        <v>69</v>
      </c>
      <c r="I9" s="80" t="s">
        <v>70</v>
      </c>
      <c r="J9" s="80" t="s">
        <v>71</v>
      </c>
      <c r="K9" s="80" t="s">
        <v>72</v>
      </c>
      <c r="L9" s="80" t="s">
        <v>73</v>
      </c>
    </row>
    <row r="10" spans="1:12" ht="12" customHeight="1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81">
        <v>6</v>
      </c>
      <c r="G10" s="9">
        <v>1</v>
      </c>
      <c r="H10" s="9">
        <v>2</v>
      </c>
      <c r="I10" s="10">
        <v>3</v>
      </c>
      <c r="J10" s="10">
        <v>4</v>
      </c>
      <c r="K10" s="10">
        <v>5</v>
      </c>
      <c r="L10" s="81">
        <v>6</v>
      </c>
    </row>
    <row r="11" spans="1:12" ht="18" customHeight="1">
      <c r="A11" s="82" t="s">
        <v>74</v>
      </c>
      <c r="B11" s="83"/>
      <c r="C11" s="84">
        <f>SUM(C12:C25)</f>
        <v>862712993</v>
      </c>
      <c r="D11" s="84">
        <f>SUM(D12:D25)</f>
        <v>588255171</v>
      </c>
      <c r="E11" s="85">
        <f>IF(ISERROR(D11/C11)," ",(D11/C11))</f>
        <v>0.6818665950009635</v>
      </c>
      <c r="F11" s="84">
        <f>SUM(F12:F25)</f>
        <v>6742361</v>
      </c>
      <c r="G11" s="82" t="s">
        <v>74</v>
      </c>
      <c r="H11" s="83"/>
      <c r="I11" s="86">
        <f>SUM(I12:I25)</f>
        <v>862713</v>
      </c>
      <c r="J11" s="86">
        <f>SUM(J12:J25)</f>
        <v>588255</v>
      </c>
      <c r="K11" s="87">
        <f>IF(ISERROR(J11/I11)," ",(J11/I11))</f>
        <v>0.6818663912564201</v>
      </c>
      <c r="L11" s="86">
        <f>SUM(L12:L25)</f>
        <v>6743</v>
      </c>
    </row>
    <row r="12" spans="1:12" ht="18" customHeight="1">
      <c r="A12" s="88" t="s">
        <v>75</v>
      </c>
      <c r="B12" s="89">
        <v>1</v>
      </c>
      <c r="C12" s="90">
        <v>122568</v>
      </c>
      <c r="D12" s="90">
        <v>18935</v>
      </c>
      <c r="E12" s="91">
        <f aca="true" t="shared" si="0" ref="E12:E25">IF(ISERROR(D12/C12)," ",(D12/C12))</f>
        <v>0.15448567325892565</v>
      </c>
      <c r="F12" s="92">
        <f>2148611+460765+539569+62832+38573+54558+161956</f>
        <v>3466864</v>
      </c>
      <c r="G12" s="93" t="s">
        <v>75</v>
      </c>
      <c r="H12" s="94">
        <v>1</v>
      </c>
      <c r="I12" s="95">
        <f>ROUND(C12/1000,0)</f>
        <v>123</v>
      </c>
      <c r="J12" s="95">
        <f>ROUND(D12/1000,0)</f>
        <v>19</v>
      </c>
      <c r="K12" s="96">
        <f aca="true" t="shared" si="1" ref="K12:K25">IF(ISERROR(J12/I12)," ",(J12/I12))</f>
        <v>0.15447154471544716</v>
      </c>
      <c r="L12" s="95">
        <f>ROUND(F12/1000,0)</f>
        <v>3467</v>
      </c>
    </row>
    <row r="13" spans="1:12" ht="18.75" customHeight="1">
      <c r="A13" s="35" t="s">
        <v>76</v>
      </c>
      <c r="B13" s="89">
        <v>2</v>
      </c>
      <c r="C13" s="90"/>
      <c r="D13" s="90"/>
      <c r="E13" s="91" t="str">
        <f t="shared" si="0"/>
        <v> </v>
      </c>
      <c r="F13" s="35">
        <f>142940</f>
        <v>142940</v>
      </c>
      <c r="G13" s="46" t="s">
        <v>76</v>
      </c>
      <c r="H13" s="94">
        <v>2</v>
      </c>
      <c r="I13" s="95">
        <f aca="true" t="shared" si="2" ref="I13:J25">ROUND(C13/1000,0)</f>
        <v>0</v>
      </c>
      <c r="J13" s="95">
        <f t="shared" si="2"/>
        <v>0</v>
      </c>
      <c r="K13" s="96" t="str">
        <f t="shared" si="1"/>
        <v> </v>
      </c>
      <c r="L13" s="95">
        <f>ROUND(F13/1000,0)</f>
        <v>143</v>
      </c>
    </row>
    <row r="14" spans="1:12" ht="17.25" customHeight="1">
      <c r="A14" s="35" t="s">
        <v>77</v>
      </c>
      <c r="B14" s="89">
        <v>3</v>
      </c>
      <c r="C14" s="90"/>
      <c r="D14" s="90"/>
      <c r="E14" s="91" t="str">
        <f t="shared" si="0"/>
        <v> </v>
      </c>
      <c r="F14" s="35">
        <f>213975+25454</f>
        <v>239429</v>
      </c>
      <c r="G14" s="46" t="s">
        <v>77</v>
      </c>
      <c r="H14" s="94">
        <v>3</v>
      </c>
      <c r="I14" s="95">
        <f t="shared" si="2"/>
        <v>0</v>
      </c>
      <c r="J14" s="95">
        <f t="shared" si="2"/>
        <v>0</v>
      </c>
      <c r="K14" s="96" t="str">
        <f t="shared" si="1"/>
        <v> </v>
      </c>
      <c r="L14" s="95">
        <f>ROUND(F14/1000,0)</f>
        <v>239</v>
      </c>
    </row>
    <row r="15" spans="1:12" ht="16.5" customHeight="1">
      <c r="A15" s="35" t="s">
        <v>78</v>
      </c>
      <c r="B15" s="89">
        <v>4</v>
      </c>
      <c r="C15" s="90">
        <f>262480+3750750</f>
        <v>4013230</v>
      </c>
      <c r="D15" s="90">
        <v>1735883</v>
      </c>
      <c r="E15" s="91">
        <f t="shared" si="0"/>
        <v>0.4325401235413869</v>
      </c>
      <c r="F15" s="35">
        <f>1290231+254625</f>
        <v>1544856</v>
      </c>
      <c r="G15" s="46" t="s">
        <v>79</v>
      </c>
      <c r="H15" s="94">
        <v>4</v>
      </c>
      <c r="I15" s="95">
        <f t="shared" si="2"/>
        <v>4013</v>
      </c>
      <c r="J15" s="95">
        <f>ROUND(D15/1000,0)</f>
        <v>1736</v>
      </c>
      <c r="K15" s="96">
        <f t="shared" si="1"/>
        <v>0.4325940692748567</v>
      </c>
      <c r="L15" s="95">
        <f>ROUND(F15/1000,0)</f>
        <v>1545</v>
      </c>
    </row>
    <row r="16" spans="1:12" ht="18.75" customHeight="1">
      <c r="A16" s="35" t="s">
        <v>80</v>
      </c>
      <c r="B16" s="89">
        <v>5</v>
      </c>
      <c r="C16" s="90">
        <v>143111169</v>
      </c>
      <c r="D16" s="90">
        <v>100971298</v>
      </c>
      <c r="E16" s="91">
        <f t="shared" si="0"/>
        <v>0.7055444987665498</v>
      </c>
      <c r="F16" s="35">
        <f>125196</f>
        <v>125196</v>
      </c>
      <c r="G16" s="46" t="s">
        <v>80</v>
      </c>
      <c r="H16" s="94">
        <v>5</v>
      </c>
      <c r="I16" s="95">
        <f t="shared" si="2"/>
        <v>143111</v>
      </c>
      <c r="J16" s="95">
        <f>ROUND(D16/1000,0)</f>
        <v>100971</v>
      </c>
      <c r="K16" s="96">
        <f t="shared" si="1"/>
        <v>0.7055432496453802</v>
      </c>
      <c r="L16" s="95">
        <f aca="true" t="shared" si="3" ref="L16:L25">ROUND(F16/1000,0)</f>
        <v>125</v>
      </c>
    </row>
    <row r="17" spans="1:12" ht="18" customHeight="1">
      <c r="A17" s="35" t="s">
        <v>81</v>
      </c>
      <c r="B17" s="89">
        <v>6</v>
      </c>
      <c r="C17" s="90">
        <v>523210392</v>
      </c>
      <c r="D17" s="90">
        <v>385580749</v>
      </c>
      <c r="E17" s="91">
        <f t="shared" si="0"/>
        <v>0.736951625762051</v>
      </c>
      <c r="F17" s="35">
        <f>20176+324307</f>
        <v>344483</v>
      </c>
      <c r="G17" s="46" t="s">
        <v>81</v>
      </c>
      <c r="H17" s="94">
        <v>6</v>
      </c>
      <c r="I17" s="95">
        <f t="shared" si="2"/>
        <v>523210</v>
      </c>
      <c r="J17" s="95">
        <f t="shared" si="2"/>
        <v>385581</v>
      </c>
      <c r="K17" s="96">
        <f t="shared" si="1"/>
        <v>0.7369526576326905</v>
      </c>
      <c r="L17" s="95">
        <f>ROUND(F17/1000,0)+1</f>
        <v>345</v>
      </c>
    </row>
    <row r="18" spans="1:12" ht="24" customHeight="1">
      <c r="A18" s="97" t="s">
        <v>82</v>
      </c>
      <c r="B18" s="89">
        <v>7</v>
      </c>
      <c r="C18" s="90">
        <v>9102520</v>
      </c>
      <c r="D18" s="90">
        <v>6520974</v>
      </c>
      <c r="E18" s="91">
        <f t="shared" si="0"/>
        <v>0.7163921639282309</v>
      </c>
      <c r="F18" s="35">
        <f>55213+21298</f>
        <v>76511</v>
      </c>
      <c r="G18" s="98" t="s">
        <v>82</v>
      </c>
      <c r="H18" s="94">
        <v>7</v>
      </c>
      <c r="I18" s="95">
        <f t="shared" si="2"/>
        <v>9103</v>
      </c>
      <c r="J18" s="95">
        <f t="shared" si="2"/>
        <v>6521</v>
      </c>
      <c r="K18" s="96">
        <f t="shared" si="1"/>
        <v>0.7163572448643304</v>
      </c>
      <c r="L18" s="95">
        <f t="shared" si="3"/>
        <v>77</v>
      </c>
    </row>
    <row r="19" spans="1:12" ht="15.75" customHeight="1">
      <c r="A19" s="35" t="s">
        <v>83</v>
      </c>
      <c r="B19" s="89">
        <v>8</v>
      </c>
      <c r="C19" s="90">
        <v>5043726</v>
      </c>
      <c r="D19" s="90">
        <v>3602284</v>
      </c>
      <c r="E19" s="91">
        <f t="shared" si="0"/>
        <v>0.7142108829861099</v>
      </c>
      <c r="F19" s="35">
        <f>349113+6588</f>
        <v>355701</v>
      </c>
      <c r="G19" s="46" t="s">
        <v>83</v>
      </c>
      <c r="H19" s="94">
        <v>8</v>
      </c>
      <c r="I19" s="95">
        <f t="shared" si="2"/>
        <v>5044</v>
      </c>
      <c r="J19" s="95">
        <f t="shared" si="2"/>
        <v>3602</v>
      </c>
      <c r="K19" s="96">
        <f t="shared" si="1"/>
        <v>0.7141157811260904</v>
      </c>
      <c r="L19" s="95">
        <f t="shared" si="3"/>
        <v>356</v>
      </c>
    </row>
    <row r="20" spans="1:12" ht="20.25" customHeight="1">
      <c r="A20" s="35" t="s">
        <v>84</v>
      </c>
      <c r="B20" s="89">
        <v>9</v>
      </c>
      <c r="C20" s="90"/>
      <c r="D20" s="90"/>
      <c r="E20" s="91" t="str">
        <f t="shared" si="0"/>
        <v> </v>
      </c>
      <c r="F20" s="35"/>
      <c r="G20" s="46" t="s">
        <v>84</v>
      </c>
      <c r="H20" s="94">
        <v>9</v>
      </c>
      <c r="I20" s="95">
        <f t="shared" si="2"/>
        <v>0</v>
      </c>
      <c r="J20" s="95">
        <f t="shared" si="2"/>
        <v>0</v>
      </c>
      <c r="K20" s="96" t="str">
        <f t="shared" si="1"/>
        <v> </v>
      </c>
      <c r="L20" s="95">
        <f t="shared" si="3"/>
        <v>0</v>
      </c>
    </row>
    <row r="21" spans="1:12" ht="24.75" customHeight="1">
      <c r="A21" s="97" t="s">
        <v>85</v>
      </c>
      <c r="B21" s="89">
        <v>10</v>
      </c>
      <c r="C21" s="90">
        <v>23784500</v>
      </c>
      <c r="D21" s="90">
        <v>15383225</v>
      </c>
      <c r="E21" s="91">
        <f t="shared" si="0"/>
        <v>0.6467752107464946</v>
      </c>
      <c r="F21" s="35">
        <f>46688+187418</f>
        <v>234106</v>
      </c>
      <c r="G21" s="98" t="s">
        <v>85</v>
      </c>
      <c r="H21" s="94">
        <v>10</v>
      </c>
      <c r="I21" s="95">
        <f>ROUND(C21/1000,0)-1</f>
        <v>23784</v>
      </c>
      <c r="J21" s="95">
        <f t="shared" si="2"/>
        <v>15383</v>
      </c>
      <c r="K21" s="96">
        <f t="shared" si="1"/>
        <v>0.6467793474604776</v>
      </c>
      <c r="L21" s="95">
        <f t="shared" si="3"/>
        <v>234</v>
      </c>
    </row>
    <row r="22" spans="1:12" ht="27.75" customHeight="1">
      <c r="A22" s="97" t="s">
        <v>86</v>
      </c>
      <c r="B22" s="89">
        <v>11</v>
      </c>
      <c r="C22" s="90"/>
      <c r="D22" s="90"/>
      <c r="E22" s="91" t="str">
        <f t="shared" si="0"/>
        <v> </v>
      </c>
      <c r="F22" s="35"/>
      <c r="G22" s="98" t="s">
        <v>86</v>
      </c>
      <c r="H22" s="94">
        <v>11</v>
      </c>
      <c r="I22" s="95">
        <f t="shared" si="2"/>
        <v>0</v>
      </c>
      <c r="J22" s="95">
        <f t="shared" si="2"/>
        <v>0</v>
      </c>
      <c r="K22" s="96" t="str">
        <f t="shared" si="1"/>
        <v> </v>
      </c>
      <c r="L22" s="95">
        <f t="shared" si="3"/>
        <v>0</v>
      </c>
    </row>
    <row r="23" spans="1:12" ht="18" customHeight="1">
      <c r="A23" s="35" t="s">
        <v>87</v>
      </c>
      <c r="B23" s="89">
        <v>12</v>
      </c>
      <c r="C23" s="90">
        <v>105241801</v>
      </c>
      <c r="D23" s="90">
        <f>68377987-775101</f>
        <v>67602886</v>
      </c>
      <c r="E23" s="91">
        <f t="shared" si="0"/>
        <v>0.6423577452841196</v>
      </c>
      <c r="F23" s="35"/>
      <c r="G23" s="46" t="s">
        <v>87</v>
      </c>
      <c r="H23" s="94">
        <v>12</v>
      </c>
      <c r="I23" s="95">
        <f t="shared" si="2"/>
        <v>105242</v>
      </c>
      <c r="J23" s="95">
        <f t="shared" si="2"/>
        <v>67603</v>
      </c>
      <c r="K23" s="96">
        <f t="shared" si="1"/>
        <v>0.6423576138803899</v>
      </c>
      <c r="L23" s="95">
        <f t="shared" si="3"/>
        <v>0</v>
      </c>
    </row>
    <row r="24" spans="1:12" ht="18.75" customHeight="1">
      <c r="A24" s="35" t="s">
        <v>88</v>
      </c>
      <c r="B24" s="89">
        <v>13</v>
      </c>
      <c r="C24" s="90">
        <v>49083087</v>
      </c>
      <c r="D24" s="90">
        <v>6838937</v>
      </c>
      <c r="E24" s="91">
        <f t="shared" si="0"/>
        <v>0.13933388093540244</v>
      </c>
      <c r="F24" s="35">
        <f>11919+5151</f>
        <v>17070</v>
      </c>
      <c r="G24" s="46" t="s">
        <v>88</v>
      </c>
      <c r="H24" s="94">
        <v>13</v>
      </c>
      <c r="I24" s="95">
        <f t="shared" si="2"/>
        <v>49083</v>
      </c>
      <c r="J24" s="95">
        <f t="shared" si="2"/>
        <v>6839</v>
      </c>
      <c r="K24" s="96">
        <f t="shared" si="1"/>
        <v>0.13933541144591813</v>
      </c>
      <c r="L24" s="95">
        <f t="shared" si="3"/>
        <v>17</v>
      </c>
    </row>
    <row r="25" spans="1:12" ht="24" customHeight="1">
      <c r="A25" s="97" t="s">
        <v>89</v>
      </c>
      <c r="B25" s="89">
        <v>14</v>
      </c>
      <c r="C25" s="90"/>
      <c r="D25" s="90"/>
      <c r="E25" s="91" t="str">
        <f t="shared" si="0"/>
        <v> </v>
      </c>
      <c r="F25" s="35">
        <v>195205</v>
      </c>
      <c r="G25" s="98" t="s">
        <v>89</v>
      </c>
      <c r="H25" s="94">
        <v>14</v>
      </c>
      <c r="I25" s="95">
        <f t="shared" si="2"/>
        <v>0</v>
      </c>
      <c r="J25" s="95">
        <f t="shared" si="2"/>
        <v>0</v>
      </c>
      <c r="K25" s="96" t="str">
        <f t="shared" si="1"/>
        <v> </v>
      </c>
      <c r="L25" s="95">
        <f t="shared" si="3"/>
        <v>195</v>
      </c>
    </row>
    <row r="26" spans="2:11" ht="12.75">
      <c r="B26" s="99"/>
      <c r="C26" s="59"/>
      <c r="D26" s="59"/>
      <c r="E26" s="100"/>
      <c r="H26" s="99"/>
      <c r="I26" s="59"/>
      <c r="J26" s="59"/>
      <c r="K26" s="100"/>
    </row>
    <row r="27" spans="1:11" ht="14.25">
      <c r="A27" s="101"/>
      <c r="B27" s="102"/>
      <c r="C27" s="59"/>
      <c r="D27" s="59"/>
      <c r="E27" s="100"/>
      <c r="G27" s="101"/>
      <c r="H27" s="102"/>
      <c r="I27" s="59"/>
      <c r="J27" s="59"/>
      <c r="K27" s="100"/>
    </row>
    <row r="28" spans="1:11" ht="14.25">
      <c r="A28" s="101"/>
      <c r="B28" s="102"/>
      <c r="C28" s="59"/>
      <c r="D28" s="59"/>
      <c r="E28" s="100"/>
      <c r="G28" s="101"/>
      <c r="H28" s="102"/>
      <c r="I28" s="59"/>
      <c r="J28" s="59"/>
      <c r="K28" s="100"/>
    </row>
    <row r="29" spans="1:11" ht="14.25">
      <c r="A29" s="101"/>
      <c r="B29" s="102"/>
      <c r="C29" s="59"/>
      <c r="D29" s="59"/>
      <c r="E29" s="100"/>
      <c r="G29" s="8" t="s">
        <v>90</v>
      </c>
      <c r="H29" s="102"/>
      <c r="I29" s="59"/>
      <c r="J29" s="59"/>
      <c r="K29" s="100"/>
    </row>
    <row r="30" spans="1:11" ht="14.25">
      <c r="A30" s="101"/>
      <c r="B30" s="102"/>
      <c r="C30" s="59"/>
      <c r="D30" s="59"/>
      <c r="E30" s="100"/>
      <c r="G30" s="101"/>
      <c r="H30" s="102"/>
      <c r="I30" s="59"/>
      <c r="J30" s="59"/>
      <c r="K30" s="100"/>
    </row>
    <row r="31" spans="1:11" ht="14.25">
      <c r="A31" s="101"/>
      <c r="B31" s="102"/>
      <c r="C31" s="59"/>
      <c r="D31" s="59"/>
      <c r="E31" s="100"/>
      <c r="G31" s="101"/>
      <c r="H31" s="102"/>
      <c r="I31" s="59"/>
      <c r="J31" s="59"/>
      <c r="K31" s="100"/>
    </row>
    <row r="32" spans="1:11" ht="14.25">
      <c r="A32" s="101"/>
      <c r="B32" s="102"/>
      <c r="C32" s="59"/>
      <c r="D32" s="59"/>
      <c r="E32" s="100"/>
      <c r="G32" s="101"/>
      <c r="H32" s="102"/>
      <c r="I32" s="59"/>
      <c r="J32" s="59"/>
      <c r="K32" s="100"/>
    </row>
    <row r="33" spans="1:11" ht="14.25">
      <c r="A33" s="101"/>
      <c r="B33" s="102"/>
      <c r="C33" s="59"/>
      <c r="D33" s="59"/>
      <c r="E33" s="100"/>
      <c r="G33" s="101"/>
      <c r="H33" s="102"/>
      <c r="I33" s="59"/>
      <c r="J33" s="59"/>
      <c r="K33" s="100"/>
    </row>
    <row r="34" spans="1:11" ht="15.75" customHeight="1">
      <c r="A34" s="8" t="s">
        <v>91</v>
      </c>
      <c r="B34" s="99"/>
      <c r="C34" s="103" t="s">
        <v>92</v>
      </c>
      <c r="D34" s="103"/>
      <c r="E34" s="100"/>
      <c r="G34" s="8" t="s">
        <v>91</v>
      </c>
      <c r="H34" s="99"/>
      <c r="I34" s="103" t="s">
        <v>93</v>
      </c>
      <c r="J34" s="103"/>
      <c r="K34" s="100"/>
    </row>
    <row r="35" spans="2:11" ht="12">
      <c r="B35" s="99"/>
      <c r="C35" s="103"/>
      <c r="D35" s="103"/>
      <c r="E35" s="100"/>
      <c r="H35" s="99"/>
      <c r="I35" s="103"/>
      <c r="J35" s="103"/>
      <c r="K35" s="100"/>
    </row>
    <row r="36" spans="3:11" ht="15.75" customHeight="1">
      <c r="C36" s="103"/>
      <c r="D36" s="103"/>
      <c r="E36" s="104"/>
      <c r="I36" s="103"/>
      <c r="J36" s="103"/>
      <c r="K36" s="104"/>
    </row>
    <row r="37" spans="3:11" ht="12.75">
      <c r="C37" s="59"/>
      <c r="D37" s="59"/>
      <c r="E37" s="100"/>
      <c r="I37" s="59"/>
      <c r="J37" s="59"/>
      <c r="K37" s="100"/>
    </row>
    <row r="38" spans="3:11" ht="12.75">
      <c r="C38" s="59"/>
      <c r="D38" s="59"/>
      <c r="E38" s="100"/>
      <c r="I38" s="59"/>
      <c r="J38" s="59"/>
      <c r="K38" s="100"/>
    </row>
    <row r="39" spans="3:11" ht="12.75">
      <c r="C39" s="59"/>
      <c r="D39" s="59"/>
      <c r="E39" s="100"/>
      <c r="I39" s="59"/>
      <c r="J39" s="59"/>
      <c r="K39" s="100"/>
    </row>
    <row r="40" spans="1:11" ht="12.75">
      <c r="A40" s="8" t="s">
        <v>94</v>
      </c>
      <c r="C40" s="59"/>
      <c r="D40" s="59"/>
      <c r="E40" s="100"/>
      <c r="G40" s="8" t="s">
        <v>94</v>
      </c>
      <c r="I40" s="59"/>
      <c r="J40" s="59"/>
      <c r="K40" s="100"/>
    </row>
    <row r="41" spans="1:11" ht="12.75">
      <c r="A41" s="8" t="s">
        <v>95</v>
      </c>
      <c r="C41" s="59"/>
      <c r="D41" s="59"/>
      <c r="E41" s="100"/>
      <c r="G41" s="8" t="s">
        <v>95</v>
      </c>
      <c r="I41" s="59"/>
      <c r="J41" s="59"/>
      <c r="K41" s="100"/>
    </row>
    <row r="42" spans="3:11" ht="12.75">
      <c r="C42" s="59"/>
      <c r="D42" s="59"/>
      <c r="E42" s="100"/>
      <c r="I42" s="59"/>
      <c r="J42" s="59"/>
      <c r="K42" s="100"/>
    </row>
    <row r="43" spans="3:11" ht="12.75">
      <c r="C43" s="59"/>
      <c r="D43" s="59"/>
      <c r="E43" s="100"/>
      <c r="I43" s="59"/>
      <c r="J43" s="59"/>
      <c r="K43" s="100"/>
    </row>
    <row r="44" spans="3:11" ht="12.75">
      <c r="C44" s="59"/>
      <c r="D44" s="59"/>
      <c r="E44" s="100"/>
      <c r="I44" s="59"/>
      <c r="J44" s="59"/>
      <c r="K44" s="100"/>
    </row>
    <row r="45" spans="1:11" ht="14.25">
      <c r="A45" s="101"/>
      <c r="B45" s="101"/>
      <c r="C45" s="59"/>
      <c r="D45" s="59"/>
      <c r="E45" s="100"/>
      <c r="G45" s="101"/>
      <c r="H45" s="101"/>
      <c r="I45" s="59"/>
      <c r="J45" s="59"/>
      <c r="K45" s="100"/>
    </row>
    <row r="46" spans="3:11" ht="12.75">
      <c r="C46" s="59"/>
      <c r="D46" s="59"/>
      <c r="E46" s="100"/>
      <c r="I46" s="59"/>
      <c r="J46" s="59"/>
      <c r="K46" s="100"/>
    </row>
    <row r="47" spans="3:11" ht="12.75">
      <c r="C47" s="59"/>
      <c r="D47" s="59"/>
      <c r="E47" s="100"/>
      <c r="I47" s="59"/>
      <c r="J47" s="59"/>
      <c r="K47" s="100"/>
    </row>
    <row r="48" spans="3:11" ht="12.75">
      <c r="C48" s="59"/>
      <c r="D48" s="59"/>
      <c r="E48" s="100"/>
      <c r="I48" s="59"/>
      <c r="J48" s="59"/>
      <c r="K48" s="100"/>
    </row>
    <row r="49" spans="3:11" ht="12.75">
      <c r="C49" s="59"/>
      <c r="D49" s="59"/>
      <c r="E49" s="100"/>
      <c r="I49" s="59"/>
      <c r="J49" s="59"/>
      <c r="K49" s="100"/>
    </row>
    <row r="50" spans="3:11" ht="12.75">
      <c r="C50" s="59"/>
      <c r="D50" s="59"/>
      <c r="E50" s="100"/>
      <c r="I50" s="59"/>
      <c r="J50" s="59"/>
      <c r="K50" s="100"/>
    </row>
    <row r="51" spans="3:11" ht="12.75">
      <c r="C51" s="103"/>
      <c r="D51" s="59"/>
      <c r="E51" s="100"/>
      <c r="I51" s="103"/>
      <c r="J51" s="59"/>
      <c r="K51" s="100"/>
    </row>
    <row r="52" spans="3:11" ht="12.75">
      <c r="C52" s="103"/>
      <c r="D52" s="59"/>
      <c r="E52" s="100"/>
      <c r="I52" s="103"/>
      <c r="J52" s="59"/>
      <c r="K52" s="100"/>
    </row>
    <row r="53" spans="3:11" ht="12.75">
      <c r="C53" s="103"/>
      <c r="D53" s="59"/>
      <c r="E53" s="100"/>
      <c r="I53" s="103"/>
      <c r="J53" s="59"/>
      <c r="K53" s="100"/>
    </row>
    <row r="54" spans="3:11" ht="12.75">
      <c r="C54" s="103"/>
      <c r="D54" s="70"/>
      <c r="E54" s="100"/>
      <c r="I54" s="103"/>
      <c r="J54" s="70"/>
      <c r="K54" s="100"/>
    </row>
    <row r="55" spans="3:11" ht="12.75">
      <c r="C55" s="103"/>
      <c r="D55" s="70"/>
      <c r="E55" s="100"/>
      <c r="I55" s="103"/>
      <c r="J55" s="70"/>
      <c r="K55" s="100"/>
    </row>
    <row r="56" spans="3:11" ht="12.75">
      <c r="C56" s="103"/>
      <c r="D56" s="70"/>
      <c r="E56" s="100"/>
      <c r="I56" s="103"/>
      <c r="J56" s="70"/>
      <c r="K56" s="100"/>
    </row>
    <row r="57" spans="3:11" ht="12.75">
      <c r="C57" s="103"/>
      <c r="D57" s="70"/>
      <c r="E57" s="100"/>
      <c r="I57" s="103"/>
      <c r="J57" s="70"/>
      <c r="K57" s="100"/>
    </row>
    <row r="58" spans="3:11" ht="12.75">
      <c r="C58" s="103"/>
      <c r="D58" s="70"/>
      <c r="E58" s="100"/>
      <c r="I58" s="103"/>
      <c r="J58" s="70"/>
      <c r="K58" s="100"/>
    </row>
    <row r="59" spans="3:11" ht="12.75">
      <c r="C59" s="103"/>
      <c r="D59" s="70"/>
      <c r="E59" s="100"/>
      <c r="I59" s="103"/>
      <c r="J59" s="70"/>
      <c r="K59" s="100"/>
    </row>
    <row r="60" spans="3:11" ht="12.75">
      <c r="C60" s="103"/>
      <c r="D60" s="70"/>
      <c r="E60" s="100"/>
      <c r="I60" s="103"/>
      <c r="J60" s="70"/>
      <c r="K60" s="100"/>
    </row>
    <row r="61" spans="3:11" ht="12.75">
      <c r="C61" s="103"/>
      <c r="D61" s="70"/>
      <c r="E61" s="100"/>
      <c r="I61" s="103"/>
      <c r="J61" s="70"/>
      <c r="K61" s="100"/>
    </row>
    <row r="62" spans="3:11" ht="12.75">
      <c r="C62" s="103"/>
      <c r="D62" s="70"/>
      <c r="E62" s="100"/>
      <c r="I62" s="103"/>
      <c r="J62" s="70"/>
      <c r="K62" s="100"/>
    </row>
    <row r="63" spans="3:11" ht="12.75">
      <c r="C63" s="103"/>
      <c r="D63" s="70"/>
      <c r="E63" s="100"/>
      <c r="I63" s="103"/>
      <c r="J63" s="70"/>
      <c r="K63" s="100"/>
    </row>
    <row r="64" spans="3:11" ht="12.75">
      <c r="C64" s="103"/>
      <c r="D64" s="70"/>
      <c r="E64" s="100"/>
      <c r="I64" s="103"/>
      <c r="J64" s="70"/>
      <c r="K64" s="100"/>
    </row>
    <row r="65" spans="3:11" ht="12.75">
      <c r="C65" s="103"/>
      <c r="D65" s="70"/>
      <c r="E65" s="100"/>
      <c r="I65" s="103"/>
      <c r="J65" s="70"/>
      <c r="K65" s="100"/>
    </row>
    <row r="66" spans="3:11" ht="12.75">
      <c r="C66" s="103"/>
      <c r="D66" s="70"/>
      <c r="E66" s="100"/>
      <c r="I66" s="103"/>
      <c r="J66" s="70"/>
      <c r="K66" s="100"/>
    </row>
    <row r="67" spans="3:11" ht="12.75">
      <c r="C67" s="103"/>
      <c r="D67" s="70"/>
      <c r="E67" s="100"/>
      <c r="I67" s="103"/>
      <c r="J67" s="70"/>
      <c r="K67" s="100"/>
    </row>
    <row r="68" spans="3:11" ht="12.75">
      <c r="C68" s="103"/>
      <c r="D68" s="70"/>
      <c r="E68" s="100"/>
      <c r="I68" s="103"/>
      <c r="J68" s="70"/>
      <c r="K68" s="100"/>
    </row>
    <row r="69" spans="3:11" ht="12.75">
      <c r="C69" s="103"/>
      <c r="D69" s="70"/>
      <c r="E69" s="100"/>
      <c r="I69" s="103"/>
      <c r="J69" s="70"/>
      <c r="K69" s="100"/>
    </row>
    <row r="70" spans="3:11" ht="12.75">
      <c r="C70" s="103"/>
      <c r="D70" s="70"/>
      <c r="E70" s="100"/>
      <c r="I70" s="103"/>
      <c r="J70" s="70"/>
      <c r="K70" s="100"/>
    </row>
    <row r="71" spans="3:11" ht="12.75">
      <c r="C71" s="103"/>
      <c r="D71" s="70"/>
      <c r="E71" s="100"/>
      <c r="I71" s="103"/>
      <c r="J71" s="70"/>
      <c r="K71" s="100"/>
    </row>
    <row r="72" spans="3:11" ht="12.75">
      <c r="C72" s="103"/>
      <c r="D72" s="70"/>
      <c r="E72" s="100"/>
      <c r="I72" s="103"/>
      <c r="J72" s="70"/>
      <c r="K72" s="100"/>
    </row>
    <row r="73" spans="3:11" ht="12.75">
      <c r="C73" s="103"/>
      <c r="D73" s="70"/>
      <c r="E73" s="100"/>
      <c r="I73" s="103"/>
      <c r="J73" s="70"/>
      <c r="K73" s="100"/>
    </row>
    <row r="74" spans="3:11" ht="12">
      <c r="C74" s="103"/>
      <c r="E74" s="100"/>
      <c r="I74" s="103"/>
      <c r="K74" s="100"/>
    </row>
    <row r="75" spans="3:11" ht="12">
      <c r="C75" s="103"/>
      <c r="E75" s="100"/>
      <c r="I75" s="103"/>
      <c r="K75" s="100"/>
    </row>
    <row r="76" spans="3:11" ht="12">
      <c r="C76" s="103"/>
      <c r="E76" s="100"/>
      <c r="I76" s="103"/>
      <c r="K76" s="100"/>
    </row>
    <row r="77" spans="3:11" ht="12">
      <c r="C77" s="103"/>
      <c r="E77" s="100"/>
      <c r="I77" s="103"/>
      <c r="K77" s="100"/>
    </row>
    <row r="78" spans="3:11" ht="12">
      <c r="C78" s="103"/>
      <c r="E78" s="100"/>
      <c r="I78" s="103"/>
      <c r="K78" s="100"/>
    </row>
    <row r="79" spans="3:11" ht="12">
      <c r="C79" s="103"/>
      <c r="E79" s="100"/>
      <c r="I79" s="103"/>
      <c r="K79" s="100"/>
    </row>
    <row r="80" spans="3:11" ht="12">
      <c r="C80" s="103"/>
      <c r="E80" s="100"/>
      <c r="I80" s="103"/>
      <c r="K80" s="100"/>
    </row>
    <row r="81" spans="2:10" ht="12">
      <c r="B81" s="103"/>
      <c r="D81" s="100"/>
      <c r="H81" s="103"/>
      <c r="J81" s="100"/>
    </row>
    <row r="82" spans="2:10" ht="12">
      <c r="B82" s="103"/>
      <c r="D82" s="100"/>
      <c r="H82" s="103"/>
      <c r="J82" s="100"/>
    </row>
    <row r="83" spans="2:10" ht="12">
      <c r="B83" s="103"/>
      <c r="D83" s="100"/>
      <c r="H83" s="103"/>
      <c r="J83" s="100"/>
    </row>
    <row r="84" spans="2:10" ht="12">
      <c r="B84" s="103"/>
      <c r="D84" s="100"/>
      <c r="H84" s="103"/>
      <c r="J84" s="100"/>
    </row>
    <row r="85" spans="2:10" ht="12">
      <c r="B85" s="103"/>
      <c r="D85" s="100"/>
      <c r="H85" s="103"/>
      <c r="J85" s="100"/>
    </row>
    <row r="86" spans="2:10" ht="12">
      <c r="B86" s="103"/>
      <c r="D86" s="100"/>
      <c r="H86" s="103"/>
      <c r="J86" s="100"/>
    </row>
    <row r="87" spans="2:10" ht="12">
      <c r="B87" s="103"/>
      <c r="D87" s="100"/>
      <c r="H87" s="103"/>
      <c r="J87" s="100"/>
    </row>
    <row r="88" spans="2:10" ht="12">
      <c r="B88" s="103"/>
      <c r="D88" s="100"/>
      <c r="H88" s="103"/>
      <c r="J88" s="100"/>
    </row>
    <row r="89" spans="2:10" ht="12">
      <c r="B89" s="103"/>
      <c r="D89" s="100"/>
      <c r="H89" s="103"/>
      <c r="J89" s="100"/>
    </row>
    <row r="90" spans="2:10" ht="12">
      <c r="B90" s="103"/>
      <c r="D90" s="100"/>
      <c r="H90" s="103"/>
      <c r="J90" s="100"/>
    </row>
    <row r="91" spans="2:10" ht="12">
      <c r="B91" s="103"/>
      <c r="D91" s="100"/>
      <c r="H91" s="103"/>
      <c r="J91" s="100"/>
    </row>
    <row r="92" spans="2:10" ht="12">
      <c r="B92" s="103"/>
      <c r="D92" s="100"/>
      <c r="H92" s="103"/>
      <c r="J92" s="100"/>
    </row>
    <row r="93" spans="2:10" ht="12">
      <c r="B93" s="103"/>
      <c r="D93" s="100"/>
      <c r="H93" s="103"/>
      <c r="J93" s="100"/>
    </row>
    <row r="94" spans="2:10" ht="12">
      <c r="B94" s="103"/>
      <c r="D94" s="100"/>
      <c r="H94" s="103"/>
      <c r="J94" s="100"/>
    </row>
    <row r="95" spans="2:10" ht="12">
      <c r="B95" s="103"/>
      <c r="D95" s="100"/>
      <c r="H95" s="103"/>
      <c r="J95" s="100"/>
    </row>
    <row r="96" spans="2:10" ht="12">
      <c r="B96" s="103"/>
      <c r="D96" s="100"/>
      <c r="H96" s="103"/>
      <c r="J96" s="100"/>
    </row>
    <row r="97" spans="2:10" ht="12">
      <c r="B97" s="103"/>
      <c r="D97" s="100"/>
      <c r="H97" s="103"/>
      <c r="J97" s="100"/>
    </row>
    <row r="98" spans="2:10" ht="12">
      <c r="B98" s="103"/>
      <c r="D98" s="100"/>
      <c r="H98" s="103"/>
      <c r="J98" s="100"/>
    </row>
    <row r="99" spans="2:10" ht="12">
      <c r="B99" s="103"/>
      <c r="D99" s="100"/>
      <c r="H99" s="103"/>
      <c r="J99" s="100"/>
    </row>
    <row r="100" spans="2:10" ht="12">
      <c r="B100" s="103"/>
      <c r="D100" s="100"/>
      <c r="H100" s="103"/>
      <c r="J100" s="100"/>
    </row>
    <row r="101" spans="2:8" ht="12">
      <c r="B101" s="103"/>
      <c r="H101" s="103"/>
    </row>
    <row r="102" spans="2:8" ht="12">
      <c r="B102" s="103"/>
      <c r="H102" s="103"/>
    </row>
    <row r="103" spans="2:8" ht="12">
      <c r="B103" s="103"/>
      <c r="H103" s="103"/>
    </row>
    <row r="104" spans="2:8" ht="12">
      <c r="B104" s="103"/>
      <c r="H104" s="103"/>
    </row>
    <row r="105" spans="2:8" ht="12">
      <c r="B105" s="103"/>
      <c r="H105" s="103"/>
    </row>
    <row r="106" spans="2:8" ht="12">
      <c r="B106" s="103"/>
      <c r="H106" s="103"/>
    </row>
    <row r="107" spans="2:8" ht="12">
      <c r="B107" s="103"/>
      <c r="H107" s="103"/>
    </row>
    <row r="108" spans="2:8" ht="12">
      <c r="B108" s="103"/>
      <c r="H108" s="103"/>
    </row>
    <row r="109" spans="2:8" ht="12">
      <c r="B109" s="103"/>
      <c r="H109" s="103"/>
    </row>
    <row r="236" spans="1:12" ht="1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1:12" ht="12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1:12" ht="1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1:12" ht="1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1:12" ht="1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1:12" ht="1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1:12" ht="1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1:12" ht="1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1:12" ht="1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1:12" ht="1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1:12" ht="1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1:12" ht="1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1:12" ht="1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1:12" ht="1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1:12" ht="1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1:12" ht="1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1:12" ht="1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1:12" ht="1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1:12" ht="1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1:12" ht="1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1:12" ht="12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1:12" ht="12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1:12" ht="12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1:12" ht="1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1:12" ht="12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1:12" ht="12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1:12" ht="1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</sheetData>
  <mergeCells count="2">
    <mergeCell ref="G4:L4"/>
    <mergeCell ref="G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58.57421875" style="294" customWidth="1"/>
    <col min="2" max="2" width="9.8515625" style="294" customWidth="1"/>
    <col min="3" max="3" width="11.00390625" style="294" customWidth="1"/>
    <col min="4" max="4" width="10.421875" style="294" customWidth="1"/>
    <col min="5" max="5" width="11.140625" style="294" customWidth="1"/>
    <col min="6" max="16384" width="9.140625" style="294" customWidth="1"/>
  </cols>
  <sheetData>
    <row r="1" spans="1:5" ht="12.75">
      <c r="A1" s="3" t="s">
        <v>177</v>
      </c>
      <c r="B1" s="3"/>
      <c r="C1" s="3"/>
      <c r="D1" s="3"/>
      <c r="E1" s="74" t="s">
        <v>441</v>
      </c>
    </row>
    <row r="2" spans="1:5" ht="12.75">
      <c r="A2" s="70"/>
      <c r="B2" s="70"/>
      <c r="C2" s="70"/>
      <c r="D2" s="70"/>
      <c r="E2" s="70"/>
    </row>
    <row r="3" spans="1:5" ht="18">
      <c r="A3" s="110" t="s">
        <v>442</v>
      </c>
      <c r="B3" s="280"/>
      <c r="C3" s="3"/>
      <c r="D3" s="3"/>
      <c r="E3" s="3"/>
    </row>
    <row r="4" spans="1:5" ht="18">
      <c r="A4" s="110" t="s">
        <v>443</v>
      </c>
      <c r="B4" s="280"/>
      <c r="C4" s="3"/>
      <c r="D4" s="3"/>
      <c r="E4" s="3"/>
    </row>
    <row r="5" spans="1:5" ht="18">
      <c r="A5" s="280"/>
      <c r="B5" s="280"/>
      <c r="C5" s="3"/>
      <c r="D5" s="12"/>
      <c r="E5" s="12" t="s">
        <v>358</v>
      </c>
    </row>
    <row r="6" spans="1:5" ht="35.25" customHeight="1">
      <c r="A6" s="10" t="s">
        <v>7</v>
      </c>
      <c r="B6" s="10" t="s">
        <v>444</v>
      </c>
      <c r="C6" s="10" t="s">
        <v>71</v>
      </c>
      <c r="D6" s="10" t="s">
        <v>359</v>
      </c>
      <c r="E6" s="10" t="s">
        <v>16</v>
      </c>
    </row>
    <row r="7" spans="1:5" s="295" customFormat="1" ht="12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16.5" customHeight="1">
      <c r="A8" s="177" t="s">
        <v>445</v>
      </c>
      <c r="B8" s="90">
        <v>399849</v>
      </c>
      <c r="C8" s="90">
        <v>305186</v>
      </c>
      <c r="D8" s="296">
        <f aca="true" t="shared" si="0" ref="D8:D24">C8/B8*100</f>
        <v>76.3253128055841</v>
      </c>
      <c r="E8" s="90">
        <v>33647</v>
      </c>
    </row>
    <row r="9" spans="1:5" ht="12">
      <c r="A9" s="88" t="s">
        <v>446</v>
      </c>
      <c r="B9" s="90">
        <v>387889</v>
      </c>
      <c r="C9" s="90">
        <v>293941</v>
      </c>
      <c r="D9" s="296">
        <f t="shared" si="0"/>
        <v>75.77966892590406</v>
      </c>
      <c r="E9" s="90">
        <v>31081</v>
      </c>
    </row>
    <row r="10" spans="1:5" ht="12">
      <c r="A10" s="88" t="s">
        <v>447</v>
      </c>
      <c r="B10" s="90">
        <v>214969</v>
      </c>
      <c r="C10" s="90">
        <v>164772</v>
      </c>
      <c r="D10" s="296">
        <f t="shared" si="0"/>
        <v>76.6491912787425</v>
      </c>
      <c r="E10" s="90">
        <v>17667</v>
      </c>
    </row>
    <row r="11" spans="1:5" ht="12">
      <c r="A11" s="88" t="s">
        <v>448</v>
      </c>
      <c r="B11" s="90">
        <v>18494</v>
      </c>
      <c r="C11" s="90">
        <v>13558</v>
      </c>
      <c r="D11" s="296">
        <f t="shared" si="0"/>
        <v>73.31026278793122</v>
      </c>
      <c r="E11" s="90">
        <v>1968</v>
      </c>
    </row>
    <row r="12" spans="1:5" ht="12">
      <c r="A12" s="88" t="s">
        <v>449</v>
      </c>
      <c r="B12" s="90">
        <v>24553</v>
      </c>
      <c r="C12" s="90">
        <v>18334</v>
      </c>
      <c r="D12" s="296">
        <f t="shared" si="0"/>
        <v>74.67111961878385</v>
      </c>
      <c r="E12" s="90">
        <v>1595</v>
      </c>
    </row>
    <row r="13" spans="1:5" ht="12">
      <c r="A13" s="88" t="s">
        <v>450</v>
      </c>
      <c r="B13" s="90">
        <v>129873</v>
      </c>
      <c r="C13" s="90">
        <v>97277</v>
      </c>
      <c r="D13" s="296">
        <f t="shared" si="0"/>
        <v>74.9016346738737</v>
      </c>
      <c r="E13" s="90">
        <v>9851</v>
      </c>
    </row>
    <row r="14" spans="1:5" ht="12">
      <c r="A14" s="130" t="s">
        <v>451</v>
      </c>
      <c r="B14" s="90">
        <v>6214</v>
      </c>
      <c r="C14" s="90">
        <v>4012</v>
      </c>
      <c r="D14" s="296">
        <f t="shared" si="0"/>
        <v>64.56388799485033</v>
      </c>
      <c r="E14" s="90">
        <v>542</v>
      </c>
    </row>
    <row r="15" spans="1:5" ht="22.5">
      <c r="A15" s="130" t="s">
        <v>452</v>
      </c>
      <c r="B15" s="90">
        <v>24051</v>
      </c>
      <c r="C15" s="90">
        <v>17854</v>
      </c>
      <c r="D15" s="296">
        <f t="shared" si="0"/>
        <v>74.23391958754314</v>
      </c>
      <c r="E15" s="90">
        <v>2049</v>
      </c>
    </row>
    <row r="16" spans="1:5" ht="19.5" customHeight="1">
      <c r="A16" s="177" t="s">
        <v>453</v>
      </c>
      <c r="B16" s="90">
        <v>357624</v>
      </c>
      <c r="C16" s="90">
        <v>272075</v>
      </c>
      <c r="D16" s="296">
        <f t="shared" si="0"/>
        <v>76.07850703532202</v>
      </c>
      <c r="E16" s="90">
        <v>28490</v>
      </c>
    </row>
    <row r="17" spans="1:5" ht="12">
      <c r="A17" s="88" t="s">
        <v>454</v>
      </c>
      <c r="B17" s="90">
        <v>42225</v>
      </c>
      <c r="C17" s="90">
        <v>33111</v>
      </c>
      <c r="D17" s="296">
        <f t="shared" si="0"/>
        <v>78.41563055062167</v>
      </c>
      <c r="E17" s="90">
        <v>5157</v>
      </c>
    </row>
    <row r="18" spans="1:5" ht="12">
      <c r="A18" s="88" t="s">
        <v>455</v>
      </c>
      <c r="B18" s="90">
        <v>37021</v>
      </c>
      <c r="C18" s="90">
        <v>28393</v>
      </c>
      <c r="D18" s="296">
        <f t="shared" si="0"/>
        <v>76.69430863563923</v>
      </c>
      <c r="E18" s="90">
        <v>4755</v>
      </c>
    </row>
    <row r="19" spans="1:5" ht="12">
      <c r="A19" s="88" t="s">
        <v>456</v>
      </c>
      <c r="B19" s="90">
        <v>5204</v>
      </c>
      <c r="C19" s="90">
        <v>4718</v>
      </c>
      <c r="D19" s="296">
        <f t="shared" si="0"/>
        <v>90.66102997694081</v>
      </c>
      <c r="E19" s="90">
        <v>402</v>
      </c>
    </row>
    <row r="20" spans="1:5" ht="23.25" customHeight="1">
      <c r="A20" s="177" t="s">
        <v>457</v>
      </c>
      <c r="B20" s="90">
        <v>42225</v>
      </c>
      <c r="C20" s="90">
        <v>33111</v>
      </c>
      <c r="D20" s="296">
        <f t="shared" si="0"/>
        <v>78.41563055062167</v>
      </c>
      <c r="E20" s="90">
        <v>5157</v>
      </c>
    </row>
    <row r="21" spans="1:5" ht="35.25" customHeight="1">
      <c r="A21" s="177" t="s">
        <v>458</v>
      </c>
      <c r="B21" s="90">
        <v>411061</v>
      </c>
      <c r="C21" s="90">
        <v>304508</v>
      </c>
      <c r="D21" s="296">
        <f t="shared" si="0"/>
        <v>74.07854308727902</v>
      </c>
      <c r="E21" s="90">
        <v>36089</v>
      </c>
    </row>
    <row r="22" spans="1:5" ht="34.5" customHeight="1">
      <c r="A22" s="282" t="s">
        <v>459</v>
      </c>
      <c r="B22" s="90">
        <v>361551</v>
      </c>
      <c r="C22" s="90">
        <v>252331</v>
      </c>
      <c r="D22" s="296">
        <f t="shared" si="0"/>
        <v>69.79126043075527</v>
      </c>
      <c r="E22" s="90">
        <v>26889</v>
      </c>
    </row>
    <row r="23" spans="1:5" ht="30.75" customHeight="1">
      <c r="A23" s="282" t="s">
        <v>460</v>
      </c>
      <c r="B23" s="90">
        <v>31524</v>
      </c>
      <c r="C23" s="90">
        <v>21884</v>
      </c>
      <c r="D23" s="296">
        <f t="shared" si="0"/>
        <v>69.42012434970182</v>
      </c>
      <c r="E23" s="90">
        <v>4206</v>
      </c>
    </row>
    <row r="24" spans="1:5" ht="31.5" customHeight="1">
      <c r="A24" s="282" t="s">
        <v>461</v>
      </c>
      <c r="B24" s="90">
        <v>17986</v>
      </c>
      <c r="C24" s="90">
        <v>30293</v>
      </c>
      <c r="D24" s="296">
        <f t="shared" si="0"/>
        <v>168.42544201045257</v>
      </c>
      <c r="E24" s="90">
        <v>4994</v>
      </c>
    </row>
    <row r="25" spans="1:5" ht="59.25" customHeight="1">
      <c r="A25" s="177" t="s">
        <v>462</v>
      </c>
      <c r="B25" s="90">
        <v>-11212</v>
      </c>
      <c r="C25" s="90">
        <v>678</v>
      </c>
      <c r="D25" s="90"/>
      <c r="E25" s="90">
        <f>E8-E21</f>
        <v>-2442</v>
      </c>
    </row>
    <row r="26" spans="1:5" ht="30" customHeight="1">
      <c r="A26" s="177" t="s">
        <v>463</v>
      </c>
      <c r="B26" s="90">
        <v>-3937</v>
      </c>
      <c r="C26" s="90">
        <v>2175</v>
      </c>
      <c r="D26" s="90"/>
      <c r="E26" s="90">
        <v>1693</v>
      </c>
    </row>
    <row r="27" spans="1:5" ht="38.25" customHeight="1">
      <c r="A27" s="177" t="s">
        <v>464</v>
      </c>
      <c r="B27" s="90">
        <f>B21+B26</f>
        <v>407124</v>
      </c>
      <c r="C27" s="90">
        <f>C21+C26</f>
        <v>306683</v>
      </c>
      <c r="D27" s="296">
        <f>C27/B27*100</f>
        <v>75.32913805130623</v>
      </c>
      <c r="E27" s="90">
        <f>E21+E26</f>
        <v>37782</v>
      </c>
    </row>
    <row r="28" spans="1:5" ht="41.25" customHeight="1">
      <c r="A28" s="177" t="s">
        <v>465</v>
      </c>
      <c r="B28" s="90">
        <f>SUM(B25-B26)</f>
        <v>-7275</v>
      </c>
      <c r="C28" s="90">
        <f>SUM(C25-C26)</f>
        <v>-1497</v>
      </c>
      <c r="D28" s="90"/>
      <c r="E28" s="90">
        <f>SUM(E25-E26)</f>
        <v>-4135</v>
      </c>
    </row>
    <row r="29" spans="1:5" ht="18.75" customHeight="1">
      <c r="A29" s="281" t="s">
        <v>466</v>
      </c>
      <c r="B29" s="90">
        <v>387149</v>
      </c>
      <c r="C29" s="90">
        <v>292382</v>
      </c>
      <c r="D29" s="296">
        <f aca="true" t="shared" si="1" ref="D29:D36">C29/B29*100</f>
        <v>75.52182751343798</v>
      </c>
      <c r="E29" s="90">
        <v>34169</v>
      </c>
    </row>
    <row r="30" spans="1:5" ht="12">
      <c r="A30" s="130" t="s">
        <v>467</v>
      </c>
      <c r="B30" s="90">
        <v>30265</v>
      </c>
      <c r="C30" s="90">
        <v>21866</v>
      </c>
      <c r="D30" s="296">
        <f t="shared" si="1"/>
        <v>72.24847183214935</v>
      </c>
      <c r="E30" s="90">
        <v>2591</v>
      </c>
    </row>
    <row r="31" spans="1:5" ht="17.25" customHeight="1">
      <c r="A31" s="281" t="s">
        <v>468</v>
      </c>
      <c r="B31" s="90">
        <f>SUM(B29-B30)</f>
        <v>356884</v>
      </c>
      <c r="C31" s="90">
        <f>SUM(C29-C30)</f>
        <v>270516</v>
      </c>
      <c r="D31" s="296">
        <f t="shared" si="1"/>
        <v>75.79941941919503</v>
      </c>
      <c r="E31" s="90">
        <f>SUM(E29-E30)</f>
        <v>31578</v>
      </c>
    </row>
    <row r="32" spans="1:5" ht="15.75" customHeight="1">
      <c r="A32" s="97" t="s">
        <v>469</v>
      </c>
      <c r="B32" s="90">
        <v>352359</v>
      </c>
      <c r="C32" s="90">
        <v>249638</v>
      </c>
      <c r="D32" s="296">
        <f t="shared" si="1"/>
        <v>70.84762983207467</v>
      </c>
      <c r="E32" s="90">
        <v>26503</v>
      </c>
    </row>
    <row r="33" spans="1:5" ht="12">
      <c r="A33" s="130" t="s">
        <v>467</v>
      </c>
      <c r="B33" s="90">
        <v>30265</v>
      </c>
      <c r="C33" s="90">
        <v>21866</v>
      </c>
      <c r="D33" s="296">
        <f t="shared" si="1"/>
        <v>72.24847183214935</v>
      </c>
      <c r="E33" s="90">
        <v>2591</v>
      </c>
    </row>
    <row r="34" spans="1:5" ht="12">
      <c r="A34" s="97" t="s">
        <v>470</v>
      </c>
      <c r="B34" s="90">
        <v>322094</v>
      </c>
      <c r="C34" s="90">
        <f>C32-C33</f>
        <v>227772</v>
      </c>
      <c r="D34" s="296">
        <f t="shared" si="1"/>
        <v>70.71600216085987</v>
      </c>
      <c r="E34" s="90">
        <v>23912</v>
      </c>
    </row>
    <row r="35" spans="1:5" ht="12">
      <c r="A35" s="97" t="s">
        <v>471</v>
      </c>
      <c r="B35" s="90">
        <v>19307</v>
      </c>
      <c r="C35" s="90">
        <v>14039</v>
      </c>
      <c r="D35" s="296">
        <f t="shared" si="1"/>
        <v>72.71455948619672</v>
      </c>
      <c r="E35" s="90">
        <v>2768</v>
      </c>
    </row>
    <row r="36" spans="1:5" ht="12">
      <c r="A36" s="97" t="s">
        <v>472</v>
      </c>
      <c r="B36" s="90">
        <v>15483</v>
      </c>
      <c r="C36" s="90">
        <v>28705</v>
      </c>
      <c r="D36" s="296">
        <f t="shared" si="1"/>
        <v>185.39688690822192</v>
      </c>
      <c r="E36" s="90">
        <v>4898</v>
      </c>
    </row>
    <row r="37" spans="1:5" s="297" customFormat="1" ht="42" customHeight="1">
      <c r="A37" s="177" t="s">
        <v>473</v>
      </c>
      <c r="B37" s="90">
        <f>B16-B31</f>
        <v>740</v>
      </c>
      <c r="C37" s="90">
        <f>C16-C31</f>
        <v>1559</v>
      </c>
      <c r="D37" s="296"/>
      <c r="E37" s="90">
        <f>E16-E31</f>
        <v>-3088</v>
      </c>
    </row>
    <row r="38" spans="1:5" s="297" customFormat="1" ht="27" customHeight="1">
      <c r="A38" s="281" t="s">
        <v>474</v>
      </c>
      <c r="B38" s="90">
        <v>-148</v>
      </c>
      <c r="C38" s="90">
        <v>867</v>
      </c>
      <c r="D38" s="90"/>
      <c r="E38" s="90">
        <v>79</v>
      </c>
    </row>
    <row r="39" spans="1:5" s="297" customFormat="1" ht="15.75" customHeight="1">
      <c r="A39" s="97" t="s">
        <v>475</v>
      </c>
      <c r="B39" s="90">
        <v>832</v>
      </c>
      <c r="C39" s="90">
        <v>1310</v>
      </c>
      <c r="D39" s="90"/>
      <c r="E39" s="90">
        <v>136</v>
      </c>
    </row>
    <row r="40" spans="1:5" s="297" customFormat="1" ht="18" customHeight="1">
      <c r="A40" s="97" t="s">
        <v>476</v>
      </c>
      <c r="B40" s="90">
        <v>980</v>
      </c>
      <c r="C40" s="90">
        <v>443</v>
      </c>
      <c r="D40" s="90"/>
      <c r="E40" s="90">
        <v>57</v>
      </c>
    </row>
    <row r="41" spans="1:5" s="297" customFormat="1" ht="38.25" customHeight="1">
      <c r="A41" s="177" t="s">
        <v>477</v>
      </c>
      <c r="B41" s="90">
        <f>SUM(B37-B38)</f>
        <v>888</v>
      </c>
      <c r="C41" s="90">
        <f>SUM(C37-C38)</f>
        <v>692</v>
      </c>
      <c r="D41" s="296"/>
      <c r="E41" s="90">
        <f>SUM(E37-E38)</f>
        <v>-3167</v>
      </c>
    </row>
    <row r="42" spans="1:5" s="297" customFormat="1" ht="23.25" customHeight="1">
      <c r="A42" s="281" t="s">
        <v>478</v>
      </c>
      <c r="B42" s="90">
        <v>54177</v>
      </c>
      <c r="C42" s="90">
        <v>33992</v>
      </c>
      <c r="D42" s="296">
        <f>C42/B42*100</f>
        <v>62.74249220148772</v>
      </c>
      <c r="E42" s="90">
        <v>4511</v>
      </c>
    </row>
    <row r="43" spans="1:5" s="297" customFormat="1" ht="12">
      <c r="A43" s="97" t="s">
        <v>479</v>
      </c>
      <c r="B43" s="90">
        <v>39457</v>
      </c>
      <c r="C43" s="90">
        <v>24559</v>
      </c>
      <c r="D43" s="296">
        <f>C43/B43*100</f>
        <v>62.24244113845452</v>
      </c>
      <c r="E43" s="90">
        <v>2977</v>
      </c>
    </row>
    <row r="44" spans="1:5" s="297" customFormat="1" ht="12">
      <c r="A44" s="97" t="s">
        <v>480</v>
      </c>
      <c r="B44" s="90">
        <v>12217</v>
      </c>
      <c r="C44" s="90">
        <v>7845</v>
      </c>
      <c r="D44" s="296">
        <f>C44/B44*100</f>
        <v>64.21380044200704</v>
      </c>
      <c r="E44" s="90">
        <v>1438</v>
      </c>
    </row>
    <row r="45" spans="1:5" s="297" customFormat="1" ht="12">
      <c r="A45" s="97" t="s">
        <v>481</v>
      </c>
      <c r="B45" s="90">
        <v>2503</v>
      </c>
      <c r="C45" s="90">
        <v>1588</v>
      </c>
      <c r="D45" s="296">
        <f>C45/B45*100</f>
        <v>63.44386735916899</v>
      </c>
      <c r="E45" s="90">
        <v>96</v>
      </c>
    </row>
    <row r="46" spans="1:14" s="297" customFormat="1" ht="46.5" customHeight="1">
      <c r="A46" s="177" t="s">
        <v>482</v>
      </c>
      <c r="B46" s="90">
        <f>SUM(B20-B42)</f>
        <v>-11952</v>
      </c>
      <c r="C46" s="90">
        <f>SUM(C20-C42)</f>
        <v>-881</v>
      </c>
      <c r="D46" s="90"/>
      <c r="E46" s="90">
        <f>SUM(E20-E42)</f>
        <v>646</v>
      </c>
      <c r="N46" s="70"/>
    </row>
    <row r="47" spans="1:5" s="297" customFormat="1" ht="18.75" customHeight="1">
      <c r="A47" s="281" t="s">
        <v>483</v>
      </c>
      <c r="B47" s="90">
        <v>-3789</v>
      </c>
      <c r="C47" s="90">
        <v>1308</v>
      </c>
      <c r="D47" s="90"/>
      <c r="E47" s="90">
        <v>1614</v>
      </c>
    </row>
    <row r="48" spans="1:5" s="297" customFormat="1" ht="12">
      <c r="A48" s="97" t="s">
        <v>484</v>
      </c>
      <c r="B48" s="90">
        <v>3266</v>
      </c>
      <c r="C48" s="90">
        <v>4260</v>
      </c>
      <c r="D48" s="90"/>
      <c r="E48" s="90">
        <v>1662</v>
      </c>
    </row>
    <row r="49" spans="1:5" s="297" customFormat="1" ht="12">
      <c r="A49" s="97" t="s">
        <v>485</v>
      </c>
      <c r="B49" s="90">
        <v>7055</v>
      </c>
      <c r="C49" s="90">
        <v>2952</v>
      </c>
      <c r="E49" s="90">
        <v>48</v>
      </c>
    </row>
    <row r="50" spans="1:5" s="297" customFormat="1" ht="46.5" customHeight="1">
      <c r="A50" s="177" t="s">
        <v>486</v>
      </c>
      <c r="B50" s="90">
        <f>SUM(B46-B47)</f>
        <v>-8163</v>
      </c>
      <c r="C50" s="90">
        <f>SUM(C46-C47)</f>
        <v>-2189</v>
      </c>
      <c r="E50" s="90">
        <f>SUM(E46-E47)</f>
        <v>-968</v>
      </c>
    </row>
    <row r="51" s="70" customFormat="1" ht="12.75">
      <c r="A51" s="298"/>
    </row>
    <row r="52" s="70" customFormat="1" ht="12.75">
      <c r="A52" s="298"/>
    </row>
    <row r="53" s="70" customFormat="1" ht="12.75">
      <c r="A53" s="298"/>
    </row>
    <row r="54" s="70" customFormat="1" ht="12.75">
      <c r="A54" s="298"/>
    </row>
    <row r="55" s="70" customFormat="1" ht="12.75">
      <c r="A55" s="298"/>
    </row>
    <row r="56" s="70" customFormat="1" ht="12.75">
      <c r="A56" s="298"/>
    </row>
    <row r="57" spans="1:4" s="70" customFormat="1" ht="12.75">
      <c r="A57" s="77" t="s">
        <v>487</v>
      </c>
      <c r="B57" s="299"/>
      <c r="C57" s="300"/>
      <c r="D57" s="300" t="s">
        <v>488</v>
      </c>
    </row>
    <row r="58" s="70" customFormat="1" ht="12.75">
      <c r="A58" s="298"/>
    </row>
    <row r="59" s="70" customFormat="1" ht="12.75">
      <c r="A59" s="298"/>
    </row>
    <row r="60" s="70" customFormat="1" ht="12.75">
      <c r="A60" s="298"/>
    </row>
    <row r="61" s="70" customFormat="1" ht="12.75">
      <c r="A61" s="298"/>
    </row>
    <row r="62" s="70" customFormat="1" ht="12.75">
      <c r="A62" s="298"/>
    </row>
    <row r="63" s="70" customFormat="1" ht="12.75">
      <c r="A63" s="298"/>
    </row>
    <row r="64" s="70" customFormat="1" ht="12.75">
      <c r="A64" s="298"/>
    </row>
    <row r="65" s="70" customFormat="1" ht="12.75">
      <c r="A65" s="301" t="s">
        <v>489</v>
      </c>
    </row>
    <row r="66" s="70" customFormat="1" ht="12.75">
      <c r="A66" s="301" t="s">
        <v>490</v>
      </c>
    </row>
    <row r="67" s="70" customFormat="1" ht="12.75">
      <c r="A67" s="298"/>
    </row>
    <row r="68" s="70" customFormat="1" ht="12.75">
      <c r="A68" s="298"/>
    </row>
    <row r="69" s="70" customFormat="1" ht="12.75">
      <c r="A69" s="301"/>
    </row>
    <row r="72" s="70" customFormat="1" ht="12.75">
      <c r="A72" s="298"/>
    </row>
    <row r="73" s="70" customFormat="1" ht="12.75">
      <c r="A73" s="298"/>
    </row>
    <row r="74" s="70" customFormat="1" ht="12.75">
      <c r="A74" s="298"/>
    </row>
    <row r="75" s="70" customFormat="1" ht="12.75">
      <c r="A75" s="298"/>
    </row>
    <row r="76" s="70" customFormat="1" ht="12.75">
      <c r="A76" s="298"/>
    </row>
    <row r="77" s="70" customFormat="1" ht="12.75">
      <c r="A77" s="298"/>
    </row>
    <row r="78" s="70" customFormat="1" ht="12.75">
      <c r="A78" s="298"/>
    </row>
    <row r="79" ht="11.25">
      <c r="A79" s="302"/>
    </row>
    <row r="80" ht="11.25">
      <c r="A80" s="302"/>
    </row>
    <row r="81" ht="11.25">
      <c r="A81" s="302"/>
    </row>
    <row r="82" ht="11.25">
      <c r="A82" s="302"/>
    </row>
    <row r="83" ht="11.25">
      <c r="A83" s="302"/>
    </row>
    <row r="84" ht="11.25">
      <c r="A84" s="302"/>
    </row>
    <row r="85" ht="11.25">
      <c r="A85" s="302"/>
    </row>
    <row r="86" ht="11.25">
      <c r="A86" s="302"/>
    </row>
    <row r="87" ht="11.25">
      <c r="A87" s="302"/>
    </row>
    <row r="88" ht="11.25">
      <c r="A88" s="302"/>
    </row>
    <row r="89" ht="11.25">
      <c r="A89" s="302"/>
    </row>
    <row r="90" ht="11.25">
      <c r="A90" s="302"/>
    </row>
    <row r="91" ht="11.25">
      <c r="A91" s="302"/>
    </row>
    <row r="92" ht="11.25">
      <c r="A92" s="302"/>
    </row>
    <row r="93" ht="11.25">
      <c r="A93" s="302"/>
    </row>
    <row r="94" ht="11.25">
      <c r="A94" s="302"/>
    </row>
    <row r="95" ht="11.25">
      <c r="A95" s="302"/>
    </row>
    <row r="96" ht="11.25">
      <c r="A96" s="302"/>
    </row>
    <row r="97" ht="11.25">
      <c r="A97" s="302"/>
    </row>
    <row r="98" ht="11.25">
      <c r="A98" s="302"/>
    </row>
    <row r="99" ht="11.25">
      <c r="A99" s="302"/>
    </row>
    <row r="100" ht="11.25">
      <c r="A100" s="302"/>
    </row>
    <row r="101" ht="11.25">
      <c r="A101" s="302"/>
    </row>
    <row r="102" ht="11.25">
      <c r="A102" s="302"/>
    </row>
    <row r="103" ht="11.25">
      <c r="A103" s="302"/>
    </row>
    <row r="104" ht="11.25">
      <c r="A104" s="302"/>
    </row>
    <row r="105" ht="11.25">
      <c r="A105" s="302"/>
    </row>
    <row r="106" ht="11.25">
      <c r="A106" s="302"/>
    </row>
    <row r="107" ht="11.25">
      <c r="A107" s="302"/>
    </row>
    <row r="108" ht="11.25">
      <c r="A108" s="302"/>
    </row>
    <row r="109" ht="11.25">
      <c r="A109" s="302"/>
    </row>
    <row r="110" ht="11.25">
      <c r="A110" s="302"/>
    </row>
    <row r="111" ht="11.25">
      <c r="A111" s="302"/>
    </row>
    <row r="112" ht="11.25">
      <c r="A112" s="302"/>
    </row>
    <row r="113" ht="11.25">
      <c r="A113" s="302"/>
    </row>
    <row r="114" ht="11.25">
      <c r="A114" s="302"/>
    </row>
    <row r="115" ht="11.25">
      <c r="A115" s="302"/>
    </row>
    <row r="116" ht="11.25">
      <c r="A116" s="302"/>
    </row>
    <row r="117" ht="11.25">
      <c r="A117" s="302"/>
    </row>
    <row r="118" ht="11.25">
      <c r="A118" s="302"/>
    </row>
    <row r="119" ht="11.25">
      <c r="A119" s="302"/>
    </row>
    <row r="120" ht="11.25">
      <c r="A120" s="302"/>
    </row>
    <row r="121" ht="11.25">
      <c r="A121" s="302"/>
    </row>
    <row r="122" ht="11.25">
      <c r="A122" s="302"/>
    </row>
    <row r="123" ht="11.25">
      <c r="A123" s="302"/>
    </row>
    <row r="124" ht="11.25">
      <c r="A124" s="302"/>
    </row>
    <row r="125" ht="11.25">
      <c r="A125" s="30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6" sqref="A6"/>
    </sheetView>
  </sheetViews>
  <sheetFormatPr defaultColWidth="9.140625" defaultRowHeight="12.75"/>
  <cols>
    <col min="1" max="1" width="37.57421875" style="307" customWidth="1"/>
    <col min="2" max="5" width="12.7109375" style="294" customWidth="1"/>
    <col min="6" max="16384" width="7.421875" style="294" customWidth="1"/>
  </cols>
  <sheetData>
    <row r="1" spans="1:5" ht="12.75">
      <c r="A1" s="303" t="s">
        <v>491</v>
      </c>
      <c r="B1" s="303"/>
      <c r="C1" s="3"/>
      <c r="D1" s="3"/>
      <c r="E1" s="3" t="s">
        <v>492</v>
      </c>
    </row>
    <row r="2" spans="1:7" s="3" customFormat="1" ht="12.75">
      <c r="A2" s="303"/>
      <c r="B2" s="303"/>
      <c r="E2" s="64"/>
      <c r="G2" s="303" t="s">
        <v>493</v>
      </c>
    </row>
    <row r="4" spans="1:6" s="1" customFormat="1" ht="15.75">
      <c r="A4" s="304" t="s">
        <v>494</v>
      </c>
      <c r="B4" s="305"/>
      <c r="C4" s="306"/>
      <c r="D4" s="306"/>
      <c r="E4" s="306"/>
      <c r="F4" s="306"/>
    </row>
    <row r="5" spans="1:6" s="1" customFormat="1" ht="15.75">
      <c r="A5" s="304" t="s">
        <v>495</v>
      </c>
      <c r="B5" s="305"/>
      <c r="C5" s="306"/>
      <c r="D5" s="306"/>
      <c r="E5" s="306"/>
      <c r="F5" s="306"/>
    </row>
    <row r="6" spans="2:4" ht="11.25">
      <c r="B6" s="308"/>
      <c r="C6" s="308"/>
      <c r="D6" s="308"/>
    </row>
    <row r="7" spans="3:9" ht="12.75" customHeight="1">
      <c r="C7" s="308"/>
      <c r="D7" s="308"/>
      <c r="E7" s="308"/>
      <c r="F7" s="12"/>
      <c r="G7" s="12"/>
      <c r="H7" s="12"/>
      <c r="I7" s="12"/>
    </row>
    <row r="8" spans="1:5" s="12" customFormat="1" ht="12.75" customHeight="1">
      <c r="A8" s="309"/>
      <c r="B8" s="309"/>
      <c r="C8" s="109"/>
      <c r="D8" s="109"/>
      <c r="E8" s="109" t="s">
        <v>68</v>
      </c>
    </row>
    <row r="9" spans="1:8" s="12" customFormat="1" ht="40.5" customHeight="1">
      <c r="A9" s="310" t="s">
        <v>7</v>
      </c>
      <c r="B9" s="311" t="s">
        <v>444</v>
      </c>
      <c r="C9" s="311" t="s">
        <v>71</v>
      </c>
      <c r="D9" s="311" t="s">
        <v>496</v>
      </c>
      <c r="E9" s="311" t="s">
        <v>16</v>
      </c>
      <c r="F9" s="70"/>
      <c r="G9" s="70"/>
      <c r="H9" s="70"/>
    </row>
    <row r="10" spans="1:8" s="12" customFormat="1" ht="12.75">
      <c r="A10" s="312" t="s">
        <v>497</v>
      </c>
      <c r="B10" s="312">
        <v>2</v>
      </c>
      <c r="C10" s="312">
        <v>3</v>
      </c>
      <c r="D10" s="312">
        <v>4</v>
      </c>
      <c r="E10" s="312">
        <v>5</v>
      </c>
      <c r="F10" s="70"/>
      <c r="G10" s="70"/>
      <c r="H10" s="70"/>
    </row>
    <row r="11" spans="1:6" s="70" customFormat="1" ht="12.75">
      <c r="A11" s="313" t="s">
        <v>498</v>
      </c>
      <c r="B11" s="34">
        <v>387889</v>
      </c>
      <c r="C11" s="34">
        <v>293941</v>
      </c>
      <c r="D11" s="314">
        <f aca="true" t="shared" si="0" ref="D11:D39">C11/B11*100</f>
        <v>75.77966892590406</v>
      </c>
      <c r="E11" s="34">
        <v>31081</v>
      </c>
      <c r="F11" s="294"/>
    </row>
    <row r="12" spans="1:7" ht="25.5">
      <c r="A12" s="315" t="s">
        <v>499</v>
      </c>
      <c r="B12" s="34">
        <v>258016</v>
      </c>
      <c r="C12" s="34">
        <v>196664</v>
      </c>
      <c r="D12" s="314">
        <f t="shared" si="0"/>
        <v>76.22162966637728</v>
      </c>
      <c r="E12" s="34">
        <v>21230</v>
      </c>
      <c r="F12" s="70"/>
      <c r="G12" s="70"/>
    </row>
    <row r="13" spans="1:5" s="70" customFormat="1" ht="12.75">
      <c r="A13" s="316" t="s">
        <v>500</v>
      </c>
      <c r="B13" s="34">
        <v>214969</v>
      </c>
      <c r="C13" s="34">
        <v>164772</v>
      </c>
      <c r="D13" s="314">
        <f t="shared" si="0"/>
        <v>76.6491912787425</v>
      </c>
      <c r="E13" s="34">
        <v>17667</v>
      </c>
    </row>
    <row r="14" spans="1:6" s="70" customFormat="1" ht="12.75">
      <c r="A14" s="317" t="s">
        <v>326</v>
      </c>
      <c r="B14" s="34">
        <v>214254</v>
      </c>
      <c r="C14" s="34">
        <v>164090</v>
      </c>
      <c r="D14" s="314">
        <f t="shared" si="0"/>
        <v>76.58666816022105</v>
      </c>
      <c r="E14" s="34">
        <v>17663</v>
      </c>
      <c r="F14" s="294"/>
    </row>
    <row r="15" spans="1:6" s="12" customFormat="1" ht="12">
      <c r="A15" s="44" t="s">
        <v>501</v>
      </c>
      <c r="B15" s="34">
        <v>174210</v>
      </c>
      <c r="C15" s="34">
        <v>128672</v>
      </c>
      <c r="D15" s="314">
        <f t="shared" si="0"/>
        <v>73.86028356581139</v>
      </c>
      <c r="E15" s="34">
        <v>14894</v>
      </c>
      <c r="F15" s="294"/>
    </row>
    <row r="16" spans="1:6" s="12" customFormat="1" ht="12">
      <c r="A16" s="44" t="s">
        <v>502</v>
      </c>
      <c r="B16" s="34">
        <v>21058</v>
      </c>
      <c r="C16" s="34">
        <v>15017</v>
      </c>
      <c r="D16" s="314">
        <f t="shared" si="0"/>
        <v>71.31256529584957</v>
      </c>
      <c r="E16" s="34">
        <v>956</v>
      </c>
      <c r="F16" s="294"/>
    </row>
    <row r="17" spans="1:6" s="12" customFormat="1" ht="12">
      <c r="A17" s="44" t="s">
        <v>503</v>
      </c>
      <c r="B17" s="34">
        <v>18192</v>
      </c>
      <c r="C17" s="34">
        <v>19005</v>
      </c>
      <c r="D17" s="314">
        <f t="shared" si="0"/>
        <v>104.46899736147756</v>
      </c>
      <c r="E17" s="34">
        <v>1690</v>
      </c>
      <c r="F17" s="294"/>
    </row>
    <row r="18" spans="1:6" s="12" customFormat="1" ht="12">
      <c r="A18" s="44" t="s">
        <v>504</v>
      </c>
      <c r="B18" s="34">
        <v>794</v>
      </c>
      <c r="C18" s="34">
        <v>1396</v>
      </c>
      <c r="D18" s="314">
        <f t="shared" si="0"/>
        <v>175.81863979848868</v>
      </c>
      <c r="E18" s="34">
        <v>123</v>
      </c>
      <c r="F18" s="294"/>
    </row>
    <row r="19" spans="1:6" s="70" customFormat="1" ht="12.75">
      <c r="A19" s="317" t="s">
        <v>328</v>
      </c>
      <c r="B19" s="34">
        <v>715</v>
      </c>
      <c r="C19" s="34">
        <v>682</v>
      </c>
      <c r="D19" s="314">
        <f t="shared" si="0"/>
        <v>95.38461538461539</v>
      </c>
      <c r="E19" s="34">
        <v>4</v>
      </c>
      <c r="F19" s="294"/>
    </row>
    <row r="20" spans="1:5" ht="12">
      <c r="A20" s="44" t="s">
        <v>505</v>
      </c>
      <c r="B20" s="34">
        <v>715</v>
      </c>
      <c r="C20" s="34">
        <v>682</v>
      </c>
      <c r="D20" s="314">
        <f t="shared" si="0"/>
        <v>95.38461538461539</v>
      </c>
      <c r="E20" s="34">
        <v>4</v>
      </c>
    </row>
    <row r="21" spans="1:5" s="70" customFormat="1" ht="12.75">
      <c r="A21" s="316" t="s">
        <v>506</v>
      </c>
      <c r="B21" s="34">
        <v>18494</v>
      </c>
      <c r="C21" s="34">
        <v>13558</v>
      </c>
      <c r="D21" s="314">
        <f t="shared" si="0"/>
        <v>73.31026278793122</v>
      </c>
      <c r="E21" s="34">
        <v>1968</v>
      </c>
    </row>
    <row r="22" spans="1:7" ht="12.75">
      <c r="A22" s="44" t="s">
        <v>507</v>
      </c>
      <c r="B22" s="34">
        <v>457</v>
      </c>
      <c r="C22" s="34">
        <v>363</v>
      </c>
      <c r="D22" s="314">
        <f t="shared" si="0"/>
        <v>79.43107221006565</v>
      </c>
      <c r="E22" s="34">
        <v>125</v>
      </c>
      <c r="F22" s="70"/>
      <c r="G22" s="70"/>
    </row>
    <row r="23" spans="1:7" ht="12.75">
      <c r="A23" s="44" t="s">
        <v>508</v>
      </c>
      <c r="B23" s="34">
        <v>3122</v>
      </c>
      <c r="C23" s="34">
        <v>2666</v>
      </c>
      <c r="D23" s="314">
        <f t="shared" si="0"/>
        <v>85.39397821909033</v>
      </c>
      <c r="E23" s="34">
        <v>217</v>
      </c>
      <c r="F23" s="70"/>
      <c r="G23" s="70"/>
    </row>
    <row r="24" spans="1:7" ht="12.75">
      <c r="A24" s="44" t="s">
        <v>509</v>
      </c>
      <c r="B24" s="34">
        <v>404</v>
      </c>
      <c r="C24" s="34">
        <v>286</v>
      </c>
      <c r="D24" s="314">
        <f t="shared" si="0"/>
        <v>70.79207920792079</v>
      </c>
      <c r="E24" s="34">
        <v>128</v>
      </c>
      <c r="F24" s="70"/>
      <c r="G24" s="70"/>
    </row>
    <row r="25" spans="1:7" ht="12.75">
      <c r="A25" s="44" t="s">
        <v>510</v>
      </c>
      <c r="B25" s="34">
        <v>13410</v>
      </c>
      <c r="C25" s="34">
        <v>9541</v>
      </c>
      <c r="D25" s="314">
        <f t="shared" si="0"/>
        <v>71.14839671886651</v>
      </c>
      <c r="E25" s="34">
        <v>1158</v>
      </c>
      <c r="F25" s="70"/>
      <c r="G25" s="70"/>
    </row>
    <row r="26" spans="1:7" ht="22.5">
      <c r="A26" s="318" t="s">
        <v>511</v>
      </c>
      <c r="B26" s="34">
        <v>671</v>
      </c>
      <c r="C26" s="34">
        <v>380</v>
      </c>
      <c r="D26" s="314">
        <f t="shared" si="0"/>
        <v>56.63189269746647</v>
      </c>
      <c r="E26" s="34">
        <v>79</v>
      </c>
      <c r="F26" s="70"/>
      <c r="G26" s="70"/>
    </row>
    <row r="27" spans="1:7" ht="12.75">
      <c r="A27" s="44" t="s">
        <v>512</v>
      </c>
      <c r="B27" s="34">
        <v>430</v>
      </c>
      <c r="C27" s="34">
        <v>322</v>
      </c>
      <c r="D27" s="314">
        <f t="shared" si="0"/>
        <v>74.88372093023256</v>
      </c>
      <c r="E27" s="34">
        <v>262</v>
      </c>
      <c r="F27" s="70"/>
      <c r="G27" s="70"/>
    </row>
    <row r="28" spans="1:7" ht="38.25">
      <c r="A28" s="319" t="s">
        <v>513</v>
      </c>
      <c r="B28" s="34">
        <v>24553</v>
      </c>
      <c r="C28" s="34">
        <v>18334</v>
      </c>
      <c r="D28" s="314">
        <f t="shared" si="0"/>
        <v>74.67111961878385</v>
      </c>
      <c r="E28" s="34">
        <v>1595</v>
      </c>
      <c r="F28" s="70"/>
      <c r="G28" s="70"/>
    </row>
    <row r="29" spans="1:7" ht="12.75">
      <c r="A29" s="316" t="s">
        <v>514</v>
      </c>
      <c r="B29" s="34">
        <v>129873</v>
      </c>
      <c r="C29" s="34">
        <v>97277</v>
      </c>
      <c r="D29" s="314">
        <f t="shared" si="0"/>
        <v>74.9016346738737</v>
      </c>
      <c r="E29" s="34">
        <v>9851</v>
      </c>
      <c r="F29" s="70"/>
      <c r="G29" s="70"/>
    </row>
    <row r="30" spans="1:7" ht="12.75">
      <c r="A30" s="320" t="s">
        <v>515</v>
      </c>
      <c r="B30" s="34">
        <v>6214</v>
      </c>
      <c r="C30" s="34">
        <v>4012</v>
      </c>
      <c r="D30" s="314">
        <f t="shared" si="0"/>
        <v>64.56388799485033</v>
      </c>
      <c r="E30" s="34">
        <v>542</v>
      </c>
      <c r="F30" s="70"/>
      <c r="G30" s="70"/>
    </row>
    <row r="31" spans="1:7" ht="22.5">
      <c r="A31" s="318" t="s">
        <v>516</v>
      </c>
      <c r="B31" s="34">
        <v>4999</v>
      </c>
      <c r="C31" s="34">
        <v>3068</v>
      </c>
      <c r="D31" s="314">
        <f t="shared" si="0"/>
        <v>61.37227445489097</v>
      </c>
      <c r="E31" s="34">
        <v>362</v>
      </c>
      <c r="F31" s="70"/>
      <c r="G31" s="70"/>
    </row>
    <row r="32" spans="1:7" ht="22.5">
      <c r="A32" s="318" t="s">
        <v>517</v>
      </c>
      <c r="B32" s="34">
        <v>241</v>
      </c>
      <c r="C32" s="34">
        <v>185</v>
      </c>
      <c r="D32" s="314">
        <f t="shared" si="0"/>
        <v>76.76348547717843</v>
      </c>
      <c r="E32" s="34">
        <v>28</v>
      </c>
      <c r="F32" s="70"/>
      <c r="G32" s="70"/>
    </row>
    <row r="33" spans="1:7" ht="12.75">
      <c r="A33" s="44" t="s">
        <v>518</v>
      </c>
      <c r="B33" s="34">
        <v>974</v>
      </c>
      <c r="C33" s="34">
        <v>759</v>
      </c>
      <c r="D33" s="314">
        <f t="shared" si="0"/>
        <v>77.92607802874744</v>
      </c>
      <c r="E33" s="34">
        <v>152</v>
      </c>
      <c r="F33" s="70"/>
      <c r="G33" s="70"/>
    </row>
    <row r="34" spans="1:7" ht="12.75">
      <c r="A34" s="320" t="s">
        <v>519</v>
      </c>
      <c r="B34" s="34">
        <v>92727</v>
      </c>
      <c r="C34" s="34">
        <v>69817</v>
      </c>
      <c r="D34" s="314">
        <f t="shared" si="0"/>
        <v>75.29306458744487</v>
      </c>
      <c r="E34" s="34">
        <v>6645</v>
      </c>
      <c r="F34" s="70"/>
      <c r="G34" s="70"/>
    </row>
    <row r="35" spans="1:7" ht="12.75">
      <c r="A35" s="44" t="s">
        <v>520</v>
      </c>
      <c r="B35" s="34">
        <v>93</v>
      </c>
      <c r="C35" s="34">
        <v>56</v>
      </c>
      <c r="D35" s="314">
        <f t="shared" si="0"/>
        <v>60.215053763440864</v>
      </c>
      <c r="E35" s="34">
        <v>-1</v>
      </c>
      <c r="F35" s="70"/>
      <c r="G35" s="70"/>
    </row>
    <row r="36" spans="1:5" ht="12">
      <c r="A36" s="44" t="s">
        <v>521</v>
      </c>
      <c r="B36" s="34">
        <v>34</v>
      </c>
      <c r="C36" s="34">
        <v>43</v>
      </c>
      <c r="D36" s="314">
        <f t="shared" si="0"/>
        <v>126.47058823529412</v>
      </c>
      <c r="E36" s="34">
        <v>-1</v>
      </c>
    </row>
    <row r="37" spans="1:5" ht="12">
      <c r="A37" s="44" t="s">
        <v>522</v>
      </c>
      <c r="B37" s="34">
        <v>92634</v>
      </c>
      <c r="C37" s="34">
        <v>69761</v>
      </c>
      <c r="D37" s="314">
        <f t="shared" si="0"/>
        <v>75.3082021719887</v>
      </c>
      <c r="E37" s="34">
        <v>6646</v>
      </c>
    </row>
    <row r="38" spans="1:5" ht="22.5">
      <c r="A38" s="321" t="s">
        <v>523</v>
      </c>
      <c r="B38" s="34">
        <v>30150</v>
      </c>
      <c r="C38" s="34">
        <v>22622</v>
      </c>
      <c r="D38" s="314">
        <f t="shared" si="0"/>
        <v>75.03150912106136</v>
      </c>
      <c r="E38" s="34">
        <v>2508</v>
      </c>
    </row>
    <row r="39" spans="1:5" ht="12">
      <c r="A39" s="44" t="s">
        <v>520</v>
      </c>
      <c r="B39" s="34">
        <v>30150</v>
      </c>
      <c r="C39" s="34">
        <v>22622</v>
      </c>
      <c r="D39" s="314">
        <f t="shared" si="0"/>
        <v>75.03150912106136</v>
      </c>
      <c r="E39" s="34">
        <v>2508</v>
      </c>
    </row>
    <row r="40" spans="1:5" ht="12">
      <c r="A40" s="44" t="s">
        <v>524</v>
      </c>
      <c r="B40" s="34">
        <v>0</v>
      </c>
      <c r="C40" s="34">
        <v>0</v>
      </c>
      <c r="D40" s="314"/>
      <c r="E40" s="34">
        <v>0</v>
      </c>
    </row>
    <row r="41" spans="1:5" ht="22.5">
      <c r="A41" s="318" t="s">
        <v>525</v>
      </c>
      <c r="B41" s="34">
        <v>0</v>
      </c>
      <c r="C41" s="34">
        <v>0</v>
      </c>
      <c r="D41" s="314"/>
      <c r="E41" s="34">
        <v>0</v>
      </c>
    </row>
    <row r="42" spans="1:5" ht="12">
      <c r="A42" s="320" t="s">
        <v>526</v>
      </c>
      <c r="B42" s="34">
        <v>782</v>
      </c>
      <c r="C42" s="34">
        <v>826</v>
      </c>
      <c r="D42" s="314">
        <f>C42/B42*100</f>
        <v>105.62659846547315</v>
      </c>
      <c r="E42" s="34">
        <v>156</v>
      </c>
    </row>
    <row r="43" spans="1:5" ht="12">
      <c r="A43" s="322" t="s">
        <v>527</v>
      </c>
      <c r="B43" s="99"/>
      <c r="C43" s="99"/>
      <c r="D43" s="323"/>
      <c r="E43" s="324"/>
    </row>
    <row r="44" spans="1:5" ht="12.75">
      <c r="A44" s="322" t="s">
        <v>528</v>
      </c>
      <c r="B44" s="325"/>
      <c r="C44" s="325"/>
      <c r="D44" s="325"/>
      <c r="E44" s="324"/>
    </row>
    <row r="45" spans="1:5" ht="12.75">
      <c r="A45" s="322"/>
      <c r="B45" s="325"/>
      <c r="C45" s="325"/>
      <c r="D45" s="325"/>
      <c r="E45" s="324"/>
    </row>
    <row r="46" spans="1:5" ht="12.75">
      <c r="A46" s="322"/>
      <c r="B46" s="325"/>
      <c r="C46" s="325"/>
      <c r="D46" s="325"/>
      <c r="E46" s="324"/>
    </row>
    <row r="47" spans="1:4" s="323" customFormat="1" ht="12">
      <c r="A47" s="326"/>
      <c r="B47" s="324"/>
      <c r="C47" s="99"/>
      <c r="D47" s="99"/>
    </row>
    <row r="48" spans="1:5" s="8" customFormat="1" ht="15.75" customHeight="1">
      <c r="A48" s="327" t="s">
        <v>529</v>
      </c>
      <c r="B48" s="327"/>
      <c r="C48" s="328"/>
      <c r="D48" s="328"/>
      <c r="E48" s="300" t="s">
        <v>488</v>
      </c>
    </row>
    <row r="49" spans="1:4" ht="12.75">
      <c r="A49" s="325"/>
      <c r="B49" s="323"/>
      <c r="C49" s="323"/>
      <c r="D49" s="323"/>
    </row>
    <row r="50" spans="1:4" s="323" customFormat="1" ht="13.5" customHeight="1">
      <c r="A50" s="329"/>
      <c r="C50" s="330"/>
      <c r="D50" s="294"/>
    </row>
    <row r="51" spans="1:4" ht="12.75">
      <c r="A51" s="325"/>
      <c r="B51" s="323"/>
      <c r="C51" s="323"/>
      <c r="D51" s="323"/>
    </row>
    <row r="52" spans="1:4" s="323" customFormat="1" ht="11.25">
      <c r="A52" s="329"/>
      <c r="C52" s="330"/>
      <c r="D52" s="294"/>
    </row>
    <row r="53" spans="1:4" ht="13.5" customHeight="1">
      <c r="A53" s="325"/>
      <c r="B53" s="323"/>
      <c r="C53" s="323"/>
      <c r="D53" s="323"/>
    </row>
    <row r="54" spans="1:3" ht="12">
      <c r="A54" s="327"/>
      <c r="B54" s="331"/>
      <c r="C54" s="330"/>
    </row>
    <row r="55" spans="1:3" ht="12">
      <c r="A55" s="327"/>
      <c r="B55" s="331"/>
      <c r="C55" s="12"/>
    </row>
    <row r="57" spans="1:3" ht="12">
      <c r="A57" s="309"/>
      <c r="B57" s="331"/>
      <c r="C57" s="8"/>
    </row>
    <row r="58" spans="1:3" ht="12">
      <c r="A58" s="327"/>
      <c r="B58" s="331"/>
      <c r="C58" s="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6" sqref="A6"/>
    </sheetView>
  </sheetViews>
  <sheetFormatPr defaultColWidth="9.140625" defaultRowHeight="12.75"/>
  <cols>
    <col min="1" max="1" width="41.00390625" style="307" customWidth="1"/>
    <col min="2" max="2" width="13.140625" style="355" customWidth="1"/>
    <col min="3" max="5" width="13.140625" style="294" customWidth="1"/>
    <col min="6" max="6" width="11.28125" style="294" customWidth="1"/>
    <col min="7" max="16384" width="9.140625" style="294" customWidth="1"/>
  </cols>
  <sheetData>
    <row r="1" spans="1:6" ht="12.75">
      <c r="A1" s="303" t="s">
        <v>530</v>
      </c>
      <c r="B1" s="303"/>
      <c r="C1" s="3"/>
      <c r="D1" s="3"/>
      <c r="E1" s="3" t="s">
        <v>531</v>
      </c>
      <c r="F1" s="325" t="s">
        <v>532</v>
      </c>
    </row>
    <row r="2" spans="1:6" ht="12.75">
      <c r="A2" s="303"/>
      <c r="B2" s="303"/>
      <c r="C2" s="3"/>
      <c r="D2" s="3"/>
      <c r="E2" s="3"/>
      <c r="F2" s="325"/>
    </row>
    <row r="3" spans="1:6" ht="12.75">
      <c r="A3" s="303"/>
      <c r="B3" s="303"/>
      <c r="C3" s="3"/>
      <c r="D3" s="3"/>
      <c r="E3" s="3"/>
      <c r="F3" s="325"/>
    </row>
    <row r="4" spans="1:5" s="12" customFormat="1" ht="11.25">
      <c r="A4" s="332"/>
      <c r="B4" s="332"/>
      <c r="C4" s="109"/>
      <c r="D4" s="109"/>
      <c r="E4" s="109"/>
    </row>
    <row r="5" spans="1:6" ht="15.75">
      <c r="A5" s="304" t="s">
        <v>533</v>
      </c>
      <c r="B5" s="305"/>
      <c r="C5" s="306"/>
      <c r="D5" s="306"/>
      <c r="E5" s="306"/>
      <c r="F5" s="306"/>
    </row>
    <row r="6" spans="1:6" s="1" customFormat="1" ht="15.75">
      <c r="A6" s="304" t="s">
        <v>534</v>
      </c>
      <c r="B6" s="305"/>
      <c r="C6" s="306"/>
      <c r="D6" s="306"/>
      <c r="E6" s="306"/>
      <c r="F6" s="306"/>
    </row>
    <row r="7" spans="1:6" s="1" customFormat="1" ht="15">
      <c r="A7" s="307"/>
      <c r="B7" s="333"/>
      <c r="C7" s="308"/>
      <c r="D7" s="308"/>
      <c r="E7" s="308"/>
      <c r="F7" s="294"/>
    </row>
    <row r="8" spans="1:6" ht="11.25">
      <c r="A8" s="309"/>
      <c r="B8" s="334"/>
      <c r="C8" s="12"/>
      <c r="D8" s="109" t="s">
        <v>535</v>
      </c>
      <c r="E8" s="109"/>
      <c r="F8" s="56"/>
    </row>
    <row r="9" spans="1:5" s="12" customFormat="1" ht="43.5" customHeight="1">
      <c r="A9" s="335" t="s">
        <v>7</v>
      </c>
      <c r="B9" s="336" t="s">
        <v>444</v>
      </c>
      <c r="C9" s="336" t="s">
        <v>71</v>
      </c>
      <c r="D9" s="336" t="s">
        <v>496</v>
      </c>
      <c r="E9" s="337" t="s">
        <v>293</v>
      </c>
    </row>
    <row r="10" spans="1:5" ht="11.25">
      <c r="A10" s="338" t="s">
        <v>497</v>
      </c>
      <c r="B10" s="312" t="s">
        <v>536</v>
      </c>
      <c r="C10" s="312" t="s">
        <v>537</v>
      </c>
      <c r="D10" s="312" t="s">
        <v>538</v>
      </c>
      <c r="E10" s="339" t="s">
        <v>539</v>
      </c>
    </row>
    <row r="11" spans="1:5" ht="12.75">
      <c r="A11" s="340" t="s">
        <v>540</v>
      </c>
      <c r="B11" s="34">
        <v>387001</v>
      </c>
      <c r="C11" s="34">
        <v>293249</v>
      </c>
      <c r="D11" s="314">
        <f aca="true" t="shared" si="0" ref="D11:D36">C11/B11*100</f>
        <v>75.77473960015607</v>
      </c>
      <c r="E11" s="341">
        <v>34248</v>
      </c>
    </row>
    <row r="12" spans="1:5" s="70" customFormat="1" ht="12.75">
      <c r="A12" s="342" t="s">
        <v>541</v>
      </c>
      <c r="B12" s="34">
        <v>356448</v>
      </c>
      <c r="C12" s="34">
        <v>271267</v>
      </c>
      <c r="D12" s="314">
        <f t="shared" si="0"/>
        <v>76.10282565759942</v>
      </c>
      <c r="E12" s="341">
        <v>31677</v>
      </c>
    </row>
    <row r="13" spans="1:5" s="8" customFormat="1" ht="12">
      <c r="A13" s="343" t="s">
        <v>542</v>
      </c>
      <c r="B13" s="34">
        <v>46223</v>
      </c>
      <c r="C13" s="34">
        <v>32385</v>
      </c>
      <c r="D13" s="314">
        <f t="shared" si="0"/>
        <v>70.06252298639205</v>
      </c>
      <c r="E13" s="341">
        <v>3187</v>
      </c>
    </row>
    <row r="14" spans="1:5" s="8" customFormat="1" ht="12">
      <c r="A14" s="343" t="s">
        <v>76</v>
      </c>
      <c r="B14" s="34">
        <v>185</v>
      </c>
      <c r="C14" s="34">
        <v>124</v>
      </c>
      <c r="D14" s="314">
        <f t="shared" si="0"/>
        <v>67.02702702702703</v>
      </c>
      <c r="E14" s="341">
        <v>18</v>
      </c>
    </row>
    <row r="15" spans="1:5" s="8" customFormat="1" ht="12">
      <c r="A15" s="343" t="s">
        <v>77</v>
      </c>
      <c r="B15" s="34">
        <v>6087</v>
      </c>
      <c r="C15" s="34">
        <v>4357</v>
      </c>
      <c r="D15" s="314">
        <f t="shared" si="0"/>
        <v>71.57877443732545</v>
      </c>
      <c r="E15" s="341">
        <v>470</v>
      </c>
    </row>
    <row r="16" spans="1:9" s="8" customFormat="1" ht="12">
      <c r="A16" s="343" t="s">
        <v>103</v>
      </c>
      <c r="B16" s="34">
        <v>180304</v>
      </c>
      <c r="C16" s="34">
        <v>132495</v>
      </c>
      <c r="D16" s="314">
        <f t="shared" si="0"/>
        <v>73.48422663945337</v>
      </c>
      <c r="E16" s="341">
        <v>14416</v>
      </c>
      <c r="I16" s="8" t="s">
        <v>532</v>
      </c>
    </row>
    <row r="17" spans="1:5" s="8" customFormat="1" ht="12">
      <c r="A17" s="343" t="s">
        <v>80</v>
      </c>
      <c r="B17" s="34">
        <v>4410</v>
      </c>
      <c r="C17" s="34">
        <v>5362</v>
      </c>
      <c r="D17" s="314">
        <f t="shared" si="0"/>
        <v>121.58730158730158</v>
      </c>
      <c r="E17" s="341">
        <v>528</v>
      </c>
    </row>
    <row r="18" spans="1:5" s="8" customFormat="1" ht="12">
      <c r="A18" s="343" t="s">
        <v>81</v>
      </c>
      <c r="B18" s="34">
        <v>32731</v>
      </c>
      <c r="C18" s="34">
        <v>23276</v>
      </c>
      <c r="D18" s="314">
        <f t="shared" si="0"/>
        <v>71.11301212917418</v>
      </c>
      <c r="E18" s="341">
        <v>2678</v>
      </c>
    </row>
    <row r="19" spans="1:5" s="8" customFormat="1" ht="12">
      <c r="A19" s="343" t="s">
        <v>82</v>
      </c>
      <c r="B19" s="34">
        <v>47832</v>
      </c>
      <c r="C19" s="34">
        <v>43632</v>
      </c>
      <c r="D19" s="314">
        <f t="shared" si="0"/>
        <v>91.21926743602609</v>
      </c>
      <c r="E19" s="341">
        <v>6745</v>
      </c>
    </row>
    <row r="20" spans="1:5" s="8" customFormat="1" ht="12">
      <c r="A20" s="343" t="s">
        <v>543</v>
      </c>
      <c r="B20" s="34">
        <v>21221</v>
      </c>
      <c r="C20" s="34">
        <v>16369</v>
      </c>
      <c r="D20" s="314">
        <f t="shared" si="0"/>
        <v>77.13585599170632</v>
      </c>
      <c r="E20" s="341">
        <v>1643</v>
      </c>
    </row>
    <row r="21" spans="1:5" s="8" customFormat="1" ht="12">
      <c r="A21" s="343" t="s">
        <v>84</v>
      </c>
      <c r="B21" s="34">
        <v>3064</v>
      </c>
      <c r="C21" s="34">
        <v>1658</v>
      </c>
      <c r="D21" s="314">
        <f t="shared" si="0"/>
        <v>54.11227154046997</v>
      </c>
      <c r="E21" s="341">
        <v>343</v>
      </c>
    </row>
    <row r="22" spans="1:5" s="8" customFormat="1" ht="12">
      <c r="A22" s="343" t="s">
        <v>544</v>
      </c>
      <c r="B22" s="34">
        <v>386</v>
      </c>
      <c r="C22" s="34">
        <v>271</v>
      </c>
      <c r="D22" s="314">
        <f t="shared" si="0"/>
        <v>70.20725388601036</v>
      </c>
      <c r="E22" s="341">
        <v>40</v>
      </c>
    </row>
    <row r="23" spans="1:5" s="8" customFormat="1" ht="22.5">
      <c r="A23" s="343" t="s">
        <v>86</v>
      </c>
      <c r="B23" s="34">
        <v>396</v>
      </c>
      <c r="C23" s="34">
        <v>327</v>
      </c>
      <c r="D23" s="314">
        <f t="shared" si="0"/>
        <v>82.57575757575758</v>
      </c>
      <c r="E23" s="341">
        <v>65</v>
      </c>
    </row>
    <row r="24" spans="1:5" s="8" customFormat="1" ht="12">
      <c r="A24" s="343" t="s">
        <v>545</v>
      </c>
      <c r="B24" s="34">
        <v>6938</v>
      </c>
      <c r="C24" s="34">
        <v>7526</v>
      </c>
      <c r="D24" s="314">
        <f t="shared" si="0"/>
        <v>108.47506486019026</v>
      </c>
      <c r="E24" s="341">
        <v>973</v>
      </c>
    </row>
    <row r="25" spans="1:5" s="8" customFormat="1" ht="12">
      <c r="A25" s="343" t="s">
        <v>88</v>
      </c>
      <c r="B25" s="34">
        <v>865</v>
      </c>
      <c r="C25" s="34">
        <v>636</v>
      </c>
      <c r="D25" s="314">
        <f t="shared" si="0"/>
        <v>73.52601156069363</v>
      </c>
      <c r="E25" s="341">
        <v>125</v>
      </c>
    </row>
    <row r="26" spans="1:5" s="8" customFormat="1" ht="12">
      <c r="A26" s="343" t="s">
        <v>546</v>
      </c>
      <c r="B26" s="34">
        <v>2105</v>
      </c>
      <c r="C26" s="34">
        <v>1343</v>
      </c>
      <c r="D26" s="314">
        <f t="shared" si="0"/>
        <v>63.80047505938242</v>
      </c>
      <c r="E26" s="341">
        <v>91</v>
      </c>
    </row>
    <row r="27" spans="1:5" s="8" customFormat="1" ht="12">
      <c r="A27" s="343" t="s">
        <v>547</v>
      </c>
      <c r="B27" s="34">
        <v>205</v>
      </c>
      <c r="C27" s="34">
        <v>197</v>
      </c>
      <c r="D27" s="314">
        <f t="shared" si="0"/>
        <v>96.09756097560975</v>
      </c>
      <c r="E27" s="341">
        <v>-1</v>
      </c>
    </row>
    <row r="28" spans="1:5" s="8" customFormat="1" ht="12">
      <c r="A28" s="343" t="s">
        <v>548</v>
      </c>
      <c r="B28" s="34">
        <v>1305</v>
      </c>
      <c r="C28" s="34">
        <v>12</v>
      </c>
      <c r="D28" s="314">
        <f t="shared" si="0"/>
        <v>0.9195402298850575</v>
      </c>
      <c r="E28" s="341">
        <v>9</v>
      </c>
    </row>
    <row r="29" spans="1:5" s="8" customFormat="1" ht="12">
      <c r="A29" s="343" t="s">
        <v>549</v>
      </c>
      <c r="B29" s="34">
        <v>2191</v>
      </c>
      <c r="C29" s="34">
        <v>1297</v>
      </c>
      <c r="D29" s="314">
        <f t="shared" si="0"/>
        <v>59.196713829301686</v>
      </c>
      <c r="E29" s="341">
        <v>347</v>
      </c>
    </row>
    <row r="30" spans="1:5" s="8" customFormat="1" ht="12.75" customHeight="1">
      <c r="A30" s="342" t="s">
        <v>550</v>
      </c>
      <c r="B30" s="34">
        <v>30553</v>
      </c>
      <c r="C30" s="34">
        <v>21982</v>
      </c>
      <c r="D30" s="314">
        <f t="shared" si="0"/>
        <v>71.94710830360357</v>
      </c>
      <c r="E30" s="341">
        <v>2571</v>
      </c>
    </row>
    <row r="31" spans="1:5" s="8" customFormat="1" ht="12">
      <c r="A31" s="344" t="s">
        <v>515</v>
      </c>
      <c r="B31" s="34">
        <v>6502</v>
      </c>
      <c r="C31" s="34">
        <v>4127</v>
      </c>
      <c r="D31" s="314">
        <f t="shared" si="0"/>
        <v>63.47277760689018</v>
      </c>
      <c r="E31" s="341">
        <v>522</v>
      </c>
    </row>
    <row r="32" spans="1:5" s="8" customFormat="1" ht="22.5">
      <c r="A32" s="345" t="s">
        <v>551</v>
      </c>
      <c r="B32" s="34">
        <v>5573</v>
      </c>
      <c r="C32" s="34">
        <v>3409</v>
      </c>
      <c r="D32" s="314">
        <f t="shared" si="0"/>
        <v>61.16992643100664</v>
      </c>
      <c r="E32" s="341">
        <v>370</v>
      </c>
    </row>
    <row r="33" spans="1:5" s="8" customFormat="1" ht="22.5">
      <c r="A33" s="345" t="s">
        <v>552</v>
      </c>
      <c r="B33" s="34">
        <v>357</v>
      </c>
      <c r="C33" s="34">
        <v>261</v>
      </c>
      <c r="D33" s="314">
        <f t="shared" si="0"/>
        <v>73.10924369747899</v>
      </c>
      <c r="E33" s="341">
        <v>54</v>
      </c>
    </row>
    <row r="34" spans="1:5" s="8" customFormat="1" ht="12">
      <c r="A34" s="345" t="s">
        <v>518</v>
      </c>
      <c r="B34" s="34">
        <v>572</v>
      </c>
      <c r="C34" s="34">
        <v>457</v>
      </c>
      <c r="D34" s="314">
        <f t="shared" si="0"/>
        <v>79.8951048951049</v>
      </c>
      <c r="E34" s="341">
        <v>98</v>
      </c>
    </row>
    <row r="35" spans="1:5" s="8" customFormat="1" ht="22.5">
      <c r="A35" s="344" t="s">
        <v>553</v>
      </c>
      <c r="B35" s="34">
        <v>24051</v>
      </c>
      <c r="C35" s="34">
        <v>17854</v>
      </c>
      <c r="D35" s="314">
        <f t="shared" si="0"/>
        <v>74.23391958754314</v>
      </c>
      <c r="E35" s="341">
        <v>2049</v>
      </c>
    </row>
    <row r="36" spans="1:5" s="8" customFormat="1" ht="12">
      <c r="A36" s="345" t="s">
        <v>554</v>
      </c>
      <c r="B36" s="34">
        <v>24051</v>
      </c>
      <c r="C36" s="34">
        <v>17854</v>
      </c>
      <c r="D36" s="314">
        <f t="shared" si="0"/>
        <v>74.23391958754314</v>
      </c>
      <c r="E36" s="341">
        <v>2049</v>
      </c>
    </row>
    <row r="37" spans="1:5" s="77" customFormat="1" ht="12">
      <c r="A37" s="346" t="s">
        <v>555</v>
      </c>
      <c r="B37" s="347">
        <v>0</v>
      </c>
      <c r="C37" s="347">
        <v>0</v>
      </c>
      <c r="D37" s="347">
        <v>0</v>
      </c>
      <c r="E37" s="348">
        <v>0</v>
      </c>
    </row>
    <row r="38" spans="1:8" s="8" customFormat="1" ht="12">
      <c r="A38" s="12" t="s">
        <v>556</v>
      </c>
      <c r="C38" s="8">
        <v>0</v>
      </c>
      <c r="D38" s="8">
        <v>0</v>
      </c>
      <c r="E38" s="294"/>
      <c r="F38" s="294"/>
      <c r="G38" s="294"/>
      <c r="H38" s="294"/>
    </row>
    <row r="39" spans="1:8" s="8" customFormat="1" ht="12">
      <c r="A39" s="349"/>
      <c r="B39" s="350"/>
      <c r="C39" s="351"/>
      <c r="D39" s="351"/>
      <c r="E39" s="294"/>
      <c r="F39" s="294"/>
      <c r="G39" s="294"/>
      <c r="H39" s="294"/>
    </row>
    <row r="40" spans="1:8" s="8" customFormat="1" ht="12">
      <c r="A40" s="349"/>
      <c r="B40" s="350"/>
      <c r="C40" s="351"/>
      <c r="D40" s="351"/>
      <c r="E40" s="294"/>
      <c r="F40" s="294"/>
      <c r="G40" s="294"/>
      <c r="H40" s="294"/>
    </row>
    <row r="41" spans="1:8" s="8" customFormat="1" ht="12">
      <c r="A41" s="327"/>
      <c r="B41" s="352"/>
      <c r="E41" s="294"/>
      <c r="F41" s="294"/>
      <c r="G41" s="294"/>
      <c r="H41" s="294"/>
    </row>
    <row r="42" spans="1:8" s="8" customFormat="1" ht="12">
      <c r="A42" s="327" t="s">
        <v>529</v>
      </c>
      <c r="B42" s="327"/>
      <c r="C42" s="353"/>
      <c r="D42" s="353"/>
      <c r="E42" s="354" t="s">
        <v>488</v>
      </c>
      <c r="F42" s="294"/>
      <c r="G42" s="294"/>
      <c r="H42" s="294"/>
    </row>
    <row r="43" spans="1:8" s="8" customFormat="1" ht="12">
      <c r="A43" s="327"/>
      <c r="B43" s="327"/>
      <c r="C43" s="65"/>
      <c r="D43" s="65"/>
      <c r="E43" s="294"/>
      <c r="F43" s="294"/>
      <c r="G43" s="294"/>
      <c r="H43" s="294"/>
    </row>
    <row r="44" spans="1:8" s="8" customFormat="1" ht="12">
      <c r="A44" s="327"/>
      <c r="B44" s="352"/>
      <c r="E44" s="294"/>
      <c r="F44" s="294"/>
      <c r="G44" s="294"/>
      <c r="H44" s="294"/>
    </row>
    <row r="45" spans="1:8" s="8" customFormat="1" ht="12">
      <c r="A45" s="327"/>
      <c r="B45" s="327"/>
      <c r="C45" s="65"/>
      <c r="D45" s="65"/>
      <c r="E45" s="294"/>
      <c r="F45" s="294"/>
      <c r="G45" s="294"/>
      <c r="H45" s="294"/>
    </row>
    <row r="46" spans="1:8" s="8" customFormat="1" ht="12">
      <c r="A46" s="327"/>
      <c r="B46" s="327"/>
      <c r="C46" s="65"/>
      <c r="E46" s="294"/>
      <c r="F46" s="294"/>
      <c r="G46" s="294"/>
      <c r="H46" s="294"/>
    </row>
    <row r="47" spans="1:4" ht="12">
      <c r="A47" s="327"/>
      <c r="B47" s="307"/>
      <c r="C47" s="331"/>
      <c r="D47" s="65"/>
    </row>
    <row r="65" spans="5:8" ht="11.25">
      <c r="E65" s="294">
        <v>0</v>
      </c>
      <c r="F65" s="294">
        <v>0</v>
      </c>
      <c r="G65" s="294">
        <v>0</v>
      </c>
      <c r="H65" s="294"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6" sqref="A6"/>
    </sheetView>
  </sheetViews>
  <sheetFormatPr defaultColWidth="9.140625" defaultRowHeight="12.75"/>
  <cols>
    <col min="1" max="1" width="40.57421875" style="307" customWidth="1"/>
    <col min="2" max="5" width="12.28125" style="294" customWidth="1"/>
    <col min="6" max="16384" width="9.140625" style="294" customWidth="1"/>
  </cols>
  <sheetData>
    <row r="1" spans="1:5" s="12" customFormat="1" ht="12.75">
      <c r="A1" s="303" t="s">
        <v>557</v>
      </c>
      <c r="B1" s="3"/>
      <c r="C1" s="3"/>
      <c r="D1" s="3"/>
      <c r="E1" s="3" t="s">
        <v>558</v>
      </c>
    </row>
    <row r="2" spans="1:6" s="70" customFormat="1" ht="12.75">
      <c r="A2" s="303"/>
      <c r="B2" s="3"/>
      <c r="C2" s="3"/>
      <c r="D2" s="3"/>
      <c r="E2" s="356"/>
      <c r="F2" s="325"/>
    </row>
    <row r="3" spans="1:5" s="12" customFormat="1" ht="11.25">
      <c r="A3" s="309"/>
      <c r="D3" s="109"/>
      <c r="E3" s="109"/>
    </row>
    <row r="4" spans="1:5" s="1" customFormat="1" ht="15.75">
      <c r="A4" s="304" t="s">
        <v>559</v>
      </c>
      <c r="B4" s="306"/>
      <c r="C4" s="306"/>
      <c r="D4" s="306"/>
      <c r="E4" s="306"/>
    </row>
    <row r="5" spans="1:5" s="1" customFormat="1" ht="15.75">
      <c r="A5" s="304" t="s">
        <v>534</v>
      </c>
      <c r="B5" s="306"/>
      <c r="C5" s="306"/>
      <c r="D5" s="306"/>
      <c r="E5" s="306"/>
    </row>
    <row r="6" spans="1:4" ht="15">
      <c r="A6" s="357"/>
      <c r="B6" s="308"/>
      <c r="C6" s="308"/>
      <c r="D6" s="308"/>
    </row>
    <row r="7" spans="1:4" ht="15">
      <c r="A7" s="357"/>
      <c r="B7" s="308"/>
      <c r="C7" s="308"/>
      <c r="D7" s="308"/>
    </row>
    <row r="8" spans="1:5" s="12" customFormat="1" ht="11.25" customHeight="1">
      <c r="A8" s="309"/>
      <c r="C8" s="109" t="s">
        <v>560</v>
      </c>
      <c r="D8" s="109"/>
      <c r="E8" s="109"/>
    </row>
    <row r="9" spans="1:5" s="12" customFormat="1" ht="33.75" customHeight="1">
      <c r="A9" s="335" t="s">
        <v>7</v>
      </c>
      <c r="B9" s="336" t="s">
        <v>444</v>
      </c>
      <c r="C9" s="336" t="s">
        <v>71</v>
      </c>
      <c r="D9" s="336" t="s">
        <v>496</v>
      </c>
      <c r="E9" s="337" t="s">
        <v>293</v>
      </c>
    </row>
    <row r="10" spans="1:5" s="70" customFormat="1" ht="12.75" customHeight="1">
      <c r="A10" s="338" t="s">
        <v>497</v>
      </c>
      <c r="B10" s="312" t="s">
        <v>536</v>
      </c>
      <c r="C10" s="312" t="s">
        <v>537</v>
      </c>
      <c r="D10" s="312" t="s">
        <v>538</v>
      </c>
      <c r="E10" s="339" t="s">
        <v>539</v>
      </c>
    </row>
    <row r="11" spans="1:5" s="70" customFormat="1" ht="12.75" customHeight="1">
      <c r="A11" s="340" t="s">
        <v>261</v>
      </c>
      <c r="B11" s="34">
        <v>387889</v>
      </c>
      <c r="C11" s="34">
        <v>293941</v>
      </c>
      <c r="D11" s="314">
        <f aca="true" t="shared" si="0" ref="D11:D40">C11/B11*100</f>
        <v>75.77966892590406</v>
      </c>
      <c r="E11" s="341">
        <v>31081</v>
      </c>
    </row>
    <row r="12" spans="1:5" s="70" customFormat="1" ht="12.75">
      <c r="A12" s="340" t="s">
        <v>561</v>
      </c>
      <c r="B12" s="34">
        <f>SUM(B13+B32)</f>
        <v>387149</v>
      </c>
      <c r="C12" s="34">
        <f>SUM(C13+C32)</f>
        <v>292382</v>
      </c>
      <c r="D12" s="314">
        <f t="shared" si="0"/>
        <v>75.52182751343798</v>
      </c>
      <c r="E12" s="34">
        <f>SUM(E13+E32)</f>
        <v>34169</v>
      </c>
    </row>
    <row r="13" spans="1:5" s="323" customFormat="1" ht="11.25" customHeight="1">
      <c r="A13" s="342" t="s">
        <v>264</v>
      </c>
      <c r="B13" s="34">
        <v>352359</v>
      </c>
      <c r="C13" s="34">
        <v>249638</v>
      </c>
      <c r="D13" s="314">
        <f t="shared" si="0"/>
        <v>70.84762983207467</v>
      </c>
      <c r="E13" s="341">
        <v>26503</v>
      </c>
    </row>
    <row r="14" spans="1:5" s="323" customFormat="1" ht="11.25" customHeight="1">
      <c r="A14" s="358" t="s">
        <v>120</v>
      </c>
      <c r="B14" s="34">
        <v>289016</v>
      </c>
      <c r="C14" s="34">
        <v>204950</v>
      </c>
      <c r="D14" s="314">
        <f t="shared" si="0"/>
        <v>70.91302903645473</v>
      </c>
      <c r="E14" s="341">
        <v>21595</v>
      </c>
    </row>
    <row r="15" spans="1:5" s="323" customFormat="1" ht="11.25" customHeight="1" hidden="1">
      <c r="A15" s="345" t="s">
        <v>562</v>
      </c>
      <c r="B15" s="34">
        <v>5460</v>
      </c>
      <c r="C15" s="34">
        <v>3513</v>
      </c>
      <c r="D15" s="314">
        <f t="shared" si="0"/>
        <v>64.34065934065934</v>
      </c>
      <c r="E15" s="341">
        <v>72</v>
      </c>
    </row>
    <row r="16" spans="1:5" ht="12">
      <c r="A16" s="345" t="s">
        <v>563</v>
      </c>
      <c r="B16" s="34">
        <v>139393</v>
      </c>
      <c r="C16" s="34">
        <v>99684</v>
      </c>
      <c r="D16" s="314">
        <f t="shared" si="0"/>
        <v>71.51291671748223</v>
      </c>
      <c r="E16" s="341">
        <v>10176</v>
      </c>
    </row>
    <row r="17" spans="1:5" ht="12">
      <c r="A17" s="345" t="s">
        <v>564</v>
      </c>
      <c r="B17" s="34">
        <v>39297</v>
      </c>
      <c r="C17" s="34">
        <v>27557</v>
      </c>
      <c r="D17" s="314">
        <f t="shared" si="0"/>
        <v>70.1249459246253</v>
      </c>
      <c r="E17" s="341">
        <v>3100</v>
      </c>
    </row>
    <row r="18" spans="1:5" ht="12" hidden="1">
      <c r="A18" s="345" t="s">
        <v>565</v>
      </c>
      <c r="B18" s="34">
        <v>1258</v>
      </c>
      <c r="C18" s="34">
        <v>876</v>
      </c>
      <c r="D18" s="314">
        <f t="shared" si="0"/>
        <v>69.63434022257552</v>
      </c>
      <c r="E18" s="341">
        <v>81</v>
      </c>
    </row>
    <row r="19" spans="1:5" ht="12" hidden="1">
      <c r="A19" s="345" t="s">
        <v>566</v>
      </c>
      <c r="B19" s="34">
        <v>46807</v>
      </c>
      <c r="C19" s="34">
        <v>33740</v>
      </c>
      <c r="D19" s="314">
        <f t="shared" si="0"/>
        <v>72.08323541350653</v>
      </c>
      <c r="E19" s="341">
        <v>4502</v>
      </c>
    </row>
    <row r="20" spans="1:5" ht="12" hidden="1">
      <c r="A20" s="345" t="s">
        <v>567</v>
      </c>
      <c r="B20" s="34">
        <v>54611</v>
      </c>
      <c r="C20" s="34">
        <v>38357</v>
      </c>
      <c r="D20" s="314">
        <f t="shared" si="0"/>
        <v>70.23676548680669</v>
      </c>
      <c r="E20" s="341">
        <v>3461</v>
      </c>
    </row>
    <row r="21" spans="1:5" ht="12" hidden="1">
      <c r="A21" s="345" t="s">
        <v>568</v>
      </c>
      <c r="B21" s="34">
        <v>2190</v>
      </c>
      <c r="C21" s="34">
        <v>1223</v>
      </c>
      <c r="D21" s="314">
        <f t="shared" si="0"/>
        <v>55.84474885844749</v>
      </c>
      <c r="E21" s="341">
        <v>203</v>
      </c>
    </row>
    <row r="22" spans="1:5" ht="12">
      <c r="A22" s="345" t="s">
        <v>569</v>
      </c>
      <c r="B22" s="34">
        <f>SUM(B15,B18,B19,B20,B21)</f>
        <v>110326</v>
      </c>
      <c r="C22" s="34">
        <f>SUM(C15,C18,C19,C20,C21)</f>
        <v>77709</v>
      </c>
      <c r="D22" s="314">
        <f t="shared" si="0"/>
        <v>70.4357993582655</v>
      </c>
      <c r="E22" s="341">
        <v>8319</v>
      </c>
    </row>
    <row r="23" spans="1:5" ht="12">
      <c r="A23" s="359" t="s">
        <v>570</v>
      </c>
      <c r="B23" s="34">
        <f>SUM(B19,B20)</f>
        <v>101418</v>
      </c>
      <c r="C23" s="34">
        <f>SUM(C19,C20)</f>
        <v>72097</v>
      </c>
      <c r="D23" s="314">
        <f t="shared" si="0"/>
        <v>71.08895856751268</v>
      </c>
      <c r="E23" s="341">
        <v>7963</v>
      </c>
    </row>
    <row r="24" spans="1:5" ht="12">
      <c r="A24" s="359" t="s">
        <v>571</v>
      </c>
      <c r="B24" s="34">
        <f>SUM(B15,B18,B21)</f>
        <v>8908</v>
      </c>
      <c r="C24" s="34">
        <f>SUM(C15,C18,C21)</f>
        <v>5612</v>
      </c>
      <c r="D24" s="314">
        <f t="shared" si="0"/>
        <v>62.99955096542433</v>
      </c>
      <c r="E24" s="341">
        <f>SUM(E15,E18,E21)</f>
        <v>356</v>
      </c>
    </row>
    <row r="25" spans="1:5" ht="12">
      <c r="A25" s="358" t="s">
        <v>572</v>
      </c>
      <c r="B25" s="34">
        <v>2347</v>
      </c>
      <c r="C25" s="34">
        <v>1340</v>
      </c>
      <c r="D25" s="314">
        <f t="shared" si="0"/>
        <v>57.09416276097146</v>
      </c>
      <c r="E25" s="341">
        <v>38</v>
      </c>
    </row>
    <row r="26" spans="1:5" ht="12">
      <c r="A26" s="358" t="s">
        <v>130</v>
      </c>
      <c r="B26" s="34">
        <v>60996</v>
      </c>
      <c r="C26" s="34">
        <v>43348</v>
      </c>
      <c r="D26" s="314">
        <f t="shared" si="0"/>
        <v>71.06695521017772</v>
      </c>
      <c r="E26" s="341">
        <v>4870</v>
      </c>
    </row>
    <row r="27" spans="1:5" ht="12">
      <c r="A27" s="345" t="s">
        <v>573</v>
      </c>
      <c r="B27" s="34">
        <v>679</v>
      </c>
      <c r="C27" s="34">
        <v>451</v>
      </c>
      <c r="D27" s="314">
        <f t="shared" si="0"/>
        <v>66.42120765832105</v>
      </c>
      <c r="E27" s="341">
        <v>53</v>
      </c>
    </row>
    <row r="28" spans="1:5" ht="12">
      <c r="A28" s="345" t="s">
        <v>574</v>
      </c>
      <c r="B28" s="34">
        <v>4331</v>
      </c>
      <c r="C28" s="34">
        <v>3190</v>
      </c>
      <c r="D28" s="314">
        <f t="shared" si="0"/>
        <v>73.65504502424383</v>
      </c>
      <c r="E28" s="341">
        <v>304</v>
      </c>
    </row>
    <row r="29" spans="1:5" ht="12">
      <c r="A29" s="345" t="s">
        <v>575</v>
      </c>
      <c r="B29" s="34">
        <v>24299</v>
      </c>
      <c r="C29" s="34">
        <v>17959</v>
      </c>
      <c r="D29" s="314">
        <f t="shared" si="0"/>
        <v>73.90839129182271</v>
      </c>
      <c r="E29" s="341">
        <v>2121</v>
      </c>
    </row>
    <row r="30" spans="1:5" ht="12">
      <c r="A30" s="345" t="s">
        <v>576</v>
      </c>
      <c r="B30" s="34">
        <v>16454</v>
      </c>
      <c r="C30" s="34">
        <v>11526</v>
      </c>
      <c r="D30" s="314">
        <f t="shared" si="0"/>
        <v>70.04983590616264</v>
      </c>
      <c r="E30" s="341">
        <v>1353</v>
      </c>
    </row>
    <row r="31" spans="1:5" ht="12">
      <c r="A31" s="345" t="s">
        <v>577</v>
      </c>
      <c r="B31" s="34">
        <v>15233</v>
      </c>
      <c r="C31" s="34">
        <v>10222</v>
      </c>
      <c r="D31" s="314">
        <f t="shared" si="0"/>
        <v>67.10431300466094</v>
      </c>
      <c r="E31" s="341">
        <v>1039</v>
      </c>
    </row>
    <row r="32" spans="1:5" s="323" customFormat="1" ht="11.25" customHeight="1">
      <c r="A32" s="342" t="s">
        <v>578</v>
      </c>
      <c r="B32" s="34">
        <v>34790</v>
      </c>
      <c r="C32" s="34">
        <v>42744</v>
      </c>
      <c r="D32" s="314">
        <f t="shared" si="0"/>
        <v>122.86289163552746</v>
      </c>
      <c r="E32" s="341">
        <v>7666</v>
      </c>
    </row>
    <row r="33" spans="1:6" s="323" customFormat="1" ht="11.25" customHeight="1">
      <c r="A33" s="345" t="s">
        <v>137</v>
      </c>
      <c r="B33" s="34">
        <v>19307</v>
      </c>
      <c r="C33" s="34">
        <v>14039</v>
      </c>
      <c r="D33" s="314">
        <f t="shared" si="0"/>
        <v>72.71455948619672</v>
      </c>
      <c r="E33" s="341">
        <v>2768</v>
      </c>
      <c r="F33" s="360"/>
    </row>
    <row r="34" spans="1:5" ht="12" hidden="1">
      <c r="A34" s="345" t="s">
        <v>137</v>
      </c>
      <c r="B34" s="34">
        <v>18921</v>
      </c>
      <c r="C34" s="34">
        <v>13772</v>
      </c>
      <c r="D34" s="314">
        <f t="shared" si="0"/>
        <v>72.78685058929231</v>
      </c>
      <c r="E34" s="341">
        <v>2715</v>
      </c>
    </row>
    <row r="35" spans="1:5" ht="12" hidden="1">
      <c r="A35" s="345" t="s">
        <v>579</v>
      </c>
      <c r="B35" s="34">
        <v>386</v>
      </c>
      <c r="C35" s="34">
        <v>267</v>
      </c>
      <c r="D35" s="314">
        <f t="shared" si="0"/>
        <v>69.17098445595855</v>
      </c>
      <c r="E35" s="341">
        <v>53</v>
      </c>
    </row>
    <row r="36" spans="1:5" ht="12">
      <c r="A36" s="345" t="s">
        <v>138</v>
      </c>
      <c r="B36" s="34">
        <v>15483</v>
      </c>
      <c r="C36" s="34">
        <v>28705</v>
      </c>
      <c r="D36" s="314">
        <f t="shared" si="0"/>
        <v>185.39688690822192</v>
      </c>
      <c r="E36" s="341">
        <v>4898</v>
      </c>
    </row>
    <row r="37" spans="1:5" s="323" customFormat="1" ht="11.25" customHeight="1">
      <c r="A37" s="342" t="s">
        <v>580</v>
      </c>
      <c r="B37" s="34">
        <v>-148</v>
      </c>
      <c r="C37" s="34">
        <v>867</v>
      </c>
      <c r="D37" s="314">
        <f t="shared" si="0"/>
        <v>-585.8108108108108</v>
      </c>
      <c r="E37" s="341">
        <v>79</v>
      </c>
    </row>
    <row r="38" spans="1:5" ht="12.75" customHeight="1">
      <c r="A38" s="345" t="s">
        <v>581</v>
      </c>
      <c r="B38" s="34">
        <v>832</v>
      </c>
      <c r="C38" s="34">
        <v>1310</v>
      </c>
      <c r="D38" s="314">
        <f t="shared" si="0"/>
        <v>157.4519230769231</v>
      </c>
      <c r="E38" s="341">
        <v>136</v>
      </c>
    </row>
    <row r="39" spans="1:5" ht="12.75" customHeight="1">
      <c r="A39" s="346" t="s">
        <v>582</v>
      </c>
      <c r="B39" s="347">
        <v>980</v>
      </c>
      <c r="C39" s="347">
        <v>443</v>
      </c>
      <c r="D39" s="361">
        <f t="shared" si="0"/>
        <v>45.20408163265306</v>
      </c>
      <c r="E39" s="348">
        <v>57</v>
      </c>
    </row>
    <row r="40" spans="1:5" ht="12.75" customHeight="1">
      <c r="A40" s="362" t="s">
        <v>173</v>
      </c>
      <c r="B40" s="347">
        <f>B11-B12-B37</f>
        <v>888</v>
      </c>
      <c r="C40" s="347">
        <f>C11-C12-C37</f>
        <v>692</v>
      </c>
      <c r="D40" s="363">
        <f t="shared" si="0"/>
        <v>77.92792792792793</v>
      </c>
      <c r="E40" s="348">
        <f>E11-E12-E37</f>
        <v>-3167</v>
      </c>
    </row>
    <row r="41" spans="1:5" s="8" customFormat="1" ht="12">
      <c r="A41" s="364"/>
      <c r="B41" s="352"/>
      <c r="C41" s="352"/>
      <c r="D41" s="352"/>
      <c r="E41" s="352"/>
    </row>
    <row r="42" spans="1:5" s="8" customFormat="1" ht="12">
      <c r="A42" s="326"/>
      <c r="B42" s="352"/>
      <c r="C42" s="352"/>
      <c r="D42" s="352"/>
      <c r="E42" s="352"/>
    </row>
    <row r="43" spans="1:6" ht="12">
      <c r="A43" s="352"/>
      <c r="B43" s="352"/>
      <c r="C43" s="352"/>
      <c r="D43" s="352"/>
      <c r="E43" s="352"/>
      <c r="F43" s="331"/>
    </row>
    <row r="44" spans="1:5" s="8" customFormat="1" ht="12">
      <c r="A44" s="327" t="s">
        <v>529</v>
      </c>
      <c r="B44" s="327"/>
      <c r="C44" s="328"/>
      <c r="D44" s="328"/>
      <c r="E44" s="354" t="s">
        <v>488</v>
      </c>
    </row>
    <row r="45" s="8" customFormat="1" ht="12"/>
    <row r="46" spans="1:4" s="8" customFormat="1" ht="12">
      <c r="A46" s="352"/>
      <c r="B46" s="65"/>
      <c r="C46" s="65"/>
      <c r="D46" s="65"/>
    </row>
    <row r="47" spans="1:2" s="8" customFormat="1" ht="12">
      <c r="A47" s="352"/>
      <c r="B47" s="65"/>
    </row>
    <row r="48" spans="1:4" ht="12">
      <c r="A48" s="355"/>
      <c r="B48" s="331"/>
      <c r="D48" s="65"/>
    </row>
    <row r="49" spans="4:6" ht="12">
      <c r="D49" s="331"/>
      <c r="E49" s="65"/>
      <c r="F49" s="33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6" sqref="A6"/>
    </sheetView>
  </sheetViews>
  <sheetFormatPr defaultColWidth="9.140625" defaultRowHeight="12.75"/>
  <cols>
    <col min="1" max="1" width="42.7109375" style="294" customWidth="1"/>
    <col min="2" max="5" width="12.28125" style="294" customWidth="1"/>
    <col min="6" max="16384" width="9.140625" style="294" customWidth="1"/>
  </cols>
  <sheetData>
    <row r="1" spans="1:5" s="12" customFormat="1" ht="12.75">
      <c r="A1" s="3" t="s">
        <v>557</v>
      </c>
      <c r="B1" s="3"/>
      <c r="C1" s="3"/>
      <c r="D1" s="3"/>
      <c r="E1" s="3" t="s">
        <v>583</v>
      </c>
    </row>
    <row r="2" spans="1:5" s="12" customFormat="1" ht="12.75">
      <c r="A2" s="3"/>
      <c r="B2" s="3"/>
      <c r="C2" s="3"/>
      <c r="D2" s="3"/>
      <c r="E2" s="3"/>
    </row>
    <row r="4" spans="1:5" s="1" customFormat="1" ht="15.75">
      <c r="A4" s="304" t="s">
        <v>584</v>
      </c>
      <c r="B4" s="306"/>
      <c r="C4" s="306"/>
      <c r="D4" s="306"/>
      <c r="E4" s="306"/>
    </row>
    <row r="5" spans="1:5" ht="15.75">
      <c r="A5" s="304" t="s">
        <v>534</v>
      </c>
      <c r="B5" s="308"/>
      <c r="C5" s="308"/>
      <c r="D5" s="308"/>
      <c r="E5" s="308"/>
    </row>
    <row r="6" spans="1:5" ht="11.25">
      <c r="A6" s="355"/>
      <c r="B6" s="308"/>
      <c r="C6" s="308"/>
      <c r="D6" s="308"/>
      <c r="E6" s="308"/>
    </row>
    <row r="7" spans="1:5" ht="11.25">
      <c r="A7" s="355"/>
      <c r="B7" s="308"/>
      <c r="C7" s="308"/>
      <c r="D7" s="308"/>
      <c r="E7" s="308"/>
    </row>
    <row r="8" spans="4:5" s="12" customFormat="1" ht="11.25">
      <c r="D8" s="109" t="s">
        <v>585</v>
      </c>
      <c r="E8" s="109"/>
    </row>
    <row r="9" spans="1:5" s="70" customFormat="1" ht="30.75" customHeight="1">
      <c r="A9" s="335" t="s">
        <v>7</v>
      </c>
      <c r="B9" s="336" t="s">
        <v>444</v>
      </c>
      <c r="C9" s="336" t="s">
        <v>71</v>
      </c>
      <c r="D9" s="336" t="s">
        <v>496</v>
      </c>
      <c r="E9" s="337" t="s">
        <v>293</v>
      </c>
    </row>
    <row r="10" spans="1:5" s="8" customFormat="1" ht="11.25" customHeight="1">
      <c r="A10" s="365">
        <v>1</v>
      </c>
      <c r="B10" s="366">
        <v>2</v>
      </c>
      <c r="C10" s="366">
        <v>3</v>
      </c>
      <c r="D10" s="367">
        <v>4</v>
      </c>
      <c r="E10" s="368" t="s">
        <v>539</v>
      </c>
    </row>
    <row r="11" spans="1:5" s="8" customFormat="1" ht="12.75">
      <c r="A11" s="369" t="s">
        <v>586</v>
      </c>
      <c r="B11" s="34">
        <v>42225</v>
      </c>
      <c r="C11" s="34">
        <v>33111</v>
      </c>
      <c r="D11" s="296">
        <f aca="true" t="shared" si="0" ref="D11:D24">C11/B11*100</f>
        <v>78.41563055062167</v>
      </c>
      <c r="E11" s="341">
        <v>5157</v>
      </c>
    </row>
    <row r="12" spans="1:5" ht="25.5">
      <c r="A12" s="369" t="s">
        <v>587</v>
      </c>
      <c r="B12" s="34">
        <v>37021</v>
      </c>
      <c r="C12" s="34">
        <v>28393</v>
      </c>
      <c r="D12" s="296">
        <f t="shared" si="0"/>
        <v>76.69430863563923</v>
      </c>
      <c r="E12" s="341">
        <v>4755</v>
      </c>
    </row>
    <row r="13" spans="1:5" ht="12">
      <c r="A13" s="370" t="s">
        <v>588</v>
      </c>
      <c r="B13" s="34">
        <v>4535</v>
      </c>
      <c r="C13" s="34">
        <v>5041</v>
      </c>
      <c r="D13" s="296">
        <f t="shared" si="0"/>
        <v>111.15766262403528</v>
      </c>
      <c r="E13" s="341">
        <v>1732</v>
      </c>
    </row>
    <row r="14" spans="1:5" ht="12">
      <c r="A14" s="370" t="s">
        <v>589</v>
      </c>
      <c r="B14" s="34">
        <v>2537</v>
      </c>
      <c r="C14" s="34">
        <v>1688</v>
      </c>
      <c r="D14" s="296">
        <f t="shared" si="0"/>
        <v>66.53527788726844</v>
      </c>
      <c r="E14" s="341">
        <v>133</v>
      </c>
    </row>
    <row r="15" spans="1:5" ht="12">
      <c r="A15" s="370" t="s">
        <v>590</v>
      </c>
      <c r="B15" s="34">
        <v>16495</v>
      </c>
      <c r="C15" s="34">
        <v>9800</v>
      </c>
      <c r="D15" s="296">
        <f t="shared" si="0"/>
        <v>59.411943013034254</v>
      </c>
      <c r="E15" s="341">
        <v>1031</v>
      </c>
    </row>
    <row r="16" spans="1:5" ht="12">
      <c r="A16" s="370" t="s">
        <v>591</v>
      </c>
      <c r="B16" s="34">
        <v>13454</v>
      </c>
      <c r="C16" s="34">
        <v>11864</v>
      </c>
      <c r="D16" s="296">
        <f t="shared" si="0"/>
        <v>88.181953322432</v>
      </c>
      <c r="E16" s="341">
        <v>1859</v>
      </c>
    </row>
    <row r="17" spans="1:5" ht="25.5">
      <c r="A17" s="371" t="s">
        <v>592</v>
      </c>
      <c r="B17" s="34">
        <v>5204</v>
      </c>
      <c r="C17" s="34">
        <v>4718</v>
      </c>
      <c r="D17" s="296">
        <f t="shared" si="0"/>
        <v>90.66102997694081</v>
      </c>
      <c r="E17" s="341">
        <v>402</v>
      </c>
    </row>
    <row r="18" spans="1:7" s="8" customFormat="1" ht="12.75">
      <c r="A18" s="369" t="s">
        <v>593</v>
      </c>
      <c r="B18" s="34">
        <v>50388</v>
      </c>
      <c r="C18" s="34">
        <v>35300</v>
      </c>
      <c r="D18" s="296">
        <f t="shared" si="0"/>
        <v>70.05636262602208</v>
      </c>
      <c r="E18" s="341">
        <v>6125</v>
      </c>
      <c r="F18" s="294"/>
      <c r="G18" s="294"/>
    </row>
    <row r="19" spans="1:5" ht="25.5">
      <c r="A19" s="371" t="s">
        <v>594</v>
      </c>
      <c r="B19" s="34">
        <v>44578</v>
      </c>
      <c r="C19" s="34">
        <v>30899</v>
      </c>
      <c r="D19" s="296">
        <f t="shared" si="0"/>
        <v>69.31446004755709</v>
      </c>
      <c r="E19" s="341">
        <v>5110</v>
      </c>
    </row>
    <row r="20" spans="1:5" ht="12">
      <c r="A20" s="370" t="s">
        <v>588</v>
      </c>
      <c r="B20" s="34">
        <v>6792</v>
      </c>
      <c r="C20" s="34">
        <v>4495</v>
      </c>
      <c r="D20" s="296">
        <f t="shared" si="0"/>
        <v>66.18080094228505</v>
      </c>
      <c r="E20" s="341">
        <v>1658</v>
      </c>
    </row>
    <row r="21" spans="1:5" ht="12">
      <c r="A21" s="370" t="s">
        <v>589</v>
      </c>
      <c r="B21" s="34">
        <v>3086</v>
      </c>
      <c r="C21" s="34">
        <v>1778</v>
      </c>
      <c r="D21" s="296">
        <f t="shared" si="0"/>
        <v>57.6150356448477</v>
      </c>
      <c r="E21" s="341">
        <v>188</v>
      </c>
    </row>
    <row r="22" spans="1:5" ht="12">
      <c r="A22" s="370" t="s">
        <v>590</v>
      </c>
      <c r="B22" s="34">
        <v>19860</v>
      </c>
      <c r="C22" s="34">
        <v>11987</v>
      </c>
      <c r="D22" s="296">
        <f t="shared" si="0"/>
        <v>60.35750251762336</v>
      </c>
      <c r="E22" s="341">
        <v>1357</v>
      </c>
    </row>
    <row r="23" spans="1:5" ht="12">
      <c r="A23" s="370" t="s">
        <v>591</v>
      </c>
      <c r="B23" s="34">
        <v>14840</v>
      </c>
      <c r="C23" s="34">
        <v>12639</v>
      </c>
      <c r="D23" s="296">
        <f t="shared" si="0"/>
        <v>85.16846361185983</v>
      </c>
      <c r="E23" s="341">
        <v>1907</v>
      </c>
    </row>
    <row r="24" spans="1:5" ht="25.5">
      <c r="A24" s="372" t="s">
        <v>595</v>
      </c>
      <c r="B24" s="347">
        <v>5810</v>
      </c>
      <c r="C24" s="347">
        <v>4401</v>
      </c>
      <c r="D24" s="373">
        <f t="shared" si="0"/>
        <v>75.7487091222031</v>
      </c>
      <c r="E24" s="348">
        <v>1015</v>
      </c>
    </row>
    <row r="25" ht="11.25">
      <c r="A25" s="12" t="s">
        <v>556</v>
      </c>
    </row>
    <row r="26" spans="1:5" s="295" customFormat="1" ht="11.25">
      <c r="A26" s="355"/>
      <c r="B26" s="294"/>
      <c r="C26" s="294"/>
      <c r="D26" s="294"/>
      <c r="E26" s="294"/>
    </row>
    <row r="27" spans="1:5" s="8" customFormat="1" ht="12">
      <c r="A27" s="355"/>
      <c r="B27" s="294"/>
      <c r="C27" s="294"/>
      <c r="D27" s="294"/>
      <c r="E27" s="294"/>
    </row>
    <row r="28" spans="1:5" s="8" customFormat="1" ht="12">
      <c r="A28" s="355"/>
      <c r="B28" s="295"/>
      <c r="C28" s="65"/>
      <c r="D28" s="295"/>
      <c r="E28" s="295"/>
    </row>
    <row r="29" spans="1:5" ht="12">
      <c r="A29" s="327"/>
      <c r="E29" s="354"/>
    </row>
    <row r="30" spans="1:5" ht="12">
      <c r="A30" s="327" t="s">
        <v>529</v>
      </c>
      <c r="B30" s="327"/>
      <c r="C30" s="328"/>
      <c r="D30" s="328"/>
      <c r="E30" s="354" t="s">
        <v>488</v>
      </c>
    </row>
    <row r="31" spans="1:5" ht="12">
      <c r="A31" s="327"/>
      <c r="B31" s="327"/>
      <c r="E31" s="354"/>
    </row>
    <row r="32" ht="11.25">
      <c r="A32" s="309"/>
    </row>
    <row r="33" ht="11.25">
      <c r="A33" s="309"/>
    </row>
    <row r="34" s="70" customFormat="1" ht="12" customHeight="1">
      <c r="A34" s="325"/>
    </row>
    <row r="35" s="70" customFormat="1" ht="12" customHeight="1">
      <c r="A35" s="325"/>
    </row>
    <row r="36" ht="12.75">
      <c r="A36" s="32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59"/>
  <sheetViews>
    <sheetView workbookViewId="0" topLeftCell="A1">
      <selection activeCell="A6" sqref="A6"/>
    </sheetView>
  </sheetViews>
  <sheetFormatPr defaultColWidth="9.140625" defaultRowHeight="12.75"/>
  <cols>
    <col min="1" max="1" width="39.7109375" style="294" customWidth="1"/>
    <col min="2" max="5" width="12.7109375" style="294" customWidth="1"/>
    <col min="6" max="16384" width="9.140625" style="294" customWidth="1"/>
  </cols>
  <sheetData>
    <row r="1" spans="1:5" s="12" customFormat="1" ht="12.75">
      <c r="A1" s="3" t="s">
        <v>596</v>
      </c>
      <c r="B1" s="3"/>
      <c r="C1" s="3"/>
      <c r="D1" s="3"/>
      <c r="E1" s="3" t="s">
        <v>597</v>
      </c>
    </row>
    <row r="2" spans="1:5" s="12" customFormat="1" ht="12.75">
      <c r="A2" s="3"/>
      <c r="B2" s="3"/>
      <c r="C2" s="3"/>
      <c r="D2" s="3"/>
      <c r="E2" s="74"/>
    </row>
    <row r="3" spans="4:5" ht="11.25">
      <c r="D3" s="308"/>
      <c r="E3" s="308"/>
    </row>
    <row r="4" spans="1:5" s="1" customFormat="1" ht="15.75">
      <c r="A4" s="304" t="s">
        <v>598</v>
      </c>
      <c r="B4" s="308"/>
      <c r="C4" s="308"/>
      <c r="D4" s="308"/>
      <c r="E4" s="308"/>
    </row>
    <row r="5" spans="1:5" ht="15.75">
      <c r="A5" s="304" t="s">
        <v>534</v>
      </c>
      <c r="B5" s="308"/>
      <c r="C5" s="308"/>
      <c r="D5" s="308"/>
      <c r="E5" s="308"/>
    </row>
    <row r="6" spans="1:5" ht="11.25">
      <c r="A6" s="355"/>
      <c r="B6" s="308"/>
      <c r="C6" s="308"/>
      <c r="D6" s="308"/>
      <c r="E6" s="308"/>
    </row>
    <row r="7" spans="1:5" ht="11.25">
      <c r="A7" s="355"/>
      <c r="B7" s="308"/>
      <c r="C7" s="308"/>
      <c r="D7" s="308"/>
      <c r="E7" s="308"/>
    </row>
    <row r="8" spans="2:81" s="12" customFormat="1" ht="15">
      <c r="B8" s="109"/>
      <c r="C8" s="109"/>
      <c r="D8" s="374" t="s">
        <v>599</v>
      </c>
      <c r="E8" s="375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1"/>
      <c r="AN8" s="1"/>
      <c r="AO8" s="1"/>
      <c r="AP8" s="1"/>
      <c r="AQ8" s="1"/>
      <c r="AR8" s="1"/>
      <c r="AS8" s="1"/>
      <c r="AT8" s="1"/>
      <c r="AU8" s="1"/>
      <c r="AV8" s="1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</row>
    <row r="9" spans="1:254" s="70" customFormat="1" ht="33.75" customHeight="1">
      <c r="A9" s="335" t="s">
        <v>7</v>
      </c>
      <c r="B9" s="336" t="s">
        <v>444</v>
      </c>
      <c r="C9" s="336" t="s">
        <v>71</v>
      </c>
      <c r="D9" s="336" t="s">
        <v>496</v>
      </c>
      <c r="E9" s="337" t="s">
        <v>293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336"/>
      <c r="CE9" s="337"/>
      <c r="CF9" s="335"/>
      <c r="CG9" s="336"/>
      <c r="CH9" s="336"/>
      <c r="CI9" s="336"/>
      <c r="CJ9" s="337"/>
      <c r="CK9" s="335"/>
      <c r="CL9" s="336"/>
      <c r="CM9" s="336"/>
      <c r="CN9" s="336"/>
      <c r="CO9" s="337"/>
      <c r="CP9" s="335"/>
      <c r="CQ9" s="336"/>
      <c r="CR9" s="336"/>
      <c r="CS9" s="336"/>
      <c r="CT9" s="337"/>
      <c r="CU9" s="335"/>
      <c r="CV9" s="336"/>
      <c r="CW9" s="336"/>
      <c r="CX9" s="336"/>
      <c r="CY9" s="337"/>
      <c r="CZ9" s="335"/>
      <c r="DA9" s="336"/>
      <c r="DB9" s="336"/>
      <c r="DC9" s="336"/>
      <c r="DD9" s="337"/>
      <c r="DE9" s="335"/>
      <c r="DF9" s="336"/>
      <c r="DG9" s="336"/>
      <c r="DH9" s="336"/>
      <c r="DI9" s="337"/>
      <c r="DJ9" s="335"/>
      <c r="DK9" s="336"/>
      <c r="DL9" s="336"/>
      <c r="DM9" s="336"/>
      <c r="DN9" s="337"/>
      <c r="DO9" s="335"/>
      <c r="DP9" s="336"/>
      <c r="DQ9" s="336"/>
      <c r="DR9" s="336"/>
      <c r="DS9" s="337"/>
      <c r="DT9" s="335"/>
      <c r="DU9" s="336"/>
      <c r="DV9" s="336"/>
      <c r="DW9" s="336"/>
      <c r="DX9" s="337"/>
      <c r="DY9" s="335"/>
      <c r="DZ9" s="336"/>
      <c r="EA9" s="336"/>
      <c r="EB9" s="336"/>
      <c r="EC9" s="337"/>
      <c r="ED9" s="335"/>
      <c r="EE9" s="336"/>
      <c r="EF9" s="336"/>
      <c r="EG9" s="336"/>
      <c r="EH9" s="337"/>
      <c r="EI9" s="335"/>
      <c r="EJ9" s="336"/>
      <c r="EK9" s="336"/>
      <c r="EL9" s="336"/>
      <c r="EM9" s="337"/>
      <c r="EN9" s="335"/>
      <c r="EO9" s="336"/>
      <c r="EP9" s="336"/>
      <c r="EQ9" s="336"/>
      <c r="ER9" s="337"/>
      <c r="ES9" s="335"/>
      <c r="ET9" s="336"/>
      <c r="EU9" s="336"/>
      <c r="EV9" s="336"/>
      <c r="EW9" s="337"/>
      <c r="EX9" s="335"/>
      <c r="EY9" s="336"/>
      <c r="EZ9" s="336"/>
      <c r="FA9" s="336"/>
      <c r="FB9" s="337"/>
      <c r="FC9" s="335"/>
      <c r="FD9" s="336"/>
      <c r="FE9" s="336"/>
      <c r="FF9" s="336"/>
      <c r="FG9" s="337"/>
      <c r="FH9" s="335"/>
      <c r="FI9" s="336"/>
      <c r="FJ9" s="336"/>
      <c r="FK9" s="336"/>
      <c r="FL9" s="337"/>
      <c r="FM9" s="335"/>
      <c r="FN9" s="336"/>
      <c r="FO9" s="336"/>
      <c r="FP9" s="336"/>
      <c r="FQ9" s="337"/>
      <c r="FR9" s="335"/>
      <c r="FS9" s="336"/>
      <c r="FT9" s="336"/>
      <c r="FU9" s="336"/>
      <c r="FV9" s="337"/>
      <c r="FW9" s="335"/>
      <c r="FX9" s="336"/>
      <c r="FY9" s="336"/>
      <c r="FZ9" s="336"/>
      <c r="GA9" s="337"/>
      <c r="GB9" s="335"/>
      <c r="GC9" s="336"/>
      <c r="GD9" s="336"/>
      <c r="GE9" s="336"/>
      <c r="GF9" s="337"/>
      <c r="GG9" s="335"/>
      <c r="GH9" s="336"/>
      <c r="GI9" s="336"/>
      <c r="GJ9" s="336"/>
      <c r="GK9" s="337"/>
      <c r="GL9" s="335"/>
      <c r="GM9" s="336"/>
      <c r="GN9" s="336"/>
      <c r="GO9" s="336"/>
      <c r="GP9" s="337"/>
      <c r="GQ9" s="335"/>
      <c r="GR9" s="336"/>
      <c r="GS9" s="336"/>
      <c r="GT9" s="336"/>
      <c r="GU9" s="337"/>
      <c r="GV9" s="335"/>
      <c r="GW9" s="336"/>
      <c r="GX9" s="336"/>
      <c r="GY9" s="336"/>
      <c r="GZ9" s="337"/>
      <c r="HA9" s="335"/>
      <c r="HB9" s="336"/>
      <c r="HC9" s="336"/>
      <c r="HD9" s="336"/>
      <c r="HE9" s="337"/>
      <c r="HF9" s="335"/>
      <c r="HG9" s="336"/>
      <c r="HH9" s="336"/>
      <c r="HI9" s="336"/>
      <c r="HJ9" s="337"/>
      <c r="HK9" s="335"/>
      <c r="HL9" s="336"/>
      <c r="HM9" s="336"/>
      <c r="HN9" s="336"/>
      <c r="HO9" s="337"/>
      <c r="HP9" s="335"/>
      <c r="HQ9" s="336"/>
      <c r="HR9" s="336"/>
      <c r="HS9" s="336"/>
      <c r="HT9" s="337"/>
      <c r="HU9" s="335"/>
      <c r="HV9" s="336"/>
      <c r="HW9" s="336"/>
      <c r="HX9" s="336"/>
      <c r="HY9" s="337"/>
      <c r="HZ9" s="335"/>
      <c r="IA9" s="336"/>
      <c r="IB9" s="336"/>
      <c r="IC9" s="336"/>
      <c r="ID9" s="337"/>
      <c r="IE9" s="335"/>
      <c r="IF9" s="336"/>
      <c r="IG9" s="336"/>
      <c r="IH9" s="336"/>
      <c r="II9" s="337"/>
      <c r="IJ9" s="335"/>
      <c r="IK9" s="336"/>
      <c r="IL9" s="336"/>
      <c r="IM9" s="336"/>
      <c r="IN9" s="337"/>
      <c r="IO9" s="335"/>
      <c r="IP9" s="336"/>
      <c r="IQ9" s="336"/>
      <c r="IR9" s="336"/>
      <c r="IS9" s="337"/>
      <c r="IT9" s="335"/>
    </row>
    <row r="10" spans="1:5" ht="11.25">
      <c r="A10" s="365">
        <v>1</v>
      </c>
      <c r="B10" s="366">
        <v>2</v>
      </c>
      <c r="C10" s="366">
        <v>3</v>
      </c>
      <c r="D10" s="367">
        <v>4</v>
      </c>
      <c r="E10" s="368">
        <v>5</v>
      </c>
    </row>
    <row r="11" spans="1:5" s="70" customFormat="1" ht="12.75" customHeight="1">
      <c r="A11" s="340" t="s">
        <v>261</v>
      </c>
      <c r="B11" s="34">
        <v>42225</v>
      </c>
      <c r="C11" s="34">
        <v>33111</v>
      </c>
      <c r="D11" s="296">
        <f aca="true" t="shared" si="0" ref="D11:D40">C11/B11*100</f>
        <v>78.41563055062167</v>
      </c>
      <c r="E11" s="341">
        <v>5157</v>
      </c>
    </row>
    <row r="12" spans="1:5" s="70" customFormat="1" ht="12.75">
      <c r="A12" s="340" t="s">
        <v>561</v>
      </c>
      <c r="B12" s="34">
        <f>SUM(B13+B32)</f>
        <v>54177</v>
      </c>
      <c r="C12" s="34">
        <f>SUM(C13+C32)</f>
        <v>33992</v>
      </c>
      <c r="D12" s="296">
        <f t="shared" si="0"/>
        <v>62.74249220148772</v>
      </c>
      <c r="E12" s="34">
        <f>SUM(E13+E32)</f>
        <v>4511</v>
      </c>
    </row>
    <row r="13" spans="1:5" s="323" customFormat="1" ht="11.25" customHeight="1">
      <c r="A13" s="342" t="s">
        <v>264</v>
      </c>
      <c r="B13" s="34">
        <v>39457</v>
      </c>
      <c r="C13" s="34">
        <v>24559</v>
      </c>
      <c r="D13" s="296">
        <f t="shared" si="0"/>
        <v>62.24244113845452</v>
      </c>
      <c r="E13" s="341">
        <v>2977</v>
      </c>
    </row>
    <row r="14" spans="1:5" s="323" customFormat="1" ht="11.25" customHeight="1">
      <c r="A14" s="358" t="s">
        <v>120</v>
      </c>
      <c r="B14" s="34">
        <v>31848</v>
      </c>
      <c r="C14" s="34">
        <v>18787</v>
      </c>
      <c r="D14" s="296">
        <f t="shared" si="0"/>
        <v>58.98957548354685</v>
      </c>
      <c r="E14" s="341">
        <v>2316</v>
      </c>
    </row>
    <row r="15" spans="1:5" s="323" customFormat="1" ht="11.25" customHeight="1" hidden="1">
      <c r="A15" s="345" t="s">
        <v>562</v>
      </c>
      <c r="B15" s="34">
        <v>870</v>
      </c>
      <c r="C15" s="34">
        <v>24</v>
      </c>
      <c r="D15" s="296">
        <f t="shared" si="0"/>
        <v>2.7586206896551726</v>
      </c>
      <c r="E15" s="341">
        <v>3</v>
      </c>
    </row>
    <row r="16" spans="1:5" ht="12">
      <c r="A16" s="345" t="s">
        <v>563</v>
      </c>
      <c r="B16" s="34">
        <v>2802</v>
      </c>
      <c r="C16" s="34">
        <v>1943</v>
      </c>
      <c r="D16" s="296">
        <f t="shared" si="0"/>
        <v>69.34332619557459</v>
      </c>
      <c r="E16" s="341">
        <v>333</v>
      </c>
    </row>
    <row r="17" spans="1:5" ht="12">
      <c r="A17" s="345" t="s">
        <v>564</v>
      </c>
      <c r="B17" s="34">
        <v>772</v>
      </c>
      <c r="C17" s="34">
        <v>487</v>
      </c>
      <c r="D17" s="296">
        <f t="shared" si="0"/>
        <v>63.082901554404145</v>
      </c>
      <c r="E17" s="341">
        <v>74</v>
      </c>
    </row>
    <row r="18" spans="1:5" ht="12" hidden="1">
      <c r="A18" s="345" t="s">
        <v>565</v>
      </c>
      <c r="B18" s="34">
        <v>210</v>
      </c>
      <c r="C18" s="34">
        <v>144</v>
      </c>
      <c r="D18" s="296">
        <f t="shared" si="0"/>
        <v>68.57142857142857</v>
      </c>
      <c r="E18" s="341">
        <v>27</v>
      </c>
    </row>
    <row r="19" spans="1:5" ht="12" hidden="1">
      <c r="A19" s="345" t="s">
        <v>566</v>
      </c>
      <c r="B19" s="34">
        <v>23946</v>
      </c>
      <c r="C19" s="34">
        <v>14292</v>
      </c>
      <c r="D19" s="296">
        <f t="shared" si="0"/>
        <v>59.68428965171636</v>
      </c>
      <c r="E19" s="341">
        <v>1671</v>
      </c>
    </row>
    <row r="20" spans="1:5" ht="12" hidden="1">
      <c r="A20" s="345" t="s">
        <v>567</v>
      </c>
      <c r="B20" s="34">
        <v>3213</v>
      </c>
      <c r="C20" s="34">
        <v>1847</v>
      </c>
      <c r="D20" s="296">
        <f t="shared" si="0"/>
        <v>57.48521630874572</v>
      </c>
      <c r="E20" s="341">
        <v>194</v>
      </c>
    </row>
    <row r="21" spans="1:5" ht="12" hidden="1">
      <c r="A21" s="345" t="s">
        <v>568</v>
      </c>
      <c r="B21" s="34">
        <v>35</v>
      </c>
      <c r="C21" s="34">
        <v>49</v>
      </c>
      <c r="D21" s="296">
        <f t="shared" si="0"/>
        <v>140</v>
      </c>
      <c r="E21" s="341">
        <v>13</v>
      </c>
    </row>
    <row r="22" spans="1:5" ht="12">
      <c r="A22" s="345" t="s">
        <v>569</v>
      </c>
      <c r="B22" s="34">
        <f>SUM(B15,B18,B19,B20,B21)</f>
        <v>28274</v>
      </c>
      <c r="C22" s="34">
        <v>16357</v>
      </c>
      <c r="D22" s="296">
        <f t="shared" si="0"/>
        <v>57.85173657777464</v>
      </c>
      <c r="E22" s="341">
        <v>1909</v>
      </c>
    </row>
    <row r="23" spans="1:5" ht="12">
      <c r="A23" s="359" t="s">
        <v>570</v>
      </c>
      <c r="B23" s="34">
        <f>SUM(B19,B20)</f>
        <v>27159</v>
      </c>
      <c r="C23" s="34">
        <f>SUM(C19,C20)</f>
        <v>16139</v>
      </c>
      <c r="D23" s="296">
        <f t="shared" si="0"/>
        <v>59.42413196362164</v>
      </c>
      <c r="E23" s="341">
        <v>1866</v>
      </c>
    </row>
    <row r="24" spans="1:5" ht="12">
      <c r="A24" s="359" t="s">
        <v>600</v>
      </c>
      <c r="B24" s="34">
        <f>SUM(B15,B18,B21)</f>
        <v>1115</v>
      </c>
      <c r="C24" s="34">
        <v>218</v>
      </c>
      <c r="D24" s="296">
        <f t="shared" si="0"/>
        <v>19.55156950672646</v>
      </c>
      <c r="E24" s="341">
        <f>SUM(E15,E18,E21)</f>
        <v>43</v>
      </c>
    </row>
    <row r="25" spans="1:5" ht="12">
      <c r="A25" s="358" t="s">
        <v>572</v>
      </c>
      <c r="B25" s="34">
        <v>39</v>
      </c>
      <c r="C25" s="34">
        <v>27</v>
      </c>
      <c r="D25" s="296">
        <f t="shared" si="0"/>
        <v>69.23076923076923</v>
      </c>
      <c r="E25" s="341">
        <v>2</v>
      </c>
    </row>
    <row r="26" spans="1:5" ht="12">
      <c r="A26" s="358" t="s">
        <v>130</v>
      </c>
      <c r="B26" s="34">
        <v>7570</v>
      </c>
      <c r="C26" s="34">
        <v>5745</v>
      </c>
      <c r="D26" s="296">
        <f t="shared" si="0"/>
        <v>75.89167767503302</v>
      </c>
      <c r="E26" s="341">
        <v>659</v>
      </c>
    </row>
    <row r="27" spans="1:5" ht="12">
      <c r="A27" s="345" t="s">
        <v>573</v>
      </c>
      <c r="B27" s="34">
        <v>2</v>
      </c>
      <c r="C27" s="34">
        <v>3</v>
      </c>
      <c r="D27" s="296">
        <f t="shared" si="0"/>
        <v>150</v>
      </c>
      <c r="E27" s="341">
        <v>-8</v>
      </c>
    </row>
    <row r="28" spans="1:5" ht="12">
      <c r="A28" s="345" t="s">
        <v>574</v>
      </c>
      <c r="B28" s="34">
        <v>34</v>
      </c>
      <c r="C28" s="34">
        <v>40</v>
      </c>
      <c r="D28" s="296">
        <f t="shared" si="0"/>
        <v>117.64705882352942</v>
      </c>
      <c r="E28" s="341">
        <v>-41</v>
      </c>
    </row>
    <row r="29" spans="1:5" ht="12">
      <c r="A29" s="345" t="s">
        <v>575</v>
      </c>
      <c r="B29" s="34">
        <v>527</v>
      </c>
      <c r="C29" s="34">
        <v>160</v>
      </c>
      <c r="D29" s="296">
        <f t="shared" si="0"/>
        <v>30.36053130929791</v>
      </c>
      <c r="E29" s="341">
        <v>-109</v>
      </c>
    </row>
    <row r="30" spans="1:5" ht="12">
      <c r="A30" s="345" t="s">
        <v>576</v>
      </c>
      <c r="B30" s="34">
        <v>4974</v>
      </c>
      <c r="C30" s="34">
        <v>3919</v>
      </c>
      <c r="D30" s="296">
        <f t="shared" si="0"/>
        <v>78.78970647366305</v>
      </c>
      <c r="E30" s="341">
        <v>689</v>
      </c>
    </row>
    <row r="31" spans="1:5" ht="12">
      <c r="A31" s="345" t="s">
        <v>577</v>
      </c>
      <c r="B31" s="34">
        <v>2033</v>
      </c>
      <c r="C31" s="34">
        <v>1623</v>
      </c>
      <c r="D31" s="296">
        <f t="shared" si="0"/>
        <v>79.83275946876537</v>
      </c>
      <c r="E31" s="341">
        <v>128</v>
      </c>
    </row>
    <row r="32" spans="1:7" s="323" customFormat="1" ht="11.25" customHeight="1">
      <c r="A32" s="342" t="s">
        <v>578</v>
      </c>
      <c r="B32" s="34">
        <v>14720</v>
      </c>
      <c r="C32" s="34">
        <v>9433</v>
      </c>
      <c r="D32" s="296">
        <f t="shared" si="0"/>
        <v>64.08288043478261</v>
      </c>
      <c r="E32" s="341">
        <v>1534</v>
      </c>
      <c r="G32" s="294"/>
    </row>
    <row r="33" spans="1:7" s="323" customFormat="1" ht="11.25" customHeight="1">
      <c r="A33" s="345" t="s">
        <v>137</v>
      </c>
      <c r="B33" s="34">
        <v>12217</v>
      </c>
      <c r="C33" s="34">
        <v>7845</v>
      </c>
      <c r="D33" s="296">
        <f t="shared" si="0"/>
        <v>64.21380044200704</v>
      </c>
      <c r="E33" s="341">
        <v>1438</v>
      </c>
      <c r="F33" s="294"/>
      <c r="G33" s="294"/>
    </row>
    <row r="34" spans="1:5" ht="12" hidden="1">
      <c r="A34" s="345" t="s">
        <v>137</v>
      </c>
      <c r="B34" s="34">
        <v>387001</v>
      </c>
      <c r="C34" s="34">
        <v>293249</v>
      </c>
      <c r="D34" s="296">
        <f t="shared" si="0"/>
        <v>75.77473960015607</v>
      </c>
      <c r="E34" s="341">
        <v>-56752</v>
      </c>
    </row>
    <row r="35" spans="1:5" ht="12" hidden="1">
      <c r="A35" s="345" t="s">
        <v>579</v>
      </c>
      <c r="B35" s="34">
        <v>356448</v>
      </c>
      <c r="C35" s="34">
        <v>271267</v>
      </c>
      <c r="D35" s="296">
        <f t="shared" si="0"/>
        <v>76.10282565759942</v>
      </c>
      <c r="E35" s="341">
        <v>-59323</v>
      </c>
    </row>
    <row r="36" spans="1:5" ht="12">
      <c r="A36" s="345" t="s">
        <v>138</v>
      </c>
      <c r="B36" s="34">
        <v>2503</v>
      </c>
      <c r="C36" s="34">
        <v>1588</v>
      </c>
      <c r="D36" s="296">
        <f t="shared" si="0"/>
        <v>63.44386735916899</v>
      </c>
      <c r="E36" s="341">
        <v>96</v>
      </c>
    </row>
    <row r="37" spans="1:7" s="323" customFormat="1" ht="11.25" customHeight="1">
      <c r="A37" s="342" t="s">
        <v>580</v>
      </c>
      <c r="B37" s="34">
        <f>B38-B39</f>
        <v>-3789</v>
      </c>
      <c r="C37" s="34">
        <f>C38-C39</f>
        <v>1308</v>
      </c>
      <c r="D37" s="296">
        <f t="shared" si="0"/>
        <v>-34.52098178939034</v>
      </c>
      <c r="E37" s="34">
        <f>E38-E39</f>
        <v>1614</v>
      </c>
      <c r="G37" s="294"/>
    </row>
    <row r="38" spans="1:5" ht="12.75" customHeight="1">
      <c r="A38" s="345" t="s">
        <v>581</v>
      </c>
      <c r="B38" s="34">
        <v>3266</v>
      </c>
      <c r="C38" s="34">
        <v>4260</v>
      </c>
      <c r="D38" s="296">
        <f t="shared" si="0"/>
        <v>130.43478260869566</v>
      </c>
      <c r="E38" s="341">
        <v>1662</v>
      </c>
    </row>
    <row r="39" spans="1:5" ht="12.75" customHeight="1">
      <c r="A39" s="346" t="s">
        <v>582</v>
      </c>
      <c r="B39" s="347">
        <v>7055</v>
      </c>
      <c r="C39" s="347">
        <v>2952</v>
      </c>
      <c r="D39" s="373">
        <f t="shared" si="0"/>
        <v>41.84266477675408</v>
      </c>
      <c r="E39" s="348">
        <v>48</v>
      </c>
    </row>
    <row r="40" spans="1:5" ht="12.75" customHeight="1">
      <c r="A40" s="362" t="s">
        <v>173</v>
      </c>
      <c r="B40" s="347">
        <f>B11-B12-B37</f>
        <v>-8163</v>
      </c>
      <c r="C40" s="347">
        <f>C11-C12-C37</f>
        <v>-2189</v>
      </c>
      <c r="D40" s="376">
        <f t="shared" si="0"/>
        <v>26.816121523949526</v>
      </c>
      <c r="E40" s="348">
        <f>E11-E12-E37</f>
        <v>-968</v>
      </c>
    </row>
    <row r="41" spans="1:4" ht="12">
      <c r="A41" s="329"/>
      <c r="B41" s="351"/>
      <c r="C41" s="351"/>
      <c r="D41" s="377"/>
    </row>
    <row r="42" ht="11.25">
      <c r="A42" s="355"/>
    </row>
    <row r="43" spans="1:7" s="8" customFormat="1" ht="12">
      <c r="A43" s="355"/>
      <c r="B43" s="294"/>
      <c r="C43" s="294"/>
      <c r="D43" s="294"/>
      <c r="E43" s="294"/>
      <c r="F43" s="294"/>
      <c r="G43" s="294"/>
    </row>
    <row r="44" spans="1:7" s="8" customFormat="1" ht="12">
      <c r="A44" s="329"/>
      <c r="B44" s="294"/>
      <c r="C44" s="294"/>
      <c r="D44" s="294"/>
      <c r="E44" s="294"/>
      <c r="F44" s="294"/>
      <c r="G44" s="294"/>
    </row>
    <row r="45" spans="1:254" s="70" customFormat="1" ht="12.75">
      <c r="A45" s="327" t="s">
        <v>529</v>
      </c>
      <c r="B45" s="327"/>
      <c r="C45" s="328"/>
      <c r="D45" s="378"/>
      <c r="E45" s="354" t="s">
        <v>488</v>
      </c>
      <c r="F45" s="294"/>
      <c r="G45" s="294"/>
      <c r="H45" s="65"/>
      <c r="I45" s="379"/>
      <c r="J45" s="379"/>
      <c r="K45" s="380"/>
      <c r="L45" s="294"/>
      <c r="M45" s="327"/>
      <c r="N45" s="327"/>
      <c r="O45" s="8"/>
      <c r="P45" s="8"/>
      <c r="Q45" s="8"/>
      <c r="R45" s="8"/>
      <c r="S45" s="294"/>
      <c r="T45" s="327"/>
      <c r="U45" s="327"/>
      <c r="V45" s="65"/>
      <c r="W45" s="353"/>
      <c r="X45" s="353"/>
      <c r="Y45" s="380"/>
      <c r="Z45" s="294"/>
      <c r="AA45" s="327"/>
      <c r="AB45" s="327"/>
      <c r="AC45" s="65"/>
      <c r="AD45" s="353"/>
      <c r="AE45" s="353"/>
      <c r="AF45" s="380"/>
      <c r="AG45" s="294"/>
      <c r="AH45" s="327"/>
      <c r="AI45" s="327"/>
      <c r="AJ45" s="65"/>
      <c r="AK45" s="353"/>
      <c r="AL45" s="353"/>
      <c r="AM45" s="380"/>
      <c r="AN45" s="294"/>
      <c r="AO45" s="327"/>
      <c r="AP45" s="327"/>
      <c r="AQ45" s="65"/>
      <c r="AR45" s="353"/>
      <c r="AS45" s="353"/>
      <c r="AT45" s="380"/>
      <c r="AU45" s="294"/>
      <c r="AV45" s="327"/>
      <c r="AW45" s="327"/>
      <c r="AX45" s="65"/>
      <c r="AY45" s="353"/>
      <c r="AZ45" s="353"/>
      <c r="BA45" s="380"/>
      <c r="BB45" s="294"/>
      <c r="BC45" s="327"/>
      <c r="BD45" s="327"/>
      <c r="BE45" s="65"/>
      <c r="BF45" s="353"/>
      <c r="BG45" s="353"/>
      <c r="BH45" s="380"/>
      <c r="BI45" s="294"/>
      <c r="BJ45" s="327"/>
      <c r="BK45" s="327"/>
      <c r="BL45" s="65"/>
      <c r="BM45" s="353"/>
      <c r="BN45" s="353"/>
      <c r="BO45" s="380"/>
      <c r="BP45" s="294"/>
      <c r="BQ45" s="327"/>
      <c r="BR45" s="327"/>
      <c r="BS45" s="65"/>
      <c r="BT45" s="353"/>
      <c r="BU45" s="353"/>
      <c r="BV45" s="380"/>
      <c r="BW45" s="294"/>
      <c r="BX45" s="327"/>
      <c r="BY45" s="327"/>
      <c r="BZ45" s="65"/>
      <c r="CA45" s="353"/>
      <c r="CB45" s="353"/>
      <c r="CC45" s="380"/>
      <c r="CD45" s="294"/>
      <c r="CE45" s="327"/>
      <c r="CF45" s="327"/>
      <c r="CG45" s="65"/>
      <c r="CH45" s="353"/>
      <c r="CI45" s="353"/>
      <c r="CJ45" s="380"/>
      <c r="CK45" s="294"/>
      <c r="CL45" s="327"/>
      <c r="CM45" s="327"/>
      <c r="CN45" s="65"/>
      <c r="CO45" s="353"/>
      <c r="CP45" s="353"/>
      <c r="CQ45" s="380"/>
      <c r="CR45" s="294"/>
      <c r="CS45" s="327"/>
      <c r="CT45" s="327"/>
      <c r="CU45" s="65"/>
      <c r="CV45" s="353"/>
      <c r="CW45" s="353"/>
      <c r="CX45" s="380"/>
      <c r="CY45" s="294"/>
      <c r="CZ45" s="327"/>
      <c r="DA45" s="327"/>
      <c r="DB45" s="65"/>
      <c r="DC45" s="353"/>
      <c r="DD45" s="353"/>
      <c r="DE45" s="380"/>
      <c r="DF45" s="294"/>
      <c r="DG45" s="327"/>
      <c r="DH45" s="327"/>
      <c r="DI45" s="65"/>
      <c r="DJ45" s="353"/>
      <c r="DK45" s="353"/>
      <c r="DL45" s="380"/>
      <c r="DM45" s="294"/>
      <c r="DN45" s="327"/>
      <c r="DO45" s="327"/>
      <c r="DP45" s="65"/>
      <c r="DQ45" s="353"/>
      <c r="DR45" s="353"/>
      <c r="DS45" s="380"/>
      <c r="DT45" s="294"/>
      <c r="DU45" s="327"/>
      <c r="DV45" s="327"/>
      <c r="DW45" s="65"/>
      <c r="DX45" s="353"/>
      <c r="DY45" s="353"/>
      <c r="DZ45" s="380"/>
      <c r="EA45" s="294"/>
      <c r="EB45" s="327"/>
      <c r="EC45" s="327"/>
      <c r="ED45" s="65"/>
      <c r="EE45" s="353"/>
      <c r="EF45" s="353"/>
      <c r="EG45" s="380"/>
      <c r="EH45" s="294"/>
      <c r="EI45" s="327"/>
      <c r="EJ45" s="327"/>
      <c r="EK45" s="65"/>
      <c r="EL45" s="353"/>
      <c r="EM45" s="353"/>
      <c r="EN45" s="380"/>
      <c r="EO45" s="294"/>
      <c r="EP45" s="327"/>
      <c r="EQ45" s="327"/>
      <c r="ER45" s="65"/>
      <c r="ES45" s="353"/>
      <c r="ET45" s="353"/>
      <c r="EU45" s="380"/>
      <c r="EV45" s="294"/>
      <c r="EW45" s="327"/>
      <c r="EX45" s="327"/>
      <c r="EY45" s="65"/>
      <c r="EZ45" s="353"/>
      <c r="FA45" s="353"/>
      <c r="FB45" s="380"/>
      <c r="FC45" s="294"/>
      <c r="FD45" s="327"/>
      <c r="FE45" s="327"/>
      <c r="FF45" s="65"/>
      <c r="FG45" s="353"/>
      <c r="FH45" s="353"/>
      <c r="FI45" s="380"/>
      <c r="FJ45" s="294"/>
      <c r="FK45" s="327"/>
      <c r="FL45" s="327"/>
      <c r="FM45" s="65"/>
      <c r="FN45" s="353"/>
      <c r="FO45" s="353"/>
      <c r="FP45" s="380"/>
      <c r="FQ45" s="294"/>
      <c r="FR45" s="327"/>
      <c r="FS45" s="327"/>
      <c r="FT45" s="65"/>
      <c r="FU45" s="353"/>
      <c r="FV45" s="353"/>
      <c r="FW45" s="380"/>
      <c r="FX45" s="294"/>
      <c r="FY45" s="327"/>
      <c r="FZ45" s="327"/>
      <c r="GA45" s="65"/>
      <c r="GB45" s="353"/>
      <c r="GC45" s="353"/>
      <c r="GD45" s="380"/>
      <c r="GE45" s="294"/>
      <c r="GF45" s="327"/>
      <c r="GG45" s="327"/>
      <c r="GH45" s="65"/>
      <c r="GI45" s="353"/>
      <c r="GJ45" s="353"/>
      <c r="GK45" s="380"/>
      <c r="GL45" s="294"/>
      <c r="GM45" s="327"/>
      <c r="GN45" s="327"/>
      <c r="GO45" s="65"/>
      <c r="GP45" s="353"/>
      <c r="GQ45" s="353"/>
      <c r="GR45" s="380"/>
      <c r="GS45" s="294"/>
      <c r="GT45" s="327"/>
      <c r="GU45" s="327"/>
      <c r="GV45" s="65"/>
      <c r="GW45" s="353"/>
      <c r="GX45" s="353"/>
      <c r="GY45" s="380"/>
      <c r="GZ45" s="294"/>
      <c r="HA45" s="327"/>
      <c r="HB45" s="327"/>
      <c r="HC45" s="65"/>
      <c r="HD45" s="353"/>
      <c r="HE45" s="353"/>
      <c r="HF45" s="380"/>
      <c r="HG45" s="294"/>
      <c r="HH45" s="327"/>
      <c r="HI45" s="327"/>
      <c r="HJ45" s="65"/>
      <c r="HK45" s="353"/>
      <c r="HL45" s="353"/>
      <c r="HM45" s="380"/>
      <c r="HN45" s="294"/>
      <c r="HO45" s="327"/>
      <c r="HP45" s="327"/>
      <c r="HQ45" s="65"/>
      <c r="HR45" s="353"/>
      <c r="HS45" s="353"/>
      <c r="HT45" s="380"/>
      <c r="HU45" s="294"/>
      <c r="HV45" s="327"/>
      <c r="HW45" s="327"/>
      <c r="HX45" s="65"/>
      <c r="HY45" s="353"/>
      <c r="HZ45" s="353"/>
      <c r="IA45" s="380"/>
      <c r="IB45" s="294"/>
      <c r="IC45" s="327"/>
      <c r="ID45" s="327"/>
      <c r="IE45" s="65"/>
      <c r="IF45" s="353"/>
      <c r="IG45" s="353"/>
      <c r="IH45" s="380"/>
      <c r="II45" s="294"/>
      <c r="IJ45" s="327"/>
      <c r="IK45" s="327"/>
      <c r="IL45" s="65"/>
      <c r="IM45" s="353"/>
      <c r="IN45" s="353"/>
      <c r="IO45" s="380"/>
      <c r="IP45" s="294"/>
      <c r="IQ45" s="327"/>
      <c r="IR45" s="327"/>
      <c r="IS45" s="65"/>
      <c r="IT45" s="353"/>
    </row>
    <row r="46" spans="2:253" s="327" customFormat="1" ht="16.5" customHeight="1">
      <c r="B46" s="99"/>
      <c r="C46" s="99"/>
      <c r="D46" s="294"/>
      <c r="E46" s="294"/>
      <c r="F46" s="294"/>
      <c r="G46" s="294"/>
      <c r="H46" s="65"/>
      <c r="I46" s="8"/>
      <c r="J46" s="65"/>
      <c r="K46" s="65"/>
      <c r="M46" s="8"/>
      <c r="O46" s="65"/>
      <c r="P46" s="8"/>
      <c r="Q46" s="65"/>
      <c r="R46" s="65"/>
      <c r="T46" s="8"/>
      <c r="V46" s="65"/>
      <c r="W46" s="8"/>
      <c r="X46" s="65"/>
      <c r="Y46" s="65"/>
      <c r="AA46" s="8"/>
      <c r="AC46" s="65"/>
      <c r="AD46" s="8"/>
      <c r="AE46" s="65"/>
      <c r="AF46" s="65"/>
      <c r="AH46" s="8"/>
      <c r="AJ46" s="65"/>
      <c r="AK46" s="8"/>
      <c r="AL46" s="65"/>
      <c r="AM46" s="65"/>
      <c r="AO46" s="8"/>
      <c r="AQ46" s="65"/>
      <c r="AR46" s="8"/>
      <c r="AS46" s="65"/>
      <c r="AT46" s="65"/>
      <c r="AV46" s="8"/>
      <c r="AX46" s="65"/>
      <c r="AY46" s="8"/>
      <c r="AZ46" s="65"/>
      <c r="BA46" s="65"/>
      <c r="BC46" s="8"/>
      <c r="BE46" s="65"/>
      <c r="BF46" s="8"/>
      <c r="BG46" s="65"/>
      <c r="BH46" s="65"/>
      <c r="BJ46" s="8"/>
      <c r="BL46" s="65"/>
      <c r="BM46" s="8"/>
      <c r="BN46" s="65"/>
      <c r="BO46" s="65"/>
      <c r="BQ46" s="8"/>
      <c r="BS46" s="65"/>
      <c r="BT46" s="8"/>
      <c r="BU46" s="65"/>
      <c r="BV46" s="65"/>
      <c r="BX46" s="8"/>
      <c r="BZ46" s="65"/>
      <c r="CA46" s="8"/>
      <c r="CB46" s="65"/>
      <c r="CC46" s="65"/>
      <c r="CE46" s="8"/>
      <c r="CG46" s="65"/>
      <c r="CH46" s="8"/>
      <c r="CI46" s="65"/>
      <c r="CJ46" s="65"/>
      <c r="CL46" s="8"/>
      <c r="CN46" s="65"/>
      <c r="CO46" s="8"/>
      <c r="CP46" s="65"/>
      <c r="CQ46" s="65"/>
      <c r="CS46" s="8"/>
      <c r="CU46" s="65"/>
      <c r="CV46" s="8"/>
      <c r="CW46" s="65"/>
      <c r="CX46" s="65"/>
      <c r="CZ46" s="8"/>
      <c r="DB46" s="65"/>
      <c r="DC46" s="8"/>
      <c r="DD46" s="65"/>
      <c r="DE46" s="65"/>
      <c r="DG46" s="8"/>
      <c r="DI46" s="65"/>
      <c r="DJ46" s="8"/>
      <c r="DK46" s="65"/>
      <c r="DL46" s="65"/>
      <c r="DN46" s="8"/>
      <c r="DP46" s="65"/>
      <c r="DQ46" s="8"/>
      <c r="DR46" s="65"/>
      <c r="DS46" s="65"/>
      <c r="DU46" s="8"/>
      <c r="DW46" s="65"/>
      <c r="DX46" s="8"/>
      <c r="DY46" s="65"/>
      <c r="DZ46" s="65"/>
      <c r="EB46" s="8"/>
      <c r="ED46" s="65"/>
      <c r="EE46" s="8"/>
      <c r="EF46" s="65"/>
      <c r="EG46" s="65"/>
      <c r="EI46" s="8"/>
      <c r="EK46" s="65"/>
      <c r="EL46" s="8"/>
      <c r="EM46" s="65"/>
      <c r="EN46" s="65"/>
      <c r="EP46" s="8"/>
      <c r="ER46" s="65"/>
      <c r="ES46" s="8"/>
      <c r="ET46" s="65"/>
      <c r="EU46" s="65"/>
      <c r="EW46" s="8"/>
      <c r="EY46" s="65"/>
      <c r="EZ46" s="8"/>
      <c r="FA46" s="65"/>
      <c r="FB46" s="65"/>
      <c r="FD46" s="8"/>
      <c r="FF46" s="65"/>
      <c r="FG46" s="8"/>
      <c r="FH46" s="65"/>
      <c r="FI46" s="65"/>
      <c r="FK46" s="8"/>
      <c r="FM46" s="65"/>
      <c r="FN46" s="8"/>
      <c r="FO46" s="65"/>
      <c r="FP46" s="65"/>
      <c r="FR46" s="8"/>
      <c r="FT46" s="65"/>
      <c r="FU46" s="8"/>
      <c r="FV46" s="65"/>
      <c r="FW46" s="65"/>
      <c r="FY46" s="8"/>
      <c r="GA46" s="65"/>
      <c r="GB46" s="8"/>
      <c r="GC46" s="65"/>
      <c r="GD46" s="65"/>
      <c r="GF46" s="8"/>
      <c r="GH46" s="65"/>
      <c r="GI46" s="8"/>
      <c r="GJ46" s="65"/>
      <c r="GK46" s="65"/>
      <c r="GM46" s="8"/>
      <c r="GO46" s="65"/>
      <c r="GP46" s="8"/>
      <c r="GQ46" s="65"/>
      <c r="GR46" s="65"/>
      <c r="GT46" s="8"/>
      <c r="GV46" s="65"/>
      <c r="GW46" s="8"/>
      <c r="GX46" s="65"/>
      <c r="GY46" s="65"/>
      <c r="HA46" s="8"/>
      <c r="HC46" s="65"/>
      <c r="HD46" s="8"/>
      <c r="HE46" s="65"/>
      <c r="HF46" s="65"/>
      <c r="HH46" s="8"/>
      <c r="HJ46" s="65"/>
      <c r="HK46" s="8"/>
      <c r="HL46" s="65"/>
      <c r="HM46" s="65"/>
      <c r="HO46" s="8"/>
      <c r="HQ46" s="65"/>
      <c r="HR46" s="8"/>
      <c r="HS46" s="65"/>
      <c r="HT46" s="65"/>
      <c r="HV46" s="8"/>
      <c r="HX46" s="65"/>
      <c r="HY46" s="8"/>
      <c r="HZ46" s="65"/>
      <c r="IA46" s="65"/>
      <c r="IC46" s="8"/>
      <c r="IE46" s="65"/>
      <c r="IF46" s="8"/>
      <c r="IG46" s="65"/>
      <c r="IH46" s="65"/>
      <c r="IJ46" s="8"/>
      <c r="IL46" s="65"/>
      <c r="IM46" s="8"/>
      <c r="IN46" s="65"/>
      <c r="IO46" s="65"/>
      <c r="IQ46" s="8"/>
      <c r="IS46" s="65"/>
    </row>
    <row r="47" spans="1:7" s="8" customFormat="1" ht="12.75">
      <c r="A47" s="355"/>
      <c r="B47" s="4"/>
      <c r="C47" s="4"/>
      <c r="D47" s="294"/>
      <c r="E47" s="294"/>
      <c r="F47" s="294"/>
      <c r="G47" s="294"/>
    </row>
    <row r="48" spans="1:7" s="70" customFormat="1" ht="12.75">
      <c r="A48" s="381"/>
      <c r="D48" s="294"/>
      <c r="E48" s="294"/>
      <c r="F48" s="294"/>
      <c r="G48" s="294"/>
    </row>
    <row r="49" spans="1:7" s="70" customFormat="1" ht="12.75">
      <c r="A49" s="325"/>
      <c r="B49" s="325"/>
      <c r="C49" s="325"/>
      <c r="D49" s="294"/>
      <c r="E49" s="294"/>
      <c r="F49" s="294"/>
      <c r="G49" s="294"/>
    </row>
    <row r="57" spans="4:7" ht="11.25">
      <c r="D57" s="294">
        <v>0</v>
      </c>
      <c r="E57" s="294">
        <v>0</v>
      </c>
      <c r="F57" s="294">
        <v>0</v>
      </c>
      <c r="G57" s="294">
        <v>0</v>
      </c>
    </row>
    <row r="58" spans="4:7" ht="11.25">
      <c r="D58" s="294">
        <v>0</v>
      </c>
      <c r="E58" s="294">
        <v>0</v>
      </c>
      <c r="F58" s="294">
        <v>0</v>
      </c>
      <c r="G58" s="294">
        <v>0</v>
      </c>
    </row>
    <row r="59" spans="4:7" ht="11.25">
      <c r="D59" s="294">
        <v>0</v>
      </c>
      <c r="E59" s="294">
        <v>0</v>
      </c>
      <c r="F59" s="294">
        <v>0</v>
      </c>
      <c r="G59" s="294"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6" sqref="A6"/>
    </sheetView>
  </sheetViews>
  <sheetFormatPr defaultColWidth="9.140625" defaultRowHeight="12.75"/>
  <cols>
    <col min="1" max="1" width="17.7109375" style="302" customWidth="1"/>
    <col min="2" max="2" width="8.8515625" style="294" customWidth="1"/>
    <col min="3" max="3" width="8.421875" style="294" customWidth="1"/>
    <col min="4" max="4" width="8.8515625" style="294" customWidth="1"/>
    <col min="5" max="5" width="8.57421875" style="294" customWidth="1"/>
    <col min="6" max="6" width="6.8515625" style="294" customWidth="1"/>
    <col min="7" max="7" width="8.421875" style="294" customWidth="1"/>
    <col min="8" max="8" width="11.28125" style="294" customWidth="1"/>
    <col min="9" max="9" width="10.140625" style="294" customWidth="1"/>
    <col min="10" max="10" width="8.57421875" style="294" customWidth="1"/>
    <col min="11" max="11" width="9.140625" style="294" customWidth="1"/>
    <col min="12" max="13" width="7.57421875" style="294" customWidth="1"/>
    <col min="14" max="14" width="7.140625" style="294" customWidth="1"/>
    <col min="15" max="16" width="9.28125" style="294" customWidth="1"/>
    <col min="17" max="16384" width="9.140625" style="294" customWidth="1"/>
  </cols>
  <sheetData>
    <row r="1" spans="1:16" ht="12.75">
      <c r="A1" s="298"/>
      <c r="B1" s="70"/>
      <c r="C1" s="70"/>
      <c r="D1" s="70"/>
      <c r="E1" s="70"/>
      <c r="F1" s="70" t="s">
        <v>601</v>
      </c>
      <c r="G1" s="70"/>
      <c r="H1" s="70"/>
      <c r="I1" s="70"/>
      <c r="J1" s="70"/>
      <c r="K1" s="70"/>
      <c r="L1" s="70"/>
      <c r="M1" s="70"/>
      <c r="N1" s="3"/>
      <c r="O1" s="3"/>
      <c r="P1" s="3" t="s">
        <v>602</v>
      </c>
    </row>
    <row r="2" spans="14:15" ht="12">
      <c r="N2" s="217"/>
      <c r="O2" s="308"/>
    </row>
    <row r="3" spans="1:16" s="70" customFormat="1" ht="12.75">
      <c r="A3" s="298"/>
      <c r="N3" s="3"/>
      <c r="O3" s="3"/>
      <c r="P3" s="3"/>
    </row>
    <row r="4" spans="1:16" s="1" customFormat="1" ht="15.75">
      <c r="A4" s="382" t="s">
        <v>603</v>
      </c>
      <c r="B4" s="382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6" s="75" customFormat="1" ht="15.75">
      <c r="A5" s="110" t="s">
        <v>534</v>
      </c>
      <c r="B5" s="110"/>
      <c r="C5" s="110"/>
      <c r="D5" s="110"/>
      <c r="E5" s="383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s="75" customFormat="1" ht="15.75">
      <c r="A6" s="110"/>
      <c r="B6" s="110"/>
      <c r="C6" s="110"/>
      <c r="D6" s="110"/>
      <c r="E6" s="383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s="12" customFormat="1" ht="11.25">
      <c r="A7" s="384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 t="s">
        <v>604</v>
      </c>
      <c r="N7" s="109"/>
      <c r="O7" s="375"/>
      <c r="P7" s="109"/>
    </row>
    <row r="8" spans="1:16" s="70" customFormat="1" ht="12.75">
      <c r="A8" s="385"/>
      <c r="B8" s="386" t="s">
        <v>191</v>
      </c>
      <c r="C8" s="386"/>
      <c r="D8" s="386"/>
      <c r="E8" s="387" t="s">
        <v>605</v>
      </c>
      <c r="F8" s="386"/>
      <c r="G8" s="386"/>
      <c r="H8" s="388"/>
      <c r="I8" s="388"/>
      <c r="J8" s="389" t="s">
        <v>606</v>
      </c>
      <c r="K8" s="386"/>
      <c r="L8" s="386"/>
      <c r="M8" s="390"/>
      <c r="N8" s="386"/>
      <c r="O8" s="391"/>
      <c r="P8" s="392"/>
    </row>
    <row r="9" spans="1:16" ht="11.25">
      <c r="A9" s="393"/>
      <c r="B9" s="56"/>
      <c r="C9" s="394"/>
      <c r="D9" s="394"/>
      <c r="E9" s="394"/>
      <c r="F9" s="394"/>
      <c r="G9" s="394"/>
      <c r="H9" s="394"/>
      <c r="I9" s="394"/>
      <c r="J9" s="394"/>
      <c r="K9" s="394"/>
      <c r="L9" s="395" t="s">
        <v>607</v>
      </c>
      <c r="M9" s="395"/>
      <c r="N9" s="56"/>
      <c r="O9" s="394"/>
      <c r="P9" s="396"/>
    </row>
    <row r="10" spans="1:16" s="403" customFormat="1" ht="45">
      <c r="A10" s="397" t="s">
        <v>608</v>
      </c>
      <c r="B10" s="398" t="s">
        <v>609</v>
      </c>
      <c r="C10" s="399" t="s">
        <v>610</v>
      </c>
      <c r="D10" s="400" t="s">
        <v>611</v>
      </c>
      <c r="E10" s="400" t="s">
        <v>612</v>
      </c>
      <c r="F10" s="400" t="s">
        <v>613</v>
      </c>
      <c r="G10" s="400" t="s">
        <v>614</v>
      </c>
      <c r="H10" s="400" t="s">
        <v>615</v>
      </c>
      <c r="I10" s="400" t="s">
        <v>616</v>
      </c>
      <c r="J10" s="400" t="s">
        <v>37</v>
      </c>
      <c r="K10" s="400" t="s">
        <v>617</v>
      </c>
      <c r="L10" s="400" t="s">
        <v>618</v>
      </c>
      <c r="M10" s="400" t="s">
        <v>619</v>
      </c>
      <c r="N10" s="400" t="s">
        <v>620</v>
      </c>
      <c r="O10" s="401" t="s">
        <v>49</v>
      </c>
      <c r="P10" s="402" t="s">
        <v>621</v>
      </c>
    </row>
    <row r="11" spans="1:16" s="12" customFormat="1" ht="11.25">
      <c r="A11" s="404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  <c r="N11" s="81">
        <v>14</v>
      </c>
      <c r="O11" s="81">
        <v>15</v>
      </c>
      <c r="P11" s="405">
        <v>16</v>
      </c>
    </row>
    <row r="12" spans="1:16" ht="12.75">
      <c r="A12" s="406" t="s">
        <v>622</v>
      </c>
      <c r="B12" s="407"/>
      <c r="C12" s="407"/>
      <c r="D12" s="407"/>
      <c r="E12" s="407"/>
      <c r="F12" s="407"/>
      <c r="G12" s="407"/>
      <c r="H12" s="407"/>
      <c r="I12" s="407"/>
      <c r="J12" s="407">
        <v>0</v>
      </c>
      <c r="K12" s="407"/>
      <c r="L12" s="407"/>
      <c r="M12" s="407"/>
      <c r="N12" s="407"/>
      <c r="O12" s="407"/>
      <c r="P12" s="408">
        <v>0</v>
      </c>
    </row>
    <row r="13" spans="1:16" ht="12">
      <c r="A13" s="409" t="s">
        <v>623</v>
      </c>
      <c r="B13" s="410">
        <v>85561665</v>
      </c>
      <c r="C13" s="410">
        <v>16027039</v>
      </c>
      <c r="D13" s="410">
        <v>101588704</v>
      </c>
      <c r="E13" s="410">
        <v>92462602</v>
      </c>
      <c r="F13" s="410">
        <v>12938174</v>
      </c>
      <c r="G13" s="410">
        <v>105400776</v>
      </c>
      <c r="H13" s="410">
        <v>-3812072</v>
      </c>
      <c r="I13" s="410">
        <v>3812072</v>
      </c>
      <c r="J13" s="410">
        <v>-2000000</v>
      </c>
      <c r="K13" s="410">
        <v>5052981</v>
      </c>
      <c r="L13" s="410">
        <v>6214381</v>
      </c>
      <c r="M13" s="410">
        <v>1161400</v>
      </c>
      <c r="N13" s="410">
        <v>0</v>
      </c>
      <c r="O13" s="410">
        <v>-27978</v>
      </c>
      <c r="P13" s="411">
        <v>787069</v>
      </c>
    </row>
    <row r="14" spans="1:16" ht="12">
      <c r="A14" s="412" t="s">
        <v>624</v>
      </c>
      <c r="B14" s="410">
        <v>7306538</v>
      </c>
      <c r="C14" s="410">
        <v>2817829</v>
      </c>
      <c r="D14" s="410">
        <v>10124367</v>
      </c>
      <c r="E14" s="410">
        <v>10475575</v>
      </c>
      <c r="F14" s="410">
        <v>13374</v>
      </c>
      <c r="G14" s="410">
        <v>10488949</v>
      </c>
      <c r="H14" s="410">
        <v>-364582</v>
      </c>
      <c r="I14" s="410">
        <v>364582</v>
      </c>
      <c r="J14" s="410">
        <v>270000</v>
      </c>
      <c r="K14" s="410">
        <v>94582</v>
      </c>
      <c r="L14" s="410">
        <v>461910</v>
      </c>
      <c r="M14" s="410">
        <v>367328</v>
      </c>
      <c r="N14" s="410">
        <v>0</v>
      </c>
      <c r="O14" s="410">
        <v>0</v>
      </c>
      <c r="P14" s="411">
        <v>0</v>
      </c>
    </row>
    <row r="15" spans="1:16" ht="12">
      <c r="A15" s="412" t="s">
        <v>625</v>
      </c>
      <c r="B15" s="410">
        <v>4592493</v>
      </c>
      <c r="C15" s="410">
        <v>2318684</v>
      </c>
      <c r="D15" s="410">
        <v>6911177</v>
      </c>
      <c r="E15" s="410">
        <v>6447409</v>
      </c>
      <c r="F15" s="410">
        <v>130541</v>
      </c>
      <c r="G15" s="410">
        <v>6577950</v>
      </c>
      <c r="H15" s="410">
        <v>333227</v>
      </c>
      <c r="I15" s="410">
        <v>-333227</v>
      </c>
      <c r="J15" s="410">
        <v>-821800</v>
      </c>
      <c r="K15" s="410">
        <v>-201341</v>
      </c>
      <c r="L15" s="410">
        <v>64369</v>
      </c>
      <c r="M15" s="410">
        <v>265710</v>
      </c>
      <c r="N15" s="410">
        <v>0</v>
      </c>
      <c r="O15" s="410">
        <v>217939</v>
      </c>
      <c r="P15" s="411">
        <v>471975</v>
      </c>
    </row>
    <row r="16" spans="1:16" ht="12">
      <c r="A16" s="412" t="s">
        <v>626</v>
      </c>
      <c r="B16" s="410">
        <v>4525725</v>
      </c>
      <c r="C16" s="410">
        <v>1157667</v>
      </c>
      <c r="D16" s="410">
        <v>5683392</v>
      </c>
      <c r="E16" s="410">
        <v>6150593</v>
      </c>
      <c r="F16" s="410">
        <v>89569</v>
      </c>
      <c r="G16" s="410">
        <v>6240162</v>
      </c>
      <c r="H16" s="410">
        <v>-556770</v>
      </c>
      <c r="I16" s="410">
        <v>556770</v>
      </c>
      <c r="J16" s="410">
        <v>577000</v>
      </c>
      <c r="K16" s="410">
        <v>-20230</v>
      </c>
      <c r="L16" s="410">
        <v>205452</v>
      </c>
      <c r="M16" s="410">
        <v>225682</v>
      </c>
      <c r="N16" s="410">
        <v>0</v>
      </c>
      <c r="O16" s="410">
        <v>0</v>
      </c>
      <c r="P16" s="411">
        <v>0</v>
      </c>
    </row>
    <row r="17" spans="1:16" ht="12">
      <c r="A17" s="412" t="s">
        <v>627</v>
      </c>
      <c r="B17" s="410">
        <v>7014802</v>
      </c>
      <c r="C17" s="410">
        <v>2441586</v>
      </c>
      <c r="D17" s="410">
        <v>9456388</v>
      </c>
      <c r="E17" s="410">
        <v>9001939</v>
      </c>
      <c r="F17" s="410">
        <v>215132</v>
      </c>
      <c r="G17" s="410">
        <v>9217071</v>
      </c>
      <c r="H17" s="410">
        <v>239317</v>
      </c>
      <c r="I17" s="410">
        <v>-239317</v>
      </c>
      <c r="J17" s="410">
        <v>-26891</v>
      </c>
      <c r="K17" s="410">
        <v>-212426</v>
      </c>
      <c r="L17" s="410">
        <v>408121</v>
      </c>
      <c r="M17" s="410">
        <v>620547</v>
      </c>
      <c r="N17" s="410">
        <v>0</v>
      </c>
      <c r="O17" s="410">
        <v>0</v>
      </c>
      <c r="P17" s="411">
        <v>0</v>
      </c>
    </row>
    <row r="18" spans="1:16" ht="12">
      <c r="A18" s="412" t="s">
        <v>628</v>
      </c>
      <c r="B18" s="410">
        <v>2661444</v>
      </c>
      <c r="C18" s="410">
        <v>1150682</v>
      </c>
      <c r="D18" s="410">
        <v>3812126</v>
      </c>
      <c r="E18" s="410">
        <v>3675764</v>
      </c>
      <c r="F18" s="410">
        <v>6072</v>
      </c>
      <c r="G18" s="410">
        <v>3681836</v>
      </c>
      <c r="H18" s="410">
        <v>130290</v>
      </c>
      <c r="I18" s="410">
        <v>-130290</v>
      </c>
      <c r="J18" s="410">
        <v>-8000</v>
      </c>
      <c r="K18" s="410">
        <v>-122290</v>
      </c>
      <c r="L18" s="410">
        <v>78705</v>
      </c>
      <c r="M18" s="410">
        <v>200995</v>
      </c>
      <c r="N18" s="410">
        <v>0</v>
      </c>
      <c r="O18" s="410">
        <v>0</v>
      </c>
      <c r="P18" s="411">
        <v>0</v>
      </c>
    </row>
    <row r="19" spans="1:16" ht="12">
      <c r="A19" s="412" t="s">
        <v>629</v>
      </c>
      <c r="B19" s="410">
        <v>8614862</v>
      </c>
      <c r="C19" s="410">
        <v>1228085</v>
      </c>
      <c r="D19" s="410">
        <v>9842947</v>
      </c>
      <c r="E19" s="410">
        <v>7167993</v>
      </c>
      <c r="F19" s="410">
        <v>1998809</v>
      </c>
      <c r="G19" s="410">
        <v>9166802</v>
      </c>
      <c r="H19" s="410">
        <v>676145</v>
      </c>
      <c r="I19" s="410">
        <v>-676145</v>
      </c>
      <c r="J19" s="410">
        <v>0</v>
      </c>
      <c r="K19" s="410">
        <v>-676145</v>
      </c>
      <c r="L19" s="410">
        <v>630911</v>
      </c>
      <c r="M19" s="410">
        <v>1307056</v>
      </c>
      <c r="N19" s="410">
        <v>0</v>
      </c>
      <c r="O19" s="410">
        <v>0</v>
      </c>
      <c r="P19" s="411">
        <v>0</v>
      </c>
    </row>
    <row r="20" spans="1:16" ht="12.75">
      <c r="A20" s="406" t="s">
        <v>630</v>
      </c>
      <c r="B20" s="410">
        <f aca="true" t="shared" si="0" ref="B20:P20">SUM(B13:B19)</f>
        <v>120277529</v>
      </c>
      <c r="C20" s="410">
        <f t="shared" si="0"/>
        <v>27141572</v>
      </c>
      <c r="D20" s="410">
        <f t="shared" si="0"/>
        <v>147419101</v>
      </c>
      <c r="E20" s="410">
        <f t="shared" si="0"/>
        <v>135381875</v>
      </c>
      <c r="F20" s="410">
        <f t="shared" si="0"/>
        <v>15391671</v>
      </c>
      <c r="G20" s="410">
        <f t="shared" si="0"/>
        <v>150773546</v>
      </c>
      <c r="H20" s="410">
        <f t="shared" si="0"/>
        <v>-3354445</v>
      </c>
      <c r="I20" s="410">
        <f t="shared" si="0"/>
        <v>3354445</v>
      </c>
      <c r="J20" s="410">
        <f t="shared" si="0"/>
        <v>-2009691</v>
      </c>
      <c r="K20" s="410">
        <f t="shared" si="0"/>
        <v>3915131</v>
      </c>
      <c r="L20" s="410">
        <f t="shared" si="0"/>
        <v>8063849</v>
      </c>
      <c r="M20" s="410">
        <f t="shared" si="0"/>
        <v>4148718</v>
      </c>
      <c r="N20" s="410">
        <f t="shared" si="0"/>
        <v>0</v>
      </c>
      <c r="O20" s="410">
        <f t="shared" si="0"/>
        <v>189961</v>
      </c>
      <c r="P20" s="411">
        <f t="shared" si="0"/>
        <v>1259044</v>
      </c>
    </row>
    <row r="21" spans="1:16" s="17" customFormat="1" ht="12.75">
      <c r="A21" s="406" t="s">
        <v>631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1"/>
    </row>
    <row r="22" spans="1:16" ht="12">
      <c r="A22" s="412" t="s">
        <v>632</v>
      </c>
      <c r="B22" s="410">
        <v>2647478</v>
      </c>
      <c r="C22" s="410">
        <v>2605659</v>
      </c>
      <c r="D22" s="410">
        <v>5253137</v>
      </c>
      <c r="E22" s="410">
        <v>4698913</v>
      </c>
      <c r="F22" s="410">
        <v>294310</v>
      </c>
      <c r="G22" s="410">
        <v>4993223</v>
      </c>
      <c r="H22" s="410">
        <v>259914</v>
      </c>
      <c r="I22" s="410">
        <v>-259914</v>
      </c>
      <c r="J22" s="410">
        <v>-48215</v>
      </c>
      <c r="K22" s="410">
        <v>-294270</v>
      </c>
      <c r="L22" s="410">
        <v>255676</v>
      </c>
      <c r="M22" s="410">
        <v>549946</v>
      </c>
      <c r="N22" s="410">
        <v>-9538</v>
      </c>
      <c r="O22" s="410">
        <v>139000</v>
      </c>
      <c r="P22" s="411">
        <v>-46891</v>
      </c>
    </row>
    <row r="23" spans="1:16" ht="12">
      <c r="A23" s="412" t="s">
        <v>633</v>
      </c>
      <c r="B23" s="410">
        <v>1321000</v>
      </c>
      <c r="C23" s="410">
        <v>1806469</v>
      </c>
      <c r="D23" s="410">
        <v>3128051</v>
      </c>
      <c r="E23" s="410">
        <v>3038562</v>
      </c>
      <c r="F23" s="410">
        <v>49126</v>
      </c>
      <c r="G23" s="410">
        <v>3087688</v>
      </c>
      <c r="H23" s="410">
        <v>40363</v>
      </c>
      <c r="I23" s="410">
        <v>-40363</v>
      </c>
      <c r="J23" s="410">
        <v>125672</v>
      </c>
      <c r="K23" s="410">
        <v>-162203</v>
      </c>
      <c r="L23" s="410">
        <v>80897</v>
      </c>
      <c r="M23" s="410">
        <v>243100</v>
      </c>
      <c r="N23" s="410">
        <v>0</v>
      </c>
      <c r="O23" s="410">
        <v>-2910</v>
      </c>
      <c r="P23" s="411">
        <v>-922</v>
      </c>
    </row>
    <row r="24" spans="1:16" ht="12">
      <c r="A24" s="412" t="s">
        <v>634</v>
      </c>
      <c r="B24" s="410">
        <v>1319649</v>
      </c>
      <c r="C24" s="410">
        <v>2239921</v>
      </c>
      <c r="D24" s="410">
        <v>3559570</v>
      </c>
      <c r="E24" s="410">
        <v>3377450</v>
      </c>
      <c r="F24" s="410">
        <v>86456</v>
      </c>
      <c r="G24" s="410">
        <v>3463906</v>
      </c>
      <c r="H24" s="410">
        <v>95664</v>
      </c>
      <c r="I24" s="410">
        <v>-95664</v>
      </c>
      <c r="J24" s="410">
        <v>0</v>
      </c>
      <c r="K24" s="410">
        <v>-94148</v>
      </c>
      <c r="L24" s="410">
        <v>116960</v>
      </c>
      <c r="M24" s="410">
        <v>211108</v>
      </c>
      <c r="N24" s="410">
        <v>0</v>
      </c>
      <c r="O24" s="410">
        <v>-1516</v>
      </c>
      <c r="P24" s="411">
        <v>0</v>
      </c>
    </row>
    <row r="25" spans="1:16" ht="12">
      <c r="A25" s="412" t="s">
        <v>635</v>
      </c>
      <c r="B25" s="410">
        <v>2855883</v>
      </c>
      <c r="C25" s="410">
        <v>2931466</v>
      </c>
      <c r="D25" s="410">
        <v>5787349</v>
      </c>
      <c r="E25" s="410">
        <v>5297521</v>
      </c>
      <c r="F25" s="410">
        <v>282957</v>
      </c>
      <c r="G25" s="410">
        <v>5580478</v>
      </c>
      <c r="H25" s="410">
        <v>206871</v>
      </c>
      <c r="I25" s="410">
        <v>-206871</v>
      </c>
      <c r="J25" s="410">
        <v>-13859</v>
      </c>
      <c r="K25" s="410">
        <v>-212013</v>
      </c>
      <c r="L25" s="410">
        <v>168381</v>
      </c>
      <c r="M25" s="410">
        <v>380394</v>
      </c>
      <c r="N25" s="410">
        <v>5500</v>
      </c>
      <c r="O25" s="410">
        <v>23655</v>
      </c>
      <c r="P25" s="411">
        <v>-10154</v>
      </c>
    </row>
    <row r="26" spans="1:16" ht="12">
      <c r="A26" s="412" t="s">
        <v>636</v>
      </c>
      <c r="B26" s="410">
        <v>4050446</v>
      </c>
      <c r="C26" s="410">
        <v>3747219</v>
      </c>
      <c r="D26" s="410">
        <v>7797665</v>
      </c>
      <c r="E26" s="410">
        <v>7509407</v>
      </c>
      <c r="F26" s="410">
        <v>178950</v>
      </c>
      <c r="G26" s="410">
        <v>7688357</v>
      </c>
      <c r="H26" s="410">
        <v>109308</v>
      </c>
      <c r="I26" s="410">
        <v>-109308</v>
      </c>
      <c r="J26" s="410">
        <v>9724</v>
      </c>
      <c r="K26" s="410">
        <v>-94818</v>
      </c>
      <c r="L26" s="410">
        <v>278037</v>
      </c>
      <c r="M26" s="410">
        <v>372855</v>
      </c>
      <c r="N26" s="410">
        <v>-6067</v>
      </c>
      <c r="O26" s="410">
        <v>0</v>
      </c>
      <c r="P26" s="411">
        <v>-18147</v>
      </c>
    </row>
    <row r="27" spans="1:16" ht="12">
      <c r="A27" s="412" t="s">
        <v>637</v>
      </c>
      <c r="B27" s="410">
        <v>2319582</v>
      </c>
      <c r="C27" s="410">
        <v>2641273</v>
      </c>
      <c r="D27" s="410">
        <v>4960855</v>
      </c>
      <c r="E27" s="410">
        <v>4712398</v>
      </c>
      <c r="F27" s="410">
        <v>282424</v>
      </c>
      <c r="G27" s="410">
        <v>4994822</v>
      </c>
      <c r="H27" s="410">
        <v>-33967</v>
      </c>
      <c r="I27" s="410">
        <v>33967</v>
      </c>
      <c r="J27" s="410">
        <v>267883</v>
      </c>
      <c r="K27" s="410">
        <v>-229337</v>
      </c>
      <c r="L27" s="410">
        <v>182974</v>
      </c>
      <c r="M27" s="410">
        <v>412311</v>
      </c>
      <c r="N27" s="410">
        <v>1888</v>
      </c>
      <c r="O27" s="410">
        <v>0</v>
      </c>
      <c r="P27" s="411">
        <v>-6467</v>
      </c>
    </row>
    <row r="28" spans="1:16" ht="12">
      <c r="A28" s="412" t="s">
        <v>638</v>
      </c>
      <c r="B28" s="410">
        <v>2331149</v>
      </c>
      <c r="C28" s="410">
        <v>2080594</v>
      </c>
      <c r="D28" s="410">
        <v>4411743</v>
      </c>
      <c r="E28" s="410">
        <v>4148406</v>
      </c>
      <c r="F28" s="410">
        <v>193897</v>
      </c>
      <c r="G28" s="410">
        <v>4342303</v>
      </c>
      <c r="H28" s="410">
        <v>69440</v>
      </c>
      <c r="I28" s="410">
        <v>-69440</v>
      </c>
      <c r="J28" s="410">
        <v>-12991</v>
      </c>
      <c r="K28" s="410">
        <v>-53529</v>
      </c>
      <c r="L28" s="410">
        <v>190834</v>
      </c>
      <c r="M28" s="410">
        <v>244363</v>
      </c>
      <c r="N28" s="410">
        <v>0</v>
      </c>
      <c r="O28" s="410">
        <v>0</v>
      </c>
      <c r="P28" s="411">
        <v>-2920</v>
      </c>
    </row>
    <row r="29" spans="1:16" ht="12">
      <c r="A29" s="412" t="s">
        <v>639</v>
      </c>
      <c r="B29" s="410">
        <v>1589880</v>
      </c>
      <c r="C29" s="410">
        <v>1585651</v>
      </c>
      <c r="D29" s="410">
        <v>3175531</v>
      </c>
      <c r="E29" s="410">
        <v>2832399</v>
      </c>
      <c r="F29" s="410">
        <v>76982</v>
      </c>
      <c r="G29" s="410">
        <v>2909381</v>
      </c>
      <c r="H29" s="410">
        <v>266150</v>
      </c>
      <c r="I29" s="410">
        <v>-266150</v>
      </c>
      <c r="J29" s="410">
        <v>-8682</v>
      </c>
      <c r="K29" s="410">
        <v>-234906</v>
      </c>
      <c r="L29" s="410">
        <v>46901</v>
      </c>
      <c r="M29" s="410">
        <v>281807</v>
      </c>
      <c r="N29" s="410">
        <v>0</v>
      </c>
      <c r="O29" s="410">
        <v>0</v>
      </c>
      <c r="P29" s="411">
        <v>-22562</v>
      </c>
    </row>
    <row r="30" spans="1:16" ht="12">
      <c r="A30" s="412" t="s">
        <v>640</v>
      </c>
      <c r="B30" s="410">
        <v>2022094</v>
      </c>
      <c r="C30" s="410">
        <v>2038247</v>
      </c>
      <c r="D30" s="410">
        <v>4060341</v>
      </c>
      <c r="E30" s="410">
        <v>3739664</v>
      </c>
      <c r="F30" s="410">
        <v>231831</v>
      </c>
      <c r="G30" s="410">
        <v>3971495</v>
      </c>
      <c r="H30" s="410">
        <v>88846</v>
      </c>
      <c r="I30" s="410">
        <v>-88846</v>
      </c>
      <c r="J30" s="410">
        <v>-43500</v>
      </c>
      <c r="K30" s="410">
        <v>-85346</v>
      </c>
      <c r="L30" s="410">
        <v>83636</v>
      </c>
      <c r="M30" s="410">
        <v>168982</v>
      </c>
      <c r="N30" s="410">
        <v>40000</v>
      </c>
      <c r="O30" s="410">
        <v>0</v>
      </c>
      <c r="P30" s="411">
        <v>0</v>
      </c>
    </row>
    <row r="31" spans="1:16" ht="12">
      <c r="A31" s="412" t="s">
        <v>641</v>
      </c>
      <c r="B31" s="410">
        <v>2623876</v>
      </c>
      <c r="C31" s="410">
        <v>3323752</v>
      </c>
      <c r="D31" s="410">
        <v>5947628</v>
      </c>
      <c r="E31" s="410">
        <v>5842988</v>
      </c>
      <c r="F31" s="410">
        <v>112551</v>
      </c>
      <c r="G31" s="410">
        <v>5955539</v>
      </c>
      <c r="H31" s="410">
        <v>-7911</v>
      </c>
      <c r="I31" s="410">
        <v>7911</v>
      </c>
      <c r="J31" s="410">
        <v>363557</v>
      </c>
      <c r="K31" s="410">
        <v>-375055</v>
      </c>
      <c r="L31" s="410">
        <v>207287</v>
      </c>
      <c r="M31" s="410">
        <v>582342</v>
      </c>
      <c r="N31" s="410">
        <v>0</v>
      </c>
      <c r="O31" s="410">
        <v>9878</v>
      </c>
      <c r="P31" s="411">
        <v>9531</v>
      </c>
    </row>
    <row r="32" spans="1:16" ht="12">
      <c r="A32" s="412" t="s">
        <v>642</v>
      </c>
      <c r="B32" s="410">
        <v>1469297</v>
      </c>
      <c r="C32" s="410">
        <v>2094501</v>
      </c>
      <c r="D32" s="410">
        <v>3563798</v>
      </c>
      <c r="E32" s="410">
        <v>3631156</v>
      </c>
      <c r="F32" s="410">
        <v>8454</v>
      </c>
      <c r="G32" s="410">
        <v>3639610</v>
      </c>
      <c r="H32" s="410">
        <v>-75812</v>
      </c>
      <c r="I32" s="410">
        <v>75812</v>
      </c>
      <c r="J32" s="410">
        <v>112260</v>
      </c>
      <c r="K32" s="410">
        <v>-38019</v>
      </c>
      <c r="L32" s="410">
        <v>134900</v>
      </c>
      <c r="M32" s="410">
        <v>172919</v>
      </c>
      <c r="N32" s="410">
        <v>0</v>
      </c>
      <c r="O32" s="410">
        <v>1571</v>
      </c>
      <c r="P32" s="411">
        <v>0</v>
      </c>
    </row>
    <row r="33" spans="1:16" ht="12">
      <c r="A33" s="412" t="s">
        <v>643</v>
      </c>
      <c r="B33" s="410">
        <v>2578977</v>
      </c>
      <c r="C33" s="410">
        <v>3255785</v>
      </c>
      <c r="D33" s="410">
        <v>5834762</v>
      </c>
      <c r="E33" s="410">
        <v>5306148</v>
      </c>
      <c r="F33" s="410">
        <v>126319</v>
      </c>
      <c r="G33" s="410">
        <v>5432467</v>
      </c>
      <c r="H33" s="410">
        <v>402295</v>
      </c>
      <c r="I33" s="410">
        <v>-402295</v>
      </c>
      <c r="J33" s="410">
        <v>33367</v>
      </c>
      <c r="K33" s="410">
        <v>-390007</v>
      </c>
      <c r="L33" s="410">
        <v>126121</v>
      </c>
      <c r="M33" s="410">
        <v>516128</v>
      </c>
      <c r="N33" s="410">
        <v>0</v>
      </c>
      <c r="O33" s="410">
        <v>0</v>
      </c>
      <c r="P33" s="411">
        <v>-45655</v>
      </c>
    </row>
    <row r="34" spans="1:16" ht="12">
      <c r="A34" s="412" t="s">
        <v>644</v>
      </c>
      <c r="B34" s="410">
        <v>2469226</v>
      </c>
      <c r="C34" s="410">
        <v>2837722</v>
      </c>
      <c r="D34" s="410">
        <v>5306948</v>
      </c>
      <c r="E34" s="410">
        <v>5137784</v>
      </c>
      <c r="F34" s="410">
        <v>109982</v>
      </c>
      <c r="G34" s="410">
        <v>5247766</v>
      </c>
      <c r="H34" s="410">
        <v>59182</v>
      </c>
      <c r="I34" s="410">
        <v>-59182</v>
      </c>
      <c r="J34" s="410">
        <v>31864</v>
      </c>
      <c r="K34" s="410">
        <v>-130871</v>
      </c>
      <c r="L34" s="410">
        <v>86262</v>
      </c>
      <c r="M34" s="410">
        <v>217133</v>
      </c>
      <c r="N34" s="410">
        <v>0</v>
      </c>
      <c r="O34" s="410">
        <v>10000</v>
      </c>
      <c r="P34" s="411">
        <v>29825</v>
      </c>
    </row>
    <row r="35" spans="1:16" ht="12">
      <c r="A35" s="412" t="s">
        <v>645</v>
      </c>
      <c r="B35" s="410">
        <v>2614302</v>
      </c>
      <c r="C35" s="410">
        <v>2631970</v>
      </c>
      <c r="D35" s="410">
        <v>5246272</v>
      </c>
      <c r="E35" s="410">
        <v>5094254</v>
      </c>
      <c r="F35" s="410">
        <v>361832</v>
      </c>
      <c r="G35" s="410">
        <v>5456086</v>
      </c>
      <c r="H35" s="410">
        <v>-209814</v>
      </c>
      <c r="I35" s="410">
        <v>209814</v>
      </c>
      <c r="J35" s="410">
        <v>463351</v>
      </c>
      <c r="K35" s="410">
        <v>-252740</v>
      </c>
      <c r="L35" s="410">
        <v>266029</v>
      </c>
      <c r="M35" s="410">
        <v>518769</v>
      </c>
      <c r="N35" s="410">
        <v>0</v>
      </c>
      <c r="O35" s="410">
        <v>0</v>
      </c>
      <c r="P35" s="411">
        <v>-797</v>
      </c>
    </row>
    <row r="36" spans="1:16" ht="12">
      <c r="A36" s="412" t="s">
        <v>646</v>
      </c>
      <c r="B36" s="410">
        <v>1425000</v>
      </c>
      <c r="C36" s="410">
        <v>2298000</v>
      </c>
      <c r="D36" s="410">
        <v>3723167</v>
      </c>
      <c r="E36" s="410">
        <v>3441100</v>
      </c>
      <c r="F36" s="410">
        <v>150130</v>
      </c>
      <c r="G36" s="410">
        <v>3591230</v>
      </c>
      <c r="H36" s="410">
        <v>131937</v>
      </c>
      <c r="I36" s="410">
        <v>-131937</v>
      </c>
      <c r="J36" s="410">
        <v>330573</v>
      </c>
      <c r="K36" s="410">
        <v>-481619</v>
      </c>
      <c r="L36" s="410">
        <v>233433</v>
      </c>
      <c r="M36" s="410">
        <v>715052</v>
      </c>
      <c r="N36" s="410">
        <v>0</v>
      </c>
      <c r="O36" s="410">
        <v>19109</v>
      </c>
      <c r="P36" s="411">
        <v>0</v>
      </c>
    </row>
    <row r="37" spans="1:16" ht="12">
      <c r="A37" s="412" t="s">
        <v>647</v>
      </c>
      <c r="B37" s="410">
        <v>2576066</v>
      </c>
      <c r="C37" s="410">
        <v>2894159</v>
      </c>
      <c r="D37" s="410">
        <v>5470225</v>
      </c>
      <c r="E37" s="410">
        <v>5089399</v>
      </c>
      <c r="F37" s="410">
        <v>214628</v>
      </c>
      <c r="G37" s="410">
        <v>5304027</v>
      </c>
      <c r="H37" s="410">
        <v>166198</v>
      </c>
      <c r="I37" s="410">
        <v>-166198</v>
      </c>
      <c r="J37" s="410">
        <v>-16965</v>
      </c>
      <c r="K37" s="410">
        <v>-167390</v>
      </c>
      <c r="L37" s="410">
        <v>213643</v>
      </c>
      <c r="M37" s="410">
        <v>381033</v>
      </c>
      <c r="N37" s="410">
        <v>-2069</v>
      </c>
      <c r="O37" s="410">
        <v>20226</v>
      </c>
      <c r="P37" s="411">
        <v>0</v>
      </c>
    </row>
    <row r="38" spans="1:16" ht="12">
      <c r="A38" s="412" t="s">
        <v>648</v>
      </c>
      <c r="B38" s="410">
        <v>3900436</v>
      </c>
      <c r="C38" s="410">
        <v>2696441</v>
      </c>
      <c r="D38" s="410">
        <v>6596877</v>
      </c>
      <c r="E38" s="410">
        <v>6092860</v>
      </c>
      <c r="F38" s="410">
        <v>225811</v>
      </c>
      <c r="G38" s="410">
        <v>6318671</v>
      </c>
      <c r="H38" s="410">
        <v>278206</v>
      </c>
      <c r="I38" s="410">
        <v>-278206</v>
      </c>
      <c r="J38" s="410">
        <v>-203127</v>
      </c>
      <c r="K38" s="410">
        <v>-62847</v>
      </c>
      <c r="L38" s="410">
        <v>373291</v>
      </c>
      <c r="M38" s="410">
        <v>436138</v>
      </c>
      <c r="N38" s="410">
        <v>-5973</v>
      </c>
      <c r="O38" s="410">
        <v>950</v>
      </c>
      <c r="P38" s="411">
        <v>-7209</v>
      </c>
    </row>
    <row r="39" spans="1:16" ht="12">
      <c r="A39" s="412" t="s">
        <v>649</v>
      </c>
      <c r="B39" s="410">
        <v>1259000</v>
      </c>
      <c r="C39" s="410">
        <v>3069257</v>
      </c>
      <c r="D39" s="410">
        <v>4328046</v>
      </c>
      <c r="E39" s="410">
        <v>4021846</v>
      </c>
      <c r="F39" s="410">
        <v>81214</v>
      </c>
      <c r="G39" s="410">
        <v>4103060</v>
      </c>
      <c r="H39" s="410">
        <v>224986</v>
      </c>
      <c r="I39" s="410">
        <v>-224986</v>
      </c>
      <c r="J39" s="410">
        <v>-150995</v>
      </c>
      <c r="K39" s="410">
        <v>-229875</v>
      </c>
      <c r="L39" s="410">
        <v>170581</v>
      </c>
      <c r="M39" s="410">
        <v>400456</v>
      </c>
      <c r="N39" s="410">
        <v>-1702</v>
      </c>
      <c r="O39" s="410">
        <v>89599</v>
      </c>
      <c r="P39" s="411">
        <v>67987</v>
      </c>
    </row>
    <row r="40" spans="1:16" ht="12">
      <c r="A40" s="412" t="s">
        <v>650</v>
      </c>
      <c r="B40" s="410">
        <v>1384919</v>
      </c>
      <c r="C40" s="410">
        <v>2961542</v>
      </c>
      <c r="D40" s="410">
        <v>4346461</v>
      </c>
      <c r="E40" s="410">
        <v>4031402</v>
      </c>
      <c r="F40" s="410">
        <v>165434</v>
      </c>
      <c r="G40" s="410">
        <v>4196836</v>
      </c>
      <c r="H40" s="410">
        <v>149625</v>
      </c>
      <c r="I40" s="410">
        <v>-149625</v>
      </c>
      <c r="J40" s="410">
        <v>-18314</v>
      </c>
      <c r="K40" s="410">
        <v>-124280</v>
      </c>
      <c r="L40" s="410">
        <v>130735</v>
      </c>
      <c r="M40" s="410">
        <v>255015</v>
      </c>
      <c r="N40" s="410">
        <v>-7031</v>
      </c>
      <c r="O40" s="410">
        <v>0</v>
      </c>
      <c r="P40" s="411">
        <v>0</v>
      </c>
    </row>
    <row r="41" spans="1:16" ht="12">
      <c r="A41" s="412" t="s">
        <v>651</v>
      </c>
      <c r="B41" s="410">
        <v>13725000</v>
      </c>
      <c r="C41" s="410">
        <v>5343545</v>
      </c>
      <c r="D41" s="410">
        <v>19069182</v>
      </c>
      <c r="E41" s="410">
        <v>16230563</v>
      </c>
      <c r="F41" s="410">
        <v>2223250</v>
      </c>
      <c r="G41" s="410">
        <v>18453813</v>
      </c>
      <c r="H41" s="410">
        <v>615369</v>
      </c>
      <c r="I41" s="410">
        <v>-615369</v>
      </c>
      <c r="J41" s="410">
        <v>-20936</v>
      </c>
      <c r="K41" s="410">
        <v>-628694</v>
      </c>
      <c r="L41" s="410">
        <v>1178478</v>
      </c>
      <c r="M41" s="410">
        <v>1807172</v>
      </c>
      <c r="N41" s="410">
        <v>-19107</v>
      </c>
      <c r="O41" s="410">
        <v>-25540</v>
      </c>
      <c r="P41" s="411">
        <v>78908</v>
      </c>
    </row>
    <row r="42" spans="1:16" ht="12">
      <c r="A42" s="412" t="s">
        <v>652</v>
      </c>
      <c r="B42" s="410">
        <v>2517983</v>
      </c>
      <c r="C42" s="410">
        <v>2625456</v>
      </c>
      <c r="D42" s="410">
        <v>5143439</v>
      </c>
      <c r="E42" s="410">
        <v>4764134</v>
      </c>
      <c r="F42" s="410">
        <v>121860</v>
      </c>
      <c r="G42" s="410">
        <v>4885994</v>
      </c>
      <c r="H42" s="410">
        <v>257445</v>
      </c>
      <c r="I42" s="410">
        <v>-257445</v>
      </c>
      <c r="J42" s="410">
        <v>105961</v>
      </c>
      <c r="K42" s="410">
        <v>-259634</v>
      </c>
      <c r="L42" s="410">
        <v>184591</v>
      </c>
      <c r="M42" s="410">
        <v>444225</v>
      </c>
      <c r="N42" s="410">
        <v>0</v>
      </c>
      <c r="O42" s="410">
        <v>0</v>
      </c>
      <c r="P42" s="411">
        <v>-103772</v>
      </c>
    </row>
    <row r="43" spans="1:16" ht="12">
      <c r="A43" s="412" t="s">
        <v>653</v>
      </c>
      <c r="B43" s="410">
        <v>3113104</v>
      </c>
      <c r="C43" s="410">
        <v>2906994</v>
      </c>
      <c r="D43" s="410">
        <v>6020098</v>
      </c>
      <c r="E43" s="410">
        <v>5864761</v>
      </c>
      <c r="F43" s="410">
        <v>184514</v>
      </c>
      <c r="G43" s="410">
        <v>6049275</v>
      </c>
      <c r="H43" s="410">
        <v>-29177</v>
      </c>
      <c r="I43" s="410">
        <v>29177</v>
      </c>
      <c r="J43" s="410">
        <v>-84575</v>
      </c>
      <c r="K43" s="410">
        <v>11777</v>
      </c>
      <c r="L43" s="410">
        <v>373141</v>
      </c>
      <c r="M43" s="410">
        <v>361364</v>
      </c>
      <c r="N43" s="410">
        <v>2666</v>
      </c>
      <c r="O43" s="410">
        <v>129073</v>
      </c>
      <c r="P43" s="411">
        <v>-29764</v>
      </c>
    </row>
    <row r="44" spans="1:16" ht="12">
      <c r="A44" s="412" t="s">
        <v>654</v>
      </c>
      <c r="B44" s="410">
        <v>3578236</v>
      </c>
      <c r="C44" s="410">
        <v>3382841</v>
      </c>
      <c r="D44" s="410">
        <v>6961077</v>
      </c>
      <c r="E44" s="410">
        <v>7655974</v>
      </c>
      <c r="F44" s="410">
        <v>145150</v>
      </c>
      <c r="G44" s="410">
        <v>7801124</v>
      </c>
      <c r="H44" s="410">
        <v>-840047</v>
      </c>
      <c r="I44" s="410">
        <v>840047</v>
      </c>
      <c r="J44" s="410">
        <v>672900</v>
      </c>
      <c r="K44" s="410">
        <v>16041</v>
      </c>
      <c r="L44" s="410">
        <v>444384</v>
      </c>
      <c r="M44" s="410">
        <v>428343</v>
      </c>
      <c r="N44" s="410">
        <v>-4333</v>
      </c>
      <c r="O44" s="410">
        <v>-2500</v>
      </c>
      <c r="P44" s="411">
        <v>157939</v>
      </c>
    </row>
    <row r="45" spans="1:16" ht="12">
      <c r="A45" s="412" t="s">
        <v>655</v>
      </c>
      <c r="B45" s="410">
        <v>2170704</v>
      </c>
      <c r="C45" s="410">
        <v>2021888</v>
      </c>
      <c r="D45" s="410">
        <v>4192592</v>
      </c>
      <c r="E45" s="410">
        <v>3798215</v>
      </c>
      <c r="F45" s="410">
        <v>171437</v>
      </c>
      <c r="G45" s="410">
        <v>3969652</v>
      </c>
      <c r="H45" s="410">
        <v>222940</v>
      </c>
      <c r="I45" s="410">
        <v>-222940</v>
      </c>
      <c r="J45" s="410">
        <v>118660</v>
      </c>
      <c r="K45" s="410">
        <v>-292795</v>
      </c>
      <c r="L45" s="410">
        <v>139839</v>
      </c>
      <c r="M45" s="410">
        <v>432634</v>
      </c>
      <c r="N45" s="410">
        <v>0</v>
      </c>
      <c r="O45" s="410">
        <v>7035</v>
      </c>
      <c r="P45" s="411">
        <v>-55840</v>
      </c>
    </row>
    <row r="46" spans="1:16" ht="12">
      <c r="A46" s="412" t="s">
        <v>656</v>
      </c>
      <c r="B46" s="410">
        <v>6325356</v>
      </c>
      <c r="C46" s="410">
        <v>3434599</v>
      </c>
      <c r="D46" s="410">
        <v>9759955</v>
      </c>
      <c r="E46" s="410">
        <v>8852604</v>
      </c>
      <c r="F46" s="410">
        <v>422772</v>
      </c>
      <c r="G46" s="410">
        <v>9275376</v>
      </c>
      <c r="H46" s="410">
        <v>484579</v>
      </c>
      <c r="I46" s="410">
        <v>-484579</v>
      </c>
      <c r="J46" s="410">
        <v>-690592</v>
      </c>
      <c r="K46" s="410">
        <v>6245</v>
      </c>
      <c r="L46" s="410">
        <v>275398</v>
      </c>
      <c r="M46" s="410">
        <v>269153</v>
      </c>
      <c r="N46" s="410">
        <v>294706</v>
      </c>
      <c r="O46" s="410">
        <v>14500</v>
      </c>
      <c r="P46" s="411">
        <v>-109438</v>
      </c>
    </row>
    <row r="47" spans="1:16" ht="12">
      <c r="A47" s="412" t="s">
        <v>657</v>
      </c>
      <c r="B47" s="410">
        <v>1102360</v>
      </c>
      <c r="C47" s="410">
        <v>679716</v>
      </c>
      <c r="D47" s="410">
        <v>1782076</v>
      </c>
      <c r="E47" s="410">
        <v>1675404</v>
      </c>
      <c r="F47" s="410">
        <v>87879</v>
      </c>
      <c r="G47" s="410">
        <v>1763283</v>
      </c>
      <c r="H47" s="410">
        <v>18793</v>
      </c>
      <c r="I47" s="410">
        <v>-18793</v>
      </c>
      <c r="J47" s="410">
        <v>-5000</v>
      </c>
      <c r="K47" s="410">
        <v>-13793</v>
      </c>
      <c r="L47" s="410">
        <v>84789</v>
      </c>
      <c r="M47" s="410">
        <v>98582</v>
      </c>
      <c r="N47" s="410">
        <v>0</v>
      </c>
      <c r="O47" s="410">
        <v>0</v>
      </c>
      <c r="P47" s="411">
        <v>0</v>
      </c>
    </row>
    <row r="48" spans="1:16" ht="12.75">
      <c r="A48" s="406" t="s">
        <v>658</v>
      </c>
      <c r="B48" s="410">
        <f aca="true" t="shared" si="1" ref="B48:P48">SUM(B22:B47)</f>
        <v>75291003</v>
      </c>
      <c r="C48" s="410">
        <f t="shared" si="1"/>
        <v>70134667</v>
      </c>
      <c r="D48" s="410">
        <f t="shared" si="1"/>
        <v>145426845</v>
      </c>
      <c r="E48" s="410">
        <f t="shared" si="1"/>
        <v>135885312</v>
      </c>
      <c r="F48" s="410">
        <f t="shared" si="1"/>
        <v>6590150</v>
      </c>
      <c r="G48" s="410">
        <f t="shared" si="1"/>
        <v>142475462</v>
      </c>
      <c r="H48" s="410">
        <f t="shared" si="1"/>
        <v>2951383</v>
      </c>
      <c r="I48" s="410">
        <f t="shared" si="1"/>
        <v>-2951383</v>
      </c>
      <c r="J48" s="410">
        <f t="shared" si="1"/>
        <v>1318021</v>
      </c>
      <c r="K48" s="410">
        <f t="shared" si="1"/>
        <v>-4874126</v>
      </c>
      <c r="L48" s="410">
        <f t="shared" si="1"/>
        <v>6027198</v>
      </c>
      <c r="M48" s="410">
        <f t="shared" si="1"/>
        <v>10901324</v>
      </c>
      <c r="N48" s="410">
        <f t="shared" si="1"/>
        <v>288940</v>
      </c>
      <c r="O48" s="410">
        <f t="shared" si="1"/>
        <v>432130</v>
      </c>
      <c r="P48" s="411">
        <f t="shared" si="1"/>
        <v>-116348</v>
      </c>
    </row>
    <row r="49" spans="1:16" ht="12.75">
      <c r="A49" s="413" t="s">
        <v>659</v>
      </c>
      <c r="B49" s="414">
        <f aca="true" t="shared" si="2" ref="B49:P49">B48+B20</f>
        <v>195568532</v>
      </c>
      <c r="C49" s="414">
        <f t="shared" si="2"/>
        <v>97276239</v>
      </c>
      <c r="D49" s="414">
        <f t="shared" si="2"/>
        <v>292845946</v>
      </c>
      <c r="E49" s="414">
        <f t="shared" si="2"/>
        <v>271267187</v>
      </c>
      <c r="F49" s="414">
        <f t="shared" si="2"/>
        <v>21981821</v>
      </c>
      <c r="G49" s="414">
        <f t="shared" si="2"/>
        <v>293249008</v>
      </c>
      <c r="H49" s="414">
        <f t="shared" si="2"/>
        <v>-403062</v>
      </c>
      <c r="I49" s="414">
        <f t="shared" si="2"/>
        <v>403062</v>
      </c>
      <c r="J49" s="414">
        <f t="shared" si="2"/>
        <v>-691670</v>
      </c>
      <c r="K49" s="414">
        <f t="shared" si="2"/>
        <v>-958995</v>
      </c>
      <c r="L49" s="414">
        <f t="shared" si="2"/>
        <v>14091047</v>
      </c>
      <c r="M49" s="414">
        <f t="shared" si="2"/>
        <v>15050042</v>
      </c>
      <c r="N49" s="414">
        <f t="shared" si="2"/>
        <v>288940</v>
      </c>
      <c r="O49" s="414">
        <f t="shared" si="2"/>
        <v>622091</v>
      </c>
      <c r="P49" s="415">
        <f t="shared" si="2"/>
        <v>1142696</v>
      </c>
    </row>
    <row r="50" spans="1:7" s="105" customFormat="1" ht="12">
      <c r="A50" s="146" t="s">
        <v>660</v>
      </c>
      <c r="G50" s="105" t="s">
        <v>532</v>
      </c>
    </row>
    <row r="51" s="105" customFormat="1" ht="12">
      <c r="A51" s="146" t="s">
        <v>661</v>
      </c>
    </row>
    <row r="52" spans="1:11" s="105" customFormat="1" ht="12">
      <c r="A52" s="416"/>
      <c r="B52" s="354"/>
      <c r="C52" s="354"/>
      <c r="D52" s="354"/>
      <c r="E52" s="354"/>
      <c r="F52" s="354"/>
      <c r="G52" s="354"/>
      <c r="H52" s="354"/>
      <c r="I52" s="354"/>
      <c r="J52" s="354"/>
      <c r="K52" s="354"/>
    </row>
    <row r="53" s="105" customFormat="1" ht="12">
      <c r="A53" s="379"/>
    </row>
    <row r="54" spans="1:12" s="105" customFormat="1" ht="12">
      <c r="A54" s="417"/>
      <c r="B54" s="417"/>
      <c r="C54" s="8"/>
      <c r="D54" s="8"/>
      <c r="E54" s="8"/>
      <c r="F54" s="8"/>
      <c r="H54" s="76"/>
      <c r="I54" s="76"/>
      <c r="J54" s="76"/>
      <c r="K54" s="76"/>
      <c r="L54" s="76"/>
    </row>
    <row r="55" s="419" customFormat="1" ht="11.25">
      <c r="A55" s="418"/>
    </row>
    <row r="58" spans="1:11" s="8" customFormat="1" ht="11.25" customHeight="1">
      <c r="A58" s="420" t="s">
        <v>662</v>
      </c>
      <c r="H58" s="8" t="s">
        <v>663</v>
      </c>
      <c r="K58" s="8" t="s">
        <v>488</v>
      </c>
    </row>
    <row r="59" ht="11.25">
      <c r="A59" s="331"/>
    </row>
    <row r="67" s="12" customFormat="1" ht="11.25">
      <c r="A67" s="56" t="s">
        <v>489</v>
      </c>
    </row>
    <row r="68" ht="11.25">
      <c r="A68" s="301" t="s">
        <v>490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6" sqref="A6"/>
    </sheetView>
  </sheetViews>
  <sheetFormatPr defaultColWidth="9.140625" defaultRowHeight="12.75"/>
  <cols>
    <col min="1" max="1" width="20.421875" style="302" customWidth="1"/>
    <col min="2" max="2" width="9.7109375" style="294" customWidth="1"/>
    <col min="3" max="3" width="9.57421875" style="294" customWidth="1"/>
    <col min="4" max="4" width="14.8515625" style="294" customWidth="1"/>
    <col min="5" max="9" width="10.57421875" style="294" customWidth="1"/>
    <col min="10" max="10" width="11.8515625" style="294" customWidth="1"/>
    <col min="11" max="12" width="11.00390625" style="294" customWidth="1"/>
    <col min="13" max="16" width="7.140625" style="294" customWidth="1"/>
    <col min="17" max="16384" width="9.140625" style="294" customWidth="1"/>
  </cols>
  <sheetData>
    <row r="1" spans="1:12" s="12" customFormat="1" ht="12.75">
      <c r="A1" s="3" t="s">
        <v>664</v>
      </c>
      <c r="B1" s="3"/>
      <c r="C1" s="3"/>
      <c r="D1" s="3"/>
      <c r="E1" s="3"/>
      <c r="F1" s="3"/>
      <c r="G1" s="3"/>
      <c r="H1" s="3"/>
      <c r="I1" s="3"/>
      <c r="J1" s="3"/>
      <c r="K1" s="109"/>
      <c r="L1" s="4" t="s">
        <v>665</v>
      </c>
    </row>
    <row r="2" spans="1:12" s="1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109"/>
      <c r="L2" s="4"/>
    </row>
    <row r="3" spans="1:12" s="70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6" s="75" customFormat="1" ht="15.75">
      <c r="A4" s="110" t="s">
        <v>666</v>
      </c>
      <c r="B4" s="110"/>
      <c r="C4" s="110"/>
      <c r="D4" s="306"/>
      <c r="E4" s="110"/>
      <c r="F4" s="110"/>
      <c r="G4" s="110"/>
      <c r="H4" s="110"/>
      <c r="I4" s="110"/>
      <c r="J4" s="110"/>
      <c r="K4" s="110"/>
      <c r="L4" s="110"/>
      <c r="M4" s="106"/>
      <c r="N4" s="106"/>
      <c r="O4" s="106"/>
      <c r="P4" s="106"/>
    </row>
    <row r="5" spans="1:16" s="75" customFormat="1" ht="15.75">
      <c r="A5" s="110" t="s">
        <v>534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06"/>
      <c r="N5" s="106"/>
      <c r="O5" s="106"/>
      <c r="P5" s="106"/>
    </row>
    <row r="6" spans="1:16" ht="12.75">
      <c r="A6" s="421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6" s="12" customFormat="1" ht="11.25">
      <c r="A7" s="384"/>
      <c r="B7" s="109"/>
      <c r="C7" s="109"/>
      <c r="D7" s="109"/>
      <c r="E7" s="109"/>
      <c r="F7" s="109"/>
      <c r="G7" s="109"/>
      <c r="H7" s="109"/>
      <c r="I7" s="109"/>
      <c r="J7" s="109"/>
      <c r="K7" s="109" t="s">
        <v>667</v>
      </c>
      <c r="L7" s="109"/>
      <c r="N7" s="109"/>
      <c r="O7" s="109"/>
      <c r="P7" s="109"/>
    </row>
    <row r="8" spans="1:16" s="70" customFormat="1" ht="12.75">
      <c r="A8" s="422"/>
      <c r="B8" s="423"/>
      <c r="C8" s="423"/>
      <c r="D8" s="424"/>
      <c r="E8" s="424"/>
      <c r="F8" s="425" t="s">
        <v>668</v>
      </c>
      <c r="G8" s="391"/>
      <c r="H8" s="391"/>
      <c r="I8" s="426"/>
      <c r="J8" s="391"/>
      <c r="K8" s="391"/>
      <c r="L8" s="427"/>
      <c r="N8" s="3"/>
      <c r="O8" s="3"/>
      <c r="P8" s="3"/>
    </row>
    <row r="9" spans="1:12" s="331" customFormat="1" ht="11.25">
      <c r="A9" s="428"/>
      <c r="B9" s="429"/>
      <c r="C9" s="429"/>
      <c r="D9" s="394"/>
      <c r="E9" s="394"/>
      <c r="F9" s="394"/>
      <c r="G9" s="394"/>
      <c r="H9" s="430" t="s">
        <v>607</v>
      </c>
      <c r="I9" s="431"/>
      <c r="J9" s="394"/>
      <c r="K9" s="394"/>
      <c r="L9" s="432"/>
    </row>
    <row r="10" spans="1:16" ht="45">
      <c r="A10" s="428" t="s">
        <v>669</v>
      </c>
      <c r="B10" s="433" t="s">
        <v>670</v>
      </c>
      <c r="C10" s="433" t="s">
        <v>671</v>
      </c>
      <c r="D10" s="433" t="s">
        <v>672</v>
      </c>
      <c r="E10" s="433" t="s">
        <v>673</v>
      </c>
      <c r="F10" s="433" t="s">
        <v>37</v>
      </c>
      <c r="G10" s="433" t="s">
        <v>674</v>
      </c>
      <c r="H10" s="433" t="s">
        <v>618</v>
      </c>
      <c r="I10" s="433" t="s">
        <v>619</v>
      </c>
      <c r="J10" s="433" t="s">
        <v>47</v>
      </c>
      <c r="K10" s="433" t="s">
        <v>49</v>
      </c>
      <c r="L10" s="434" t="s">
        <v>675</v>
      </c>
      <c r="M10" s="65"/>
      <c r="N10" s="308"/>
      <c r="O10" s="308"/>
      <c r="P10" s="308"/>
    </row>
    <row r="11" spans="1:16" s="12" customFormat="1" ht="11.25">
      <c r="A11" s="435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436">
        <v>12</v>
      </c>
      <c r="M11" s="56"/>
      <c r="N11" s="109"/>
      <c r="O11" s="109"/>
      <c r="P11" s="109"/>
    </row>
    <row r="12" spans="1:13" ht="12">
      <c r="A12" s="437" t="s">
        <v>623</v>
      </c>
      <c r="B12" s="410">
        <v>6753191</v>
      </c>
      <c r="C12" s="410">
        <v>6314954</v>
      </c>
      <c r="D12" s="410">
        <v>438237</v>
      </c>
      <c r="E12" s="410">
        <v>-438237</v>
      </c>
      <c r="F12" s="410">
        <v>0</v>
      </c>
      <c r="G12" s="410">
        <v>-438237</v>
      </c>
      <c r="H12" s="410">
        <v>3600041</v>
      </c>
      <c r="I12" s="410">
        <v>4038278</v>
      </c>
      <c r="J12" s="410">
        <v>0</v>
      </c>
      <c r="K12" s="410">
        <v>0</v>
      </c>
      <c r="L12" s="411">
        <v>0</v>
      </c>
      <c r="M12" s="438"/>
    </row>
    <row r="13" spans="1:13" ht="12">
      <c r="A13" s="437" t="s">
        <v>624</v>
      </c>
      <c r="B13" s="410">
        <v>990555</v>
      </c>
      <c r="C13" s="410">
        <v>962815</v>
      </c>
      <c r="D13" s="410">
        <v>27740</v>
      </c>
      <c r="E13" s="410">
        <v>-27740</v>
      </c>
      <c r="F13" s="410">
        <v>0</v>
      </c>
      <c r="G13" s="410">
        <v>-27740</v>
      </c>
      <c r="H13" s="410">
        <v>36619</v>
      </c>
      <c r="I13" s="410">
        <v>64359</v>
      </c>
      <c r="J13" s="410">
        <v>0</v>
      </c>
      <c r="K13" s="410">
        <v>0</v>
      </c>
      <c r="L13" s="411">
        <v>0</v>
      </c>
      <c r="M13" s="438"/>
    </row>
    <row r="14" spans="1:13" ht="12">
      <c r="A14" s="437" t="s">
        <v>625</v>
      </c>
      <c r="B14" s="410">
        <v>856493</v>
      </c>
      <c r="C14" s="410">
        <v>941318</v>
      </c>
      <c r="D14" s="410">
        <v>-84825</v>
      </c>
      <c r="E14" s="410">
        <v>84825</v>
      </c>
      <c r="F14" s="410">
        <v>0</v>
      </c>
      <c r="G14" s="410">
        <v>84825</v>
      </c>
      <c r="H14" s="410">
        <v>263775</v>
      </c>
      <c r="I14" s="410">
        <v>178950</v>
      </c>
      <c r="J14" s="410">
        <v>0</v>
      </c>
      <c r="K14" s="410">
        <v>0</v>
      </c>
      <c r="L14" s="411">
        <v>0</v>
      </c>
      <c r="M14" s="438">
        <v>0</v>
      </c>
    </row>
    <row r="15" spans="1:13" ht="12">
      <c r="A15" s="437" t="s">
        <v>626</v>
      </c>
      <c r="B15" s="410">
        <v>2031775</v>
      </c>
      <c r="C15" s="410">
        <v>2114990</v>
      </c>
      <c r="D15" s="410">
        <v>-83215</v>
      </c>
      <c r="E15" s="410">
        <v>83215</v>
      </c>
      <c r="F15" s="410">
        <v>0</v>
      </c>
      <c r="G15" s="410">
        <v>83215</v>
      </c>
      <c r="H15" s="410">
        <v>344938</v>
      </c>
      <c r="I15" s="410">
        <v>261723</v>
      </c>
      <c r="J15" s="410">
        <v>0</v>
      </c>
      <c r="K15" s="410">
        <v>0</v>
      </c>
      <c r="L15" s="411">
        <v>0</v>
      </c>
      <c r="M15" s="438">
        <v>0</v>
      </c>
    </row>
    <row r="16" spans="1:13" ht="12">
      <c r="A16" s="437" t="s">
        <v>627</v>
      </c>
      <c r="B16" s="410">
        <v>822819</v>
      </c>
      <c r="C16" s="410">
        <v>739236</v>
      </c>
      <c r="D16" s="410">
        <v>83583</v>
      </c>
      <c r="E16" s="410">
        <v>-83583</v>
      </c>
      <c r="F16" s="410">
        <v>0</v>
      </c>
      <c r="G16" s="410">
        <v>-83583</v>
      </c>
      <c r="H16" s="410">
        <v>150617</v>
      </c>
      <c r="I16" s="410">
        <v>234200</v>
      </c>
      <c r="J16" s="410">
        <v>0</v>
      </c>
      <c r="K16" s="410">
        <v>0</v>
      </c>
      <c r="L16" s="411">
        <v>0</v>
      </c>
      <c r="M16" s="438">
        <v>0</v>
      </c>
    </row>
    <row r="17" spans="1:13" ht="12">
      <c r="A17" s="437" t="s">
        <v>628</v>
      </c>
      <c r="B17" s="410">
        <v>284529</v>
      </c>
      <c r="C17" s="410">
        <v>223710</v>
      </c>
      <c r="D17" s="410">
        <v>60819</v>
      </c>
      <c r="E17" s="410">
        <v>-60819</v>
      </c>
      <c r="F17" s="410">
        <v>0</v>
      </c>
      <c r="G17" s="410">
        <v>-60819</v>
      </c>
      <c r="H17" s="410">
        <v>38765</v>
      </c>
      <c r="I17" s="410">
        <v>99584</v>
      </c>
      <c r="J17" s="410">
        <v>0</v>
      </c>
      <c r="K17" s="410">
        <v>0</v>
      </c>
      <c r="L17" s="411">
        <v>0</v>
      </c>
      <c r="M17" s="438">
        <v>0</v>
      </c>
    </row>
    <row r="18" spans="1:13" ht="12">
      <c r="A18" s="437" t="s">
        <v>629</v>
      </c>
      <c r="B18" s="410">
        <v>5403850</v>
      </c>
      <c r="C18" s="410">
        <v>6235617</v>
      </c>
      <c r="D18" s="410">
        <v>-831767</v>
      </c>
      <c r="E18" s="410">
        <v>831767</v>
      </c>
      <c r="F18" s="410">
        <v>1000000</v>
      </c>
      <c r="G18" s="410">
        <v>-168233</v>
      </c>
      <c r="H18" s="410">
        <v>2268757</v>
      </c>
      <c r="I18" s="410">
        <v>2436990</v>
      </c>
      <c r="J18" s="410">
        <v>0</v>
      </c>
      <c r="K18" s="410">
        <v>0</v>
      </c>
      <c r="L18" s="411">
        <v>0</v>
      </c>
      <c r="M18" s="419">
        <v>0</v>
      </c>
    </row>
    <row r="19" spans="1:16" s="441" customFormat="1" ht="12.75">
      <c r="A19" s="439" t="s">
        <v>630</v>
      </c>
      <c r="B19" s="410">
        <f aca="true" t="shared" si="0" ref="B19:L19">SUM(B12:B18)</f>
        <v>17143212</v>
      </c>
      <c r="C19" s="410">
        <f t="shared" si="0"/>
        <v>17532640</v>
      </c>
      <c r="D19" s="410">
        <f t="shared" si="0"/>
        <v>-389428</v>
      </c>
      <c r="E19" s="410">
        <f t="shared" si="0"/>
        <v>389428</v>
      </c>
      <c r="F19" s="410">
        <f t="shared" si="0"/>
        <v>1000000</v>
      </c>
      <c r="G19" s="410">
        <f t="shared" si="0"/>
        <v>-610572</v>
      </c>
      <c r="H19" s="410">
        <f t="shared" si="0"/>
        <v>6703512</v>
      </c>
      <c r="I19" s="410">
        <f t="shared" si="0"/>
        <v>7314084</v>
      </c>
      <c r="J19" s="410">
        <f t="shared" si="0"/>
        <v>0</v>
      </c>
      <c r="K19" s="410">
        <f t="shared" si="0"/>
        <v>0</v>
      </c>
      <c r="L19" s="411">
        <f t="shared" si="0"/>
        <v>0</v>
      </c>
      <c r="M19" s="440">
        <v>0</v>
      </c>
      <c r="N19" s="440"/>
      <c r="O19" s="440"/>
      <c r="P19" s="440"/>
    </row>
    <row r="20" spans="1:13" ht="12">
      <c r="A20" s="437" t="s">
        <v>632</v>
      </c>
      <c r="B20" s="410">
        <v>360614</v>
      </c>
      <c r="C20" s="410">
        <v>430847</v>
      </c>
      <c r="D20" s="410">
        <v>-70233</v>
      </c>
      <c r="E20" s="410">
        <v>70233</v>
      </c>
      <c r="F20" s="410">
        <v>0</v>
      </c>
      <c r="G20" s="410">
        <v>70233</v>
      </c>
      <c r="H20" s="410">
        <v>177557</v>
      </c>
      <c r="I20" s="410">
        <v>107324</v>
      </c>
      <c r="J20" s="410">
        <v>0</v>
      </c>
      <c r="K20" s="410">
        <v>0</v>
      </c>
      <c r="L20" s="411">
        <v>0</v>
      </c>
      <c r="M20" s="438">
        <v>0</v>
      </c>
    </row>
    <row r="21" spans="1:13" ht="12">
      <c r="A21" s="437" t="s">
        <v>633</v>
      </c>
      <c r="B21" s="410">
        <v>359259</v>
      </c>
      <c r="C21" s="410">
        <v>446993</v>
      </c>
      <c r="D21" s="410">
        <v>-87734</v>
      </c>
      <c r="E21" s="410">
        <v>87734</v>
      </c>
      <c r="F21" s="410">
        <v>0</v>
      </c>
      <c r="G21" s="410">
        <v>69734</v>
      </c>
      <c r="H21" s="410">
        <v>207851</v>
      </c>
      <c r="I21" s="410">
        <v>138117</v>
      </c>
      <c r="J21" s="410">
        <v>0</v>
      </c>
      <c r="K21" s="410">
        <v>18000</v>
      </c>
      <c r="L21" s="411">
        <v>0</v>
      </c>
      <c r="M21" s="438"/>
    </row>
    <row r="22" spans="1:13" ht="12">
      <c r="A22" s="437" t="s">
        <v>634</v>
      </c>
      <c r="B22" s="410">
        <v>440385</v>
      </c>
      <c r="C22" s="410">
        <v>556385</v>
      </c>
      <c r="D22" s="410">
        <v>-116000</v>
      </c>
      <c r="E22" s="410">
        <v>116000</v>
      </c>
      <c r="F22" s="410">
        <v>0</v>
      </c>
      <c r="G22" s="410">
        <v>116000</v>
      </c>
      <c r="H22" s="410">
        <v>207209</v>
      </c>
      <c r="I22" s="410">
        <v>91209</v>
      </c>
      <c r="J22" s="410">
        <v>0</v>
      </c>
      <c r="K22" s="410">
        <v>0</v>
      </c>
      <c r="L22" s="411">
        <v>0</v>
      </c>
      <c r="M22" s="438"/>
    </row>
    <row r="23" spans="1:13" ht="12">
      <c r="A23" s="437" t="s">
        <v>635</v>
      </c>
      <c r="B23" s="410">
        <v>423620</v>
      </c>
      <c r="C23" s="410">
        <v>522623</v>
      </c>
      <c r="D23" s="410">
        <v>-99003</v>
      </c>
      <c r="E23" s="410">
        <v>99003</v>
      </c>
      <c r="F23" s="410">
        <v>0</v>
      </c>
      <c r="G23" s="410">
        <v>99003</v>
      </c>
      <c r="H23" s="410">
        <v>214081</v>
      </c>
      <c r="I23" s="410">
        <v>115078</v>
      </c>
      <c r="J23" s="410">
        <v>0</v>
      </c>
      <c r="K23" s="410">
        <v>0</v>
      </c>
      <c r="L23" s="411">
        <v>0</v>
      </c>
      <c r="M23" s="438"/>
    </row>
    <row r="24" spans="1:13" ht="12">
      <c r="A24" s="437" t="s">
        <v>636</v>
      </c>
      <c r="B24" s="410">
        <v>683139</v>
      </c>
      <c r="C24" s="410">
        <v>831147</v>
      </c>
      <c r="D24" s="410">
        <v>-148008</v>
      </c>
      <c r="E24" s="410">
        <v>148008</v>
      </c>
      <c r="F24" s="410">
        <v>-550</v>
      </c>
      <c r="G24" s="410">
        <v>148558</v>
      </c>
      <c r="H24" s="410">
        <v>300636</v>
      </c>
      <c r="I24" s="410">
        <v>152078</v>
      </c>
      <c r="J24" s="410">
        <v>0</v>
      </c>
      <c r="K24" s="410">
        <v>0</v>
      </c>
      <c r="L24" s="411">
        <v>0</v>
      </c>
      <c r="M24" s="438"/>
    </row>
    <row r="25" spans="1:13" ht="12">
      <c r="A25" s="437" t="s">
        <v>637</v>
      </c>
      <c r="B25" s="410">
        <v>575334</v>
      </c>
      <c r="C25" s="410">
        <v>643602</v>
      </c>
      <c r="D25" s="410">
        <v>-68268</v>
      </c>
      <c r="E25" s="410">
        <v>68268</v>
      </c>
      <c r="F25" s="410">
        <v>0</v>
      </c>
      <c r="G25" s="410">
        <v>68268</v>
      </c>
      <c r="H25" s="410">
        <v>173160</v>
      </c>
      <c r="I25" s="410">
        <v>104892</v>
      </c>
      <c r="J25" s="410">
        <v>0</v>
      </c>
      <c r="K25" s="410">
        <v>0</v>
      </c>
      <c r="L25" s="411">
        <v>0</v>
      </c>
      <c r="M25" s="438"/>
    </row>
    <row r="26" spans="1:13" ht="12">
      <c r="A26" s="437" t="s">
        <v>638</v>
      </c>
      <c r="B26" s="410">
        <v>419309</v>
      </c>
      <c r="C26" s="410">
        <v>530112</v>
      </c>
      <c r="D26" s="410">
        <v>-110803</v>
      </c>
      <c r="E26" s="410">
        <v>110803</v>
      </c>
      <c r="F26" s="410">
        <v>0</v>
      </c>
      <c r="G26" s="410">
        <v>110803</v>
      </c>
      <c r="H26" s="410">
        <v>250003</v>
      </c>
      <c r="I26" s="410">
        <v>139200</v>
      </c>
      <c r="J26" s="410">
        <v>0</v>
      </c>
      <c r="K26" s="410">
        <v>0</v>
      </c>
      <c r="L26" s="411">
        <v>0</v>
      </c>
      <c r="M26" s="438"/>
    </row>
    <row r="27" spans="1:13" ht="12">
      <c r="A27" s="437" t="s">
        <v>639</v>
      </c>
      <c r="B27" s="410">
        <v>345370</v>
      </c>
      <c r="C27" s="410">
        <v>359416</v>
      </c>
      <c r="D27" s="410">
        <v>-14046</v>
      </c>
      <c r="E27" s="410">
        <v>14046</v>
      </c>
      <c r="F27" s="410">
        <v>1561</v>
      </c>
      <c r="G27" s="410">
        <v>12485</v>
      </c>
      <c r="H27" s="410">
        <v>115567</v>
      </c>
      <c r="I27" s="410">
        <v>103082</v>
      </c>
      <c r="J27" s="410">
        <v>0</v>
      </c>
      <c r="K27" s="410">
        <v>0</v>
      </c>
      <c r="L27" s="411">
        <v>0</v>
      </c>
      <c r="M27" s="438"/>
    </row>
    <row r="28" spans="1:13" ht="12">
      <c r="A28" s="437" t="s">
        <v>640</v>
      </c>
      <c r="B28" s="410">
        <v>724302</v>
      </c>
      <c r="C28" s="410">
        <v>662682</v>
      </c>
      <c r="D28" s="410">
        <v>61620</v>
      </c>
      <c r="E28" s="410">
        <v>-61620</v>
      </c>
      <c r="F28" s="410">
        <v>0</v>
      </c>
      <c r="G28" s="410">
        <v>-23841</v>
      </c>
      <c r="H28" s="410">
        <v>199657</v>
      </c>
      <c r="I28" s="410">
        <v>223498</v>
      </c>
      <c r="J28" s="410">
        <v>-37779</v>
      </c>
      <c r="K28" s="410">
        <v>0</v>
      </c>
      <c r="L28" s="411">
        <v>0</v>
      </c>
      <c r="M28" s="438"/>
    </row>
    <row r="29" spans="1:13" ht="12">
      <c r="A29" s="437" t="s">
        <v>641</v>
      </c>
      <c r="B29" s="410">
        <v>625522</v>
      </c>
      <c r="C29" s="410">
        <v>652380</v>
      </c>
      <c r="D29" s="410">
        <v>-26858</v>
      </c>
      <c r="E29" s="410">
        <v>26858</v>
      </c>
      <c r="F29" s="410">
        <v>0</v>
      </c>
      <c r="G29" s="410">
        <v>26858</v>
      </c>
      <c r="H29" s="410">
        <v>170686</v>
      </c>
      <c r="I29" s="410">
        <v>143828</v>
      </c>
      <c r="J29" s="410">
        <v>0</v>
      </c>
      <c r="K29" s="410">
        <v>0</v>
      </c>
      <c r="L29" s="411">
        <v>0</v>
      </c>
      <c r="M29" s="438"/>
    </row>
    <row r="30" spans="1:13" ht="12">
      <c r="A30" s="437" t="s">
        <v>642</v>
      </c>
      <c r="B30" s="410">
        <v>596289</v>
      </c>
      <c r="C30" s="410">
        <v>707081</v>
      </c>
      <c r="D30" s="410">
        <v>-110792</v>
      </c>
      <c r="E30" s="410">
        <v>110792</v>
      </c>
      <c r="F30" s="410">
        <v>0</v>
      </c>
      <c r="G30" s="410">
        <v>110792</v>
      </c>
      <c r="H30" s="410">
        <v>256279</v>
      </c>
      <c r="I30" s="410">
        <v>145487</v>
      </c>
      <c r="J30" s="410">
        <v>0</v>
      </c>
      <c r="K30" s="410">
        <v>0</v>
      </c>
      <c r="L30" s="411">
        <v>0</v>
      </c>
      <c r="M30" s="438"/>
    </row>
    <row r="31" spans="1:13" ht="12">
      <c r="A31" s="437" t="s">
        <v>643</v>
      </c>
      <c r="B31" s="410">
        <v>1057558</v>
      </c>
      <c r="C31" s="410">
        <v>860939</v>
      </c>
      <c r="D31" s="410">
        <v>196619</v>
      </c>
      <c r="E31" s="410">
        <v>-196619</v>
      </c>
      <c r="F31" s="410">
        <v>-25802</v>
      </c>
      <c r="G31" s="410">
        <v>-170817</v>
      </c>
      <c r="H31" s="410">
        <v>272963</v>
      </c>
      <c r="I31" s="410">
        <v>443780</v>
      </c>
      <c r="J31" s="410">
        <v>0</v>
      </c>
      <c r="K31" s="410">
        <v>0</v>
      </c>
      <c r="L31" s="411">
        <v>0</v>
      </c>
      <c r="M31" s="438"/>
    </row>
    <row r="32" spans="1:13" ht="12">
      <c r="A32" s="437" t="s">
        <v>644</v>
      </c>
      <c r="B32" s="410">
        <v>794890</v>
      </c>
      <c r="C32" s="410">
        <v>843876</v>
      </c>
      <c r="D32" s="410">
        <v>-48986</v>
      </c>
      <c r="E32" s="410">
        <v>48986</v>
      </c>
      <c r="F32" s="410">
        <v>0</v>
      </c>
      <c r="G32" s="410">
        <v>57515</v>
      </c>
      <c r="H32" s="410">
        <v>229569</v>
      </c>
      <c r="I32" s="410">
        <v>172054</v>
      </c>
      <c r="J32" s="410">
        <v>0</v>
      </c>
      <c r="K32" s="410">
        <v>-8529</v>
      </c>
      <c r="L32" s="411">
        <v>0</v>
      </c>
      <c r="M32" s="438"/>
    </row>
    <row r="33" spans="1:13" ht="12">
      <c r="A33" s="437" t="s">
        <v>645</v>
      </c>
      <c r="B33" s="410">
        <v>620118</v>
      </c>
      <c r="C33" s="410">
        <v>727190</v>
      </c>
      <c r="D33" s="410">
        <v>-107072</v>
      </c>
      <c r="E33" s="410">
        <v>107072</v>
      </c>
      <c r="F33" s="410">
        <v>0</v>
      </c>
      <c r="G33" s="410">
        <v>107072</v>
      </c>
      <c r="H33" s="410">
        <v>310507</v>
      </c>
      <c r="I33" s="410">
        <v>203435</v>
      </c>
      <c r="J33" s="410">
        <v>0</v>
      </c>
      <c r="K33" s="410">
        <v>0</v>
      </c>
      <c r="L33" s="411">
        <v>0</v>
      </c>
      <c r="M33" s="438"/>
    </row>
    <row r="34" spans="1:13" ht="12">
      <c r="A34" s="437" t="s">
        <v>646</v>
      </c>
      <c r="B34" s="410">
        <v>416412</v>
      </c>
      <c r="C34" s="410">
        <v>618748</v>
      </c>
      <c r="D34" s="410">
        <v>-202336</v>
      </c>
      <c r="E34" s="410">
        <v>202336</v>
      </c>
      <c r="F34" s="410">
        <v>21000</v>
      </c>
      <c r="G34" s="410">
        <v>182196</v>
      </c>
      <c r="H34" s="410">
        <v>308338</v>
      </c>
      <c r="I34" s="410">
        <v>126142</v>
      </c>
      <c r="J34" s="410">
        <v>0</v>
      </c>
      <c r="K34" s="410">
        <v>0</v>
      </c>
      <c r="L34" s="411">
        <v>0</v>
      </c>
      <c r="M34" s="438"/>
    </row>
    <row r="35" spans="1:13" ht="12">
      <c r="A35" s="437" t="s">
        <v>647</v>
      </c>
      <c r="B35" s="410">
        <v>514881</v>
      </c>
      <c r="C35" s="410">
        <v>597239</v>
      </c>
      <c r="D35" s="410">
        <v>-82358</v>
      </c>
      <c r="E35" s="410">
        <v>82358</v>
      </c>
      <c r="F35" s="410">
        <v>-7750</v>
      </c>
      <c r="G35" s="410">
        <v>90108</v>
      </c>
      <c r="H35" s="410">
        <v>251097</v>
      </c>
      <c r="I35" s="410">
        <v>160989</v>
      </c>
      <c r="J35" s="410">
        <v>0</v>
      </c>
      <c r="K35" s="410">
        <v>0</v>
      </c>
      <c r="L35" s="411">
        <v>0</v>
      </c>
      <c r="M35" s="438"/>
    </row>
    <row r="36" spans="1:13" ht="12">
      <c r="A36" s="437" t="s">
        <v>648</v>
      </c>
      <c r="B36" s="410">
        <v>714175</v>
      </c>
      <c r="C36" s="410">
        <v>796099</v>
      </c>
      <c r="D36" s="410">
        <v>-81924</v>
      </c>
      <c r="E36" s="410">
        <v>81924</v>
      </c>
      <c r="F36" s="410">
        <v>0</v>
      </c>
      <c r="G36" s="410">
        <v>83224</v>
      </c>
      <c r="H36" s="410">
        <v>325801</v>
      </c>
      <c r="I36" s="410">
        <v>242577</v>
      </c>
      <c r="J36" s="410">
        <v>0</v>
      </c>
      <c r="K36" s="410">
        <v>-1300</v>
      </c>
      <c r="L36" s="411">
        <v>0</v>
      </c>
      <c r="M36" s="438"/>
    </row>
    <row r="37" spans="1:13" ht="12">
      <c r="A37" s="437" t="s">
        <v>649</v>
      </c>
      <c r="B37" s="410">
        <v>728662</v>
      </c>
      <c r="C37" s="410">
        <v>813165</v>
      </c>
      <c r="D37" s="410">
        <v>-84503</v>
      </c>
      <c r="E37" s="410">
        <v>84503</v>
      </c>
      <c r="F37" s="410">
        <v>0</v>
      </c>
      <c r="G37" s="410">
        <v>84503</v>
      </c>
      <c r="H37" s="410">
        <v>167543</v>
      </c>
      <c r="I37" s="410">
        <v>83040</v>
      </c>
      <c r="J37" s="410">
        <v>0</v>
      </c>
      <c r="K37" s="410">
        <v>0</v>
      </c>
      <c r="L37" s="411">
        <v>0</v>
      </c>
      <c r="M37" s="438"/>
    </row>
    <row r="38" spans="1:13" ht="12">
      <c r="A38" s="437" t="s">
        <v>650</v>
      </c>
      <c r="B38" s="410">
        <v>317084</v>
      </c>
      <c r="C38" s="410">
        <v>372081</v>
      </c>
      <c r="D38" s="410">
        <v>-54997</v>
      </c>
      <c r="E38" s="410">
        <v>54997</v>
      </c>
      <c r="F38" s="410">
        <v>0</v>
      </c>
      <c r="G38" s="410">
        <v>54997</v>
      </c>
      <c r="H38" s="410">
        <v>194456</v>
      </c>
      <c r="I38" s="410">
        <v>139459</v>
      </c>
      <c r="J38" s="410">
        <v>0</v>
      </c>
      <c r="K38" s="410">
        <v>0</v>
      </c>
      <c r="L38" s="411">
        <v>0</v>
      </c>
      <c r="M38" s="438"/>
    </row>
    <row r="39" spans="1:13" ht="12">
      <c r="A39" s="437" t="s">
        <v>651</v>
      </c>
      <c r="B39" s="410">
        <v>1931653</v>
      </c>
      <c r="C39" s="410">
        <v>2106646</v>
      </c>
      <c r="D39" s="410">
        <v>-174993</v>
      </c>
      <c r="E39" s="410">
        <v>174993</v>
      </c>
      <c r="F39" s="410">
        <v>0</v>
      </c>
      <c r="G39" s="410">
        <v>174993</v>
      </c>
      <c r="H39" s="410">
        <v>588844</v>
      </c>
      <c r="I39" s="410">
        <v>413851</v>
      </c>
      <c r="J39" s="410">
        <v>0</v>
      </c>
      <c r="K39" s="410">
        <v>0</v>
      </c>
      <c r="L39" s="411">
        <v>0</v>
      </c>
      <c r="M39" s="438"/>
    </row>
    <row r="40" spans="1:13" ht="12">
      <c r="A40" s="437" t="s">
        <v>652</v>
      </c>
      <c r="B40" s="410">
        <v>378259</v>
      </c>
      <c r="C40" s="410">
        <v>440540</v>
      </c>
      <c r="D40" s="410">
        <v>-63000</v>
      </c>
      <c r="E40" s="410">
        <v>63000</v>
      </c>
      <c r="F40" s="410">
        <v>-1000</v>
      </c>
      <c r="G40" s="410">
        <v>63281</v>
      </c>
      <c r="H40" s="410">
        <v>288633</v>
      </c>
      <c r="I40" s="410">
        <v>225352</v>
      </c>
      <c r="J40" s="410">
        <v>0</v>
      </c>
      <c r="K40" s="410">
        <v>0</v>
      </c>
      <c r="L40" s="411">
        <v>0</v>
      </c>
      <c r="M40" s="438"/>
    </row>
    <row r="41" spans="1:13" ht="12">
      <c r="A41" s="437" t="s">
        <v>653</v>
      </c>
      <c r="B41" s="410">
        <v>874272</v>
      </c>
      <c r="C41" s="410">
        <v>968139</v>
      </c>
      <c r="D41" s="410">
        <v>-93867</v>
      </c>
      <c r="E41" s="410">
        <v>93867</v>
      </c>
      <c r="F41" s="410">
        <v>0</v>
      </c>
      <c r="G41" s="410">
        <v>93867</v>
      </c>
      <c r="H41" s="410">
        <v>267925</v>
      </c>
      <c r="I41" s="410">
        <v>174058</v>
      </c>
      <c r="J41" s="410">
        <v>0</v>
      </c>
      <c r="K41" s="410">
        <v>0</v>
      </c>
      <c r="L41" s="411">
        <v>0</v>
      </c>
      <c r="M41" s="438"/>
    </row>
    <row r="42" spans="1:13" ht="12">
      <c r="A42" s="437" t="s">
        <v>654</v>
      </c>
      <c r="B42" s="410">
        <v>804309</v>
      </c>
      <c r="C42" s="410">
        <v>745148</v>
      </c>
      <c r="D42" s="410">
        <v>59161</v>
      </c>
      <c r="E42" s="410">
        <v>-59161</v>
      </c>
      <c r="F42" s="410">
        <v>25800</v>
      </c>
      <c r="G42" s="410">
        <v>-84961</v>
      </c>
      <c r="H42" s="410">
        <v>205056</v>
      </c>
      <c r="I42" s="410">
        <v>290017</v>
      </c>
      <c r="J42" s="410">
        <v>0</v>
      </c>
      <c r="K42" s="410">
        <v>0</v>
      </c>
      <c r="L42" s="411">
        <v>0</v>
      </c>
      <c r="M42" s="438"/>
    </row>
    <row r="43" spans="1:13" ht="12">
      <c r="A43" s="437" t="s">
        <v>655</v>
      </c>
      <c r="B43" s="410">
        <v>335216</v>
      </c>
      <c r="C43" s="410">
        <v>392671</v>
      </c>
      <c r="D43" s="410">
        <v>-57455</v>
      </c>
      <c r="E43" s="410">
        <v>57455</v>
      </c>
      <c r="F43" s="410">
        <v>0</v>
      </c>
      <c r="G43" s="410">
        <v>58000</v>
      </c>
      <c r="H43" s="410">
        <v>141026</v>
      </c>
      <c r="I43" s="410">
        <v>83571</v>
      </c>
      <c r="J43" s="410">
        <v>0</v>
      </c>
      <c r="K43" s="410">
        <v>0</v>
      </c>
      <c r="L43" s="411">
        <v>0</v>
      </c>
      <c r="M43" s="438"/>
    </row>
    <row r="44" spans="1:13" ht="12">
      <c r="A44" s="437" t="s">
        <v>656</v>
      </c>
      <c r="B44" s="410">
        <v>513991</v>
      </c>
      <c r="C44" s="410">
        <v>608617</v>
      </c>
      <c r="D44" s="410">
        <v>-94626</v>
      </c>
      <c r="E44" s="410">
        <v>94626</v>
      </c>
      <c r="F44" s="410">
        <v>0</v>
      </c>
      <c r="G44" s="410">
        <v>94626</v>
      </c>
      <c r="H44" s="410">
        <v>288716</v>
      </c>
      <c r="I44" s="410">
        <v>194090</v>
      </c>
      <c r="J44" s="410">
        <v>0</v>
      </c>
      <c r="K44" s="410">
        <v>0</v>
      </c>
      <c r="L44" s="411">
        <v>0</v>
      </c>
      <c r="M44" s="438"/>
    </row>
    <row r="45" spans="1:13" ht="12">
      <c r="A45" s="437" t="s">
        <v>657</v>
      </c>
      <c r="B45" s="410">
        <v>413303</v>
      </c>
      <c r="C45" s="410">
        <v>532551</v>
      </c>
      <c r="D45" s="410">
        <v>-119248</v>
      </c>
      <c r="E45" s="410">
        <v>119248</v>
      </c>
      <c r="F45" s="410">
        <v>0</v>
      </c>
      <c r="G45" s="410">
        <v>119248</v>
      </c>
      <c r="H45" s="410">
        <v>320307</v>
      </c>
      <c r="I45" s="410">
        <v>201059</v>
      </c>
      <c r="J45" s="410">
        <v>0</v>
      </c>
      <c r="K45" s="410">
        <v>0</v>
      </c>
      <c r="L45" s="411">
        <v>0</v>
      </c>
      <c r="M45" s="438"/>
    </row>
    <row r="46" spans="1:12" ht="12.75">
      <c r="A46" s="439" t="s">
        <v>658</v>
      </c>
      <c r="B46" s="410">
        <f aca="true" t="shared" si="1" ref="B46:L46">SUM(B20:B45)</f>
        <v>15967926</v>
      </c>
      <c r="C46" s="410">
        <f t="shared" si="1"/>
        <v>17766917</v>
      </c>
      <c r="D46" s="410">
        <f t="shared" si="1"/>
        <v>-1799710</v>
      </c>
      <c r="E46" s="410">
        <f t="shared" si="1"/>
        <v>1799710</v>
      </c>
      <c r="F46" s="410">
        <f t="shared" si="1"/>
        <v>13259</v>
      </c>
      <c r="G46" s="410">
        <f t="shared" si="1"/>
        <v>1816745</v>
      </c>
      <c r="H46" s="410">
        <f t="shared" si="1"/>
        <v>6433467</v>
      </c>
      <c r="I46" s="410">
        <f t="shared" si="1"/>
        <v>4617267</v>
      </c>
      <c r="J46" s="410">
        <f t="shared" si="1"/>
        <v>-37779</v>
      </c>
      <c r="K46" s="410">
        <f t="shared" si="1"/>
        <v>8171</v>
      </c>
      <c r="L46" s="411">
        <f t="shared" si="1"/>
        <v>0</v>
      </c>
    </row>
    <row r="47" spans="1:12" ht="12.75">
      <c r="A47" s="442" t="s">
        <v>659</v>
      </c>
      <c r="B47" s="414">
        <f aca="true" t="shared" si="2" ref="B47:L47">SUM(B46,B19)</f>
        <v>33111138</v>
      </c>
      <c r="C47" s="414">
        <f t="shared" si="2"/>
        <v>35299557</v>
      </c>
      <c r="D47" s="414">
        <f t="shared" si="2"/>
        <v>-2189138</v>
      </c>
      <c r="E47" s="414">
        <f t="shared" si="2"/>
        <v>2189138</v>
      </c>
      <c r="F47" s="414">
        <f t="shared" si="2"/>
        <v>1013259</v>
      </c>
      <c r="G47" s="414">
        <f t="shared" si="2"/>
        <v>1206173</v>
      </c>
      <c r="H47" s="414">
        <f t="shared" si="2"/>
        <v>13136979</v>
      </c>
      <c r="I47" s="414">
        <f t="shared" si="2"/>
        <v>11931351</v>
      </c>
      <c r="J47" s="414">
        <f t="shared" si="2"/>
        <v>-37779</v>
      </c>
      <c r="K47" s="414">
        <f t="shared" si="2"/>
        <v>8171</v>
      </c>
      <c r="L47" s="415">
        <f t="shared" si="2"/>
        <v>0</v>
      </c>
    </row>
    <row r="48" s="105" customFormat="1" ht="12">
      <c r="A48" s="146" t="s">
        <v>676</v>
      </c>
    </row>
    <row r="53" spans="1:11" s="8" customFormat="1" ht="11.25" customHeight="1">
      <c r="A53" s="420" t="s">
        <v>529</v>
      </c>
      <c r="H53" s="8" t="s">
        <v>663</v>
      </c>
      <c r="K53" s="8" t="s">
        <v>488</v>
      </c>
    </row>
    <row r="54" spans="1:16" s="105" customFormat="1" ht="12">
      <c r="A54" s="7"/>
      <c r="B54" s="351"/>
      <c r="C54" s="8"/>
      <c r="D54" s="351"/>
      <c r="E54" s="351"/>
      <c r="F54" s="351"/>
      <c r="G54" s="8"/>
      <c r="H54" s="76"/>
      <c r="I54" s="351"/>
      <c r="J54" s="351"/>
      <c r="K54" s="351"/>
      <c r="L54" s="351"/>
      <c r="M54" s="351"/>
      <c r="N54" s="351"/>
      <c r="O54" s="351"/>
      <c r="P54" s="351"/>
    </row>
    <row r="55" spans="1:8" s="445" customFormat="1" ht="11.25">
      <c r="A55" s="443"/>
      <c r="B55" s="444"/>
      <c r="C55" s="294"/>
      <c r="D55" s="257"/>
      <c r="E55" s="294"/>
      <c r="F55" s="257"/>
      <c r="G55" s="257"/>
      <c r="H55" s="294"/>
    </row>
    <row r="56" spans="1:9" s="419" customFormat="1" ht="12.75">
      <c r="A56" s="379"/>
      <c r="B56" s="446"/>
      <c r="C56" s="294"/>
      <c r="D56" s="186"/>
      <c r="E56" s="186"/>
      <c r="G56" s="447"/>
      <c r="I56" s="105"/>
    </row>
    <row r="57" spans="1:16" s="105" customFormat="1" ht="12">
      <c r="A57" s="7"/>
      <c r="B57" s="351"/>
      <c r="C57" s="8"/>
      <c r="D57" s="351"/>
      <c r="E57" s="351"/>
      <c r="F57" s="351"/>
      <c r="G57" s="8"/>
      <c r="H57" s="76"/>
      <c r="I57" s="351"/>
      <c r="J57" s="351"/>
      <c r="K57" s="351"/>
      <c r="L57" s="351"/>
      <c r="M57" s="351"/>
      <c r="N57" s="351"/>
      <c r="O57" s="351"/>
      <c r="P57" s="351"/>
    </row>
    <row r="58" s="419" customFormat="1" ht="11.25">
      <c r="A58" s="418"/>
    </row>
    <row r="59" spans="1:6" s="419" customFormat="1" ht="11.25">
      <c r="A59" s="418"/>
      <c r="B59" s="294"/>
      <c r="C59" s="294"/>
      <c r="D59" s="294"/>
      <c r="E59" s="294"/>
      <c r="F59" s="294"/>
    </row>
    <row r="67" s="56" customFormat="1" ht="11.25">
      <c r="A67" s="56" t="s">
        <v>144</v>
      </c>
    </row>
    <row r="68" ht="11.25">
      <c r="A68" s="301" t="s">
        <v>490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W62"/>
  <sheetViews>
    <sheetView workbookViewId="0" topLeftCell="A1">
      <selection activeCell="A6" sqref="A6"/>
    </sheetView>
  </sheetViews>
  <sheetFormatPr defaultColWidth="9.140625" defaultRowHeight="12.75"/>
  <cols>
    <col min="1" max="1" width="64.8515625" style="294" customWidth="1"/>
    <col min="2" max="2" width="19.140625" style="294" customWidth="1"/>
    <col min="3" max="16384" width="9.140625" style="294" customWidth="1"/>
  </cols>
  <sheetData>
    <row r="1" spans="1:4" s="12" customFormat="1" ht="12.75">
      <c r="A1" s="70" t="s">
        <v>677</v>
      </c>
      <c r="B1" s="70" t="s">
        <v>678</v>
      </c>
      <c r="D1" s="445"/>
    </row>
    <row r="2" spans="1:2" s="12" customFormat="1" ht="12.75">
      <c r="A2" s="70"/>
      <c r="B2" s="70"/>
    </row>
    <row r="3" s="8" customFormat="1" ht="12"/>
    <row r="4" s="8" customFormat="1" ht="15.75">
      <c r="A4" s="75" t="s">
        <v>679</v>
      </c>
    </row>
    <row r="5" s="8" customFormat="1" ht="15.75">
      <c r="A5" s="288" t="s">
        <v>680</v>
      </c>
    </row>
    <row r="6" spans="1:2" s="8" customFormat="1" ht="12">
      <c r="A6" s="445"/>
      <c r="B6" s="445"/>
    </row>
    <row r="7" spans="1:2" s="8" customFormat="1" ht="12">
      <c r="A7" s="448"/>
      <c r="B7" s="449" t="s">
        <v>681</v>
      </c>
    </row>
    <row r="8" spans="1:2" s="8" customFormat="1" ht="12.75">
      <c r="A8" s="450" t="s">
        <v>7</v>
      </c>
      <c r="B8" s="451" t="s">
        <v>682</v>
      </c>
    </row>
    <row r="9" spans="1:127" s="35" customFormat="1" ht="12.75">
      <c r="A9" s="452">
        <v>1</v>
      </c>
      <c r="B9" s="453">
        <v>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35" customFormat="1" ht="23.25" customHeight="1">
      <c r="A10" s="454" t="s">
        <v>683</v>
      </c>
      <c r="B10" s="455">
        <f>SUM(B11:B16)</f>
        <v>22710825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35" customFormat="1" ht="23.25" customHeight="1">
      <c r="A11" s="456" t="s">
        <v>684</v>
      </c>
      <c r="B11" s="457">
        <v>9182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35" customFormat="1" ht="19.5" customHeight="1">
      <c r="A12" s="458" t="s">
        <v>685</v>
      </c>
      <c r="B12" s="45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35" customFormat="1" ht="17.25" customHeight="1">
      <c r="A13" s="460" t="s">
        <v>686</v>
      </c>
      <c r="B13" s="461">
        <v>270000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35" customFormat="1" ht="23.25" customHeight="1">
      <c r="A14" s="456" t="s">
        <v>687</v>
      </c>
      <c r="B14" s="457">
        <v>4577258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35" customFormat="1" ht="23.25" customHeight="1">
      <c r="A15" s="456" t="s">
        <v>688</v>
      </c>
      <c r="B15" s="457">
        <v>17854385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35" customFormat="1" ht="23.25" customHeight="1">
      <c r="A16" s="456" t="s">
        <v>689</v>
      </c>
      <c r="B16" s="45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35" customFormat="1" ht="23.25" customHeight="1">
      <c r="A17" s="462" t="s">
        <v>690</v>
      </c>
      <c r="B17" s="455">
        <f>SUM(B18:B19)</f>
        <v>22622297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35" customFormat="1" ht="23.25" customHeight="1">
      <c r="A18" s="456" t="s">
        <v>691</v>
      </c>
      <c r="B18" s="457">
        <v>22622297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35" customFormat="1" ht="23.25" customHeight="1">
      <c r="A19" s="456" t="s">
        <v>692</v>
      </c>
      <c r="B19" s="45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97" s="35" customFormat="1" ht="23.25" customHeight="1">
      <c r="A20" s="463" t="s">
        <v>693</v>
      </c>
      <c r="B20" s="464">
        <f>SUM(B10-B17)</f>
        <v>88528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s="105" customFormat="1" ht="12.75">
      <c r="A21" s="186"/>
      <c r="B21" s="18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s="105" customFormat="1" ht="12.75">
      <c r="A22" s="186"/>
      <c r="B22" s="18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82" s="105" customFormat="1" ht="12.75">
      <c r="A23" s="186"/>
      <c r="B23" s="18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1:82" s="105" customFormat="1" ht="12.75">
      <c r="A24" s="186"/>
      <c r="B24" s="18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1:82" s="186" customFormat="1" ht="12.75">
      <c r="A25" s="105" t="s">
        <v>694</v>
      </c>
      <c r="B25" s="300" t="s">
        <v>488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s="186" customFormat="1" ht="12.75">
      <c r="A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="8" customFormat="1" ht="12"/>
    <row r="28" spans="1:2" s="8" customFormat="1" ht="14.25">
      <c r="A28" s="101"/>
      <c r="B28" s="73"/>
    </row>
    <row r="29" spans="1:2" s="8" customFormat="1" ht="14.25">
      <c r="A29" s="101"/>
      <c r="B29" s="73"/>
    </row>
    <row r="30" spans="1:2" s="8" customFormat="1" ht="14.25">
      <c r="A30" s="101"/>
      <c r="B30" s="193"/>
    </row>
    <row r="31" s="8" customFormat="1" ht="14.25">
      <c r="A31" s="101"/>
    </row>
    <row r="32" s="8" customFormat="1" ht="14.25">
      <c r="A32" s="101"/>
    </row>
    <row r="33" s="8" customFormat="1" ht="14.25">
      <c r="A33" s="101"/>
    </row>
    <row r="34" s="8" customFormat="1" ht="14.25">
      <c r="A34" s="101"/>
    </row>
    <row r="35" s="8" customFormat="1" ht="14.25">
      <c r="A35" s="101"/>
    </row>
    <row r="36" s="8" customFormat="1" ht="14.25">
      <c r="A36" s="101"/>
    </row>
    <row r="37" s="8" customFormat="1" ht="14.25">
      <c r="A37" s="101"/>
    </row>
    <row r="38" s="8" customFormat="1" ht="14.25">
      <c r="A38" s="101"/>
    </row>
    <row r="39" s="8" customFormat="1" ht="14.25">
      <c r="A39" s="101"/>
    </row>
    <row r="40" spans="1:82" ht="14.25">
      <c r="A40" s="10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spans="1:82" ht="14.25">
      <c r="A41" s="10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</row>
    <row r="42" spans="1:82" ht="14.25">
      <c r="A42" s="10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</row>
    <row r="43" spans="1:82" ht="14.25">
      <c r="A43" s="10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spans="1:82" ht="14.25">
      <c r="A44" s="10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</row>
    <row r="45" spans="1:82" ht="14.25">
      <c r="A45" s="10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</row>
    <row r="46" spans="1:82" ht="14.25">
      <c r="A46" s="10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</row>
    <row r="47" spans="1:82" ht="14.25">
      <c r="A47" s="10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</row>
    <row r="48" spans="1:82" ht="14.25">
      <c r="A48" s="10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ht="14.25">
      <c r="A49" s="10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1:82" ht="14.25">
      <c r="A50" s="10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1:82" ht="14.25">
      <c r="A51" s="10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spans="1:82" ht="14.25">
      <c r="A52" s="10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</row>
    <row r="53" spans="1:82" ht="14.25">
      <c r="A53" s="10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</row>
    <row r="54" spans="1:82" ht="14.25">
      <c r="A54" s="10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</row>
    <row r="55" spans="1:82" ht="14.25">
      <c r="A55" s="10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  <row r="56" spans="1:82" ht="14.25">
      <c r="A56" s="10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</row>
    <row r="57" spans="12:82" ht="12"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</row>
    <row r="58" spans="12:82" ht="12"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</row>
    <row r="59" spans="12:82" ht="12"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</row>
    <row r="60" spans="12:82" ht="12"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</row>
    <row r="61" spans="12:82" ht="12"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</row>
    <row r="62" spans="12:82" ht="12"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96"/>
  <sheetViews>
    <sheetView workbookViewId="0" topLeftCell="F1">
      <selection activeCell="A6" sqref="A6"/>
    </sheetView>
  </sheetViews>
  <sheetFormatPr defaultColWidth="9.140625" defaultRowHeight="12.75"/>
  <cols>
    <col min="1" max="1" width="49.57421875" style="70" hidden="1" customWidth="1"/>
    <col min="2" max="2" width="12.7109375" style="278" hidden="1" customWidth="1"/>
    <col min="3" max="3" width="11.7109375" style="70" hidden="1" customWidth="1"/>
    <col min="4" max="4" width="9.57421875" style="70" hidden="1" customWidth="1"/>
    <col min="5" max="5" width="12.00390625" style="70" hidden="1" customWidth="1"/>
    <col min="6" max="6" width="46.710937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8.7109375" style="0" customWidth="1"/>
    <col min="212" max="16384" width="9.140625" style="70" customWidth="1"/>
  </cols>
  <sheetData>
    <row r="1" spans="5:10" ht="12.75">
      <c r="E1" s="70" t="s">
        <v>356</v>
      </c>
      <c r="F1" s="70"/>
      <c r="G1" s="278"/>
      <c r="H1" s="70"/>
      <c r="I1" s="70"/>
      <c r="J1" s="70" t="s">
        <v>356</v>
      </c>
    </row>
    <row r="2" spans="1:10" ht="18" customHeight="1">
      <c r="A2" s="3" t="s">
        <v>177</v>
      </c>
      <c r="B2" s="279"/>
      <c r="C2" s="3"/>
      <c r="D2" s="3"/>
      <c r="E2" s="3"/>
      <c r="F2" s="3" t="s">
        <v>177</v>
      </c>
      <c r="G2" s="279"/>
      <c r="H2" s="3"/>
      <c r="I2" s="3"/>
      <c r="J2" s="3"/>
    </row>
    <row r="3" spans="6:10" ht="9.75" customHeight="1">
      <c r="F3" s="70"/>
      <c r="G3" s="278"/>
      <c r="H3" s="70"/>
      <c r="I3" s="70"/>
      <c r="J3" s="70"/>
    </row>
    <row r="4" spans="1:10" ht="18.75" customHeight="1">
      <c r="A4" s="292" t="s">
        <v>357</v>
      </c>
      <c r="B4" s="292"/>
      <c r="C4" s="292"/>
      <c r="D4" s="292"/>
      <c r="E4" s="292"/>
      <c r="F4" s="292" t="s">
        <v>357</v>
      </c>
      <c r="G4" s="292"/>
      <c r="H4" s="292"/>
      <c r="I4" s="292"/>
      <c r="J4" s="292"/>
    </row>
    <row r="5" spans="1:10" ht="15.75" customHeight="1">
      <c r="A5" s="280"/>
      <c r="B5" s="279"/>
      <c r="C5" s="3"/>
      <c r="D5" s="12"/>
      <c r="E5" s="12"/>
      <c r="F5" s="280"/>
      <c r="G5" s="279"/>
      <c r="H5" s="3"/>
      <c r="I5" s="12"/>
      <c r="J5" s="12" t="s">
        <v>358</v>
      </c>
    </row>
    <row r="6" spans="1:10" ht="45">
      <c r="A6" s="10" t="s">
        <v>7</v>
      </c>
      <c r="B6" s="176" t="s">
        <v>70</v>
      </c>
      <c r="C6" s="10" t="s">
        <v>71</v>
      </c>
      <c r="D6" s="10" t="s">
        <v>359</v>
      </c>
      <c r="E6" s="10" t="s">
        <v>360</v>
      </c>
      <c r="F6" s="10" t="s">
        <v>7</v>
      </c>
      <c r="G6" s="176" t="s">
        <v>70</v>
      </c>
      <c r="H6" s="10" t="s">
        <v>71</v>
      </c>
      <c r="I6" s="10" t="s">
        <v>359</v>
      </c>
      <c r="J6" s="10" t="s">
        <v>360</v>
      </c>
    </row>
    <row r="7" spans="1:10" ht="12.75">
      <c r="A7" s="10">
        <v>1</v>
      </c>
      <c r="B7" s="176">
        <v>2</v>
      </c>
      <c r="C7" s="10">
        <v>3</v>
      </c>
      <c r="D7" s="10">
        <v>4</v>
      </c>
      <c r="E7" s="10">
        <v>5</v>
      </c>
      <c r="F7" s="10">
        <v>1</v>
      </c>
      <c r="G7" s="176">
        <v>2</v>
      </c>
      <c r="H7" s="10">
        <v>3</v>
      </c>
      <c r="I7" s="10">
        <v>4</v>
      </c>
      <c r="J7" s="10">
        <v>5</v>
      </c>
    </row>
    <row r="8" spans="1:10" ht="30" customHeight="1">
      <c r="A8" s="54" t="s">
        <v>361</v>
      </c>
      <c r="B8" s="159">
        <f>SUM(B21,B29)</f>
        <v>1322445248</v>
      </c>
      <c r="C8" s="159">
        <f>SUM(C21,C29)</f>
        <v>935412199</v>
      </c>
      <c r="D8" s="117">
        <f>IF(ISERROR(C8/B8)," ",(C8/B8))</f>
        <v>0.7073352945346286</v>
      </c>
      <c r="E8" s="159">
        <f>SUM(E21,E29)</f>
        <v>107735674</v>
      </c>
      <c r="F8" s="54" t="s">
        <v>361</v>
      </c>
      <c r="G8" s="222">
        <f>SUM(G21,G29)</f>
        <v>1322445</v>
      </c>
      <c r="H8" s="222">
        <f>SUM(H21,H29)</f>
        <v>935413</v>
      </c>
      <c r="I8" s="87">
        <f>IF(ISERROR(H8/G8)," ",(H8/G8))</f>
        <v>0.707336032878494</v>
      </c>
      <c r="J8" s="222">
        <f>SUM(J21,J29)</f>
        <v>107739</v>
      </c>
    </row>
    <row r="9" spans="1:10" ht="29.25" customHeight="1">
      <c r="A9" s="281" t="s">
        <v>362</v>
      </c>
      <c r="B9" s="159">
        <f>SUM(B10,B18,B19)</f>
        <v>664848446</v>
      </c>
      <c r="C9" s="159">
        <f>SUM(C10,C18,C19)</f>
        <v>476248126</v>
      </c>
      <c r="D9" s="117">
        <f aca="true" t="shared" si="0" ref="D9:D45">IF(ISERROR(C9/B9)," ",(C9/B9))</f>
        <v>0.7163258466877728</v>
      </c>
      <c r="E9" s="159">
        <f>SUM(E10,E18,E19)</f>
        <v>53664670</v>
      </c>
      <c r="F9" s="281" t="s">
        <v>362</v>
      </c>
      <c r="G9" s="163">
        <f>SUM(G10,G18,G19)</f>
        <v>664848</v>
      </c>
      <c r="H9" s="163">
        <f>SUM(H10,H18,H19)</f>
        <v>476249</v>
      </c>
      <c r="I9" s="154">
        <f aca="true" t="shared" si="1" ref="I9:I45">IF(ISERROR(H9/G9)," ",(H9/G9))</f>
        <v>0.716327641806849</v>
      </c>
      <c r="J9" s="163">
        <f>SUM(J10,J18,J19)</f>
        <v>53666</v>
      </c>
    </row>
    <row r="10" spans="1:10" ht="19.5" customHeight="1">
      <c r="A10" s="39" t="s">
        <v>363</v>
      </c>
      <c r="B10" s="202">
        <f>SUM(B11,B13,B17)</f>
        <v>515297983</v>
      </c>
      <c r="C10" s="202">
        <f>SUM(C11,C13,C17)</f>
        <v>392335668</v>
      </c>
      <c r="D10" s="128">
        <f t="shared" si="0"/>
        <v>0.7613762928313267</v>
      </c>
      <c r="E10" s="202">
        <f>SUM(E11,E13,E17)</f>
        <v>44490910</v>
      </c>
      <c r="F10" s="39" t="s">
        <v>363</v>
      </c>
      <c r="G10" s="202">
        <f>SUM(G11,G13,G17)</f>
        <v>515297</v>
      </c>
      <c r="H10" s="202">
        <f>SUM(H11,H13,H17)</f>
        <v>392336</v>
      </c>
      <c r="I10" s="96">
        <f t="shared" si="1"/>
        <v>0.7613783895501041</v>
      </c>
      <c r="J10" s="202">
        <f>SUM(J11,J13,J17)</f>
        <v>44492</v>
      </c>
    </row>
    <row r="11" spans="1:10" ht="15.75" customHeight="1">
      <c r="A11" s="46" t="s">
        <v>364</v>
      </c>
      <c r="B11" s="202">
        <f>SUM(B12)</f>
        <v>85300000</v>
      </c>
      <c r="C11" s="202">
        <f>SUM(C12)</f>
        <v>68414589</v>
      </c>
      <c r="D11" s="128">
        <f t="shared" si="0"/>
        <v>0.8020467643610786</v>
      </c>
      <c r="E11" s="202">
        <f>SUM(E12)</f>
        <v>7424157</v>
      </c>
      <c r="F11" s="46" t="s">
        <v>364</v>
      </c>
      <c r="G11" s="202">
        <f>SUM(G12)</f>
        <v>85300</v>
      </c>
      <c r="H11" s="202">
        <f>SUM(H12)</f>
        <v>68415</v>
      </c>
      <c r="I11" s="96">
        <f t="shared" si="1"/>
        <v>0.8020515826494724</v>
      </c>
      <c r="J11" s="202">
        <f>SUM(J12)</f>
        <v>7425</v>
      </c>
    </row>
    <row r="12" spans="1:10" ht="15.75" customHeight="1">
      <c r="A12" s="35" t="s">
        <v>365</v>
      </c>
      <c r="B12" s="202">
        <v>85300000</v>
      </c>
      <c r="C12" s="202">
        <f>'[6]Septembris'!$D$11</f>
        <v>68414589</v>
      </c>
      <c r="D12" s="128">
        <f t="shared" si="0"/>
        <v>0.8020467643610786</v>
      </c>
      <c r="E12" s="202">
        <f>C12-'[7]Augusts'!C12</f>
        <v>7424157</v>
      </c>
      <c r="F12" s="35" t="s">
        <v>365</v>
      </c>
      <c r="G12" s="202">
        <f>ROUND(B12/1000,0)</f>
        <v>85300</v>
      </c>
      <c r="H12" s="202">
        <f>ROUND(C12/1000,0)</f>
        <v>68415</v>
      </c>
      <c r="I12" s="96">
        <f t="shared" si="1"/>
        <v>0.8020515826494724</v>
      </c>
      <c r="J12" s="202">
        <f>H12-'[7]Augusts'!H12</f>
        <v>7425</v>
      </c>
    </row>
    <row r="13" spans="1:10" ht="16.5" customHeight="1">
      <c r="A13" s="46" t="s">
        <v>366</v>
      </c>
      <c r="B13" s="202">
        <f>SUM(B14:B16)</f>
        <v>429997983</v>
      </c>
      <c r="C13" s="202">
        <f>SUM(C14:C16)</f>
        <v>319458945</v>
      </c>
      <c r="D13" s="128">
        <f t="shared" si="0"/>
        <v>0.7429312639357194</v>
      </c>
      <c r="E13" s="202">
        <f>SUM(E14:E16)</f>
        <v>36978501</v>
      </c>
      <c r="F13" s="46" t="s">
        <v>366</v>
      </c>
      <c r="G13" s="202">
        <f>SUM(G14:G16)</f>
        <v>429997</v>
      </c>
      <c r="H13" s="202">
        <f>SUM(H14:H16)</f>
        <v>319459</v>
      </c>
      <c r="I13" s="96">
        <f t="shared" si="1"/>
        <v>0.7429330902308621</v>
      </c>
      <c r="J13" s="202">
        <f>SUM(J14:J16)</f>
        <v>36979</v>
      </c>
    </row>
    <row r="14" spans="1:10" ht="17.25" customHeight="1">
      <c r="A14" s="97" t="s">
        <v>367</v>
      </c>
      <c r="B14" s="202">
        <v>307331592</v>
      </c>
      <c r="C14" s="202">
        <f>'[6]Septembris'!D13</f>
        <v>228080088</v>
      </c>
      <c r="D14" s="128">
        <f t="shared" si="0"/>
        <v>0.742130304651531</v>
      </c>
      <c r="E14" s="202">
        <f>C14-'[7]Augusts'!C14</f>
        <v>27350937</v>
      </c>
      <c r="F14" s="97" t="s">
        <v>367</v>
      </c>
      <c r="G14" s="202">
        <f>ROUND(B14/1000,0)-1</f>
        <v>307331</v>
      </c>
      <c r="H14" s="202">
        <f aca="true" t="shared" si="2" ref="G14:H18">ROUND(C14/1000,0)</f>
        <v>228080</v>
      </c>
      <c r="I14" s="96">
        <f t="shared" si="1"/>
        <v>0.742131447852641</v>
      </c>
      <c r="J14" s="202">
        <f>H14-'[7]Augusts'!H14</f>
        <v>27351</v>
      </c>
    </row>
    <row r="15" spans="1:10" ht="17.25" customHeight="1">
      <c r="A15" s="35" t="s">
        <v>368</v>
      </c>
      <c r="B15" s="202">
        <v>107751391</v>
      </c>
      <c r="C15" s="202">
        <f>'[6]Septembris'!D14</f>
        <v>79781170</v>
      </c>
      <c r="D15" s="128">
        <f t="shared" si="0"/>
        <v>0.7404189334316807</v>
      </c>
      <c r="E15" s="202">
        <f>C15-'[7]Augusts'!C15</f>
        <v>8401218</v>
      </c>
      <c r="F15" s="35" t="s">
        <v>368</v>
      </c>
      <c r="G15" s="202">
        <f>ROUND(B15/1000,0)</f>
        <v>107751</v>
      </c>
      <c r="H15" s="202">
        <f t="shared" si="2"/>
        <v>79781</v>
      </c>
      <c r="I15" s="96">
        <f t="shared" si="1"/>
        <v>0.7404200425054059</v>
      </c>
      <c r="J15" s="202">
        <f>H15-'[7]Augusts'!H15</f>
        <v>8401</v>
      </c>
    </row>
    <row r="16" spans="1:10" ht="16.5" customHeight="1">
      <c r="A16" s="35" t="s">
        <v>369</v>
      </c>
      <c r="B16" s="202">
        <v>14915000</v>
      </c>
      <c r="C16" s="202">
        <f>'[6]Septembris'!D15</f>
        <v>11597687</v>
      </c>
      <c r="D16" s="128">
        <f t="shared" si="0"/>
        <v>0.7775854508883674</v>
      </c>
      <c r="E16" s="202">
        <f>C16-'[7]Augusts'!C16</f>
        <v>1226346</v>
      </c>
      <c r="F16" s="35" t="s">
        <v>369</v>
      </c>
      <c r="G16" s="202">
        <f t="shared" si="2"/>
        <v>14915</v>
      </c>
      <c r="H16" s="202">
        <f t="shared" si="2"/>
        <v>11598</v>
      </c>
      <c r="I16" s="96">
        <f t="shared" si="1"/>
        <v>0.7776064364733489</v>
      </c>
      <c r="J16" s="202">
        <f>H16-'[7]Augusts'!H16</f>
        <v>1227</v>
      </c>
    </row>
    <row r="17" spans="1:10" ht="15.75" customHeight="1">
      <c r="A17" s="46" t="s">
        <v>370</v>
      </c>
      <c r="B17" s="202"/>
      <c r="C17" s="202">
        <f>'[6]Septembris'!$D$16</f>
        <v>4462134</v>
      </c>
      <c r="D17" s="128" t="str">
        <f t="shared" si="0"/>
        <v> </v>
      </c>
      <c r="E17" s="202">
        <f>C17-'[7]Augusts'!C17</f>
        <v>88252</v>
      </c>
      <c r="F17" s="46" t="s">
        <v>370</v>
      </c>
      <c r="G17" s="202">
        <f t="shared" si="2"/>
        <v>0</v>
      </c>
      <c r="H17" s="202">
        <f t="shared" si="2"/>
        <v>4462</v>
      </c>
      <c r="I17" s="96" t="str">
        <f t="shared" si="1"/>
        <v> </v>
      </c>
      <c r="J17" s="202">
        <f>H17-'[7]Augusts'!H17</f>
        <v>88</v>
      </c>
    </row>
    <row r="18" spans="1:10" ht="12.75">
      <c r="A18" s="39" t="s">
        <v>371</v>
      </c>
      <c r="B18" s="202">
        <v>83205727</v>
      </c>
      <c r="C18" s="202">
        <f>'[6]Septembris'!$D$17</f>
        <v>40000486</v>
      </c>
      <c r="D18" s="128">
        <f t="shared" si="0"/>
        <v>0.4807419806571728</v>
      </c>
      <c r="E18" s="202">
        <f>C18-'[7]Augusts'!C18</f>
        <v>3153709</v>
      </c>
      <c r="F18" s="39" t="s">
        <v>371</v>
      </c>
      <c r="G18" s="202">
        <f t="shared" si="2"/>
        <v>83206</v>
      </c>
      <c r="H18" s="202">
        <f>ROUND(C18/1000,0)+1</f>
        <v>40001</v>
      </c>
      <c r="I18" s="96">
        <f t="shared" si="1"/>
        <v>0.48074658077542487</v>
      </c>
      <c r="J18" s="202">
        <f>H18-'[7]Augusts'!H18</f>
        <v>3154</v>
      </c>
    </row>
    <row r="19" spans="1:10" ht="15.75" customHeight="1">
      <c r="A19" s="282" t="s">
        <v>372</v>
      </c>
      <c r="B19" s="202">
        <v>66344736</v>
      </c>
      <c r="C19" s="202">
        <f>'[6]Septembris'!$D$33</f>
        <v>43911972</v>
      </c>
      <c r="D19" s="128">
        <f t="shared" si="0"/>
        <v>0.6618757515291039</v>
      </c>
      <c r="E19" s="202">
        <f>C19-'[7]Augusts'!C19</f>
        <v>6020051</v>
      </c>
      <c r="F19" s="282" t="s">
        <v>372</v>
      </c>
      <c r="G19" s="202">
        <f>ROUND(B19/1000,0)</f>
        <v>66345</v>
      </c>
      <c r="H19" s="202">
        <f>ROUND(C19/1000,0)</f>
        <v>43912</v>
      </c>
      <c r="I19" s="96">
        <f t="shared" si="1"/>
        <v>0.6618735398296782</v>
      </c>
      <c r="J19" s="202">
        <f>H19-'[7]Augusts'!H19</f>
        <v>6020</v>
      </c>
    </row>
    <row r="20" spans="1:10" ht="15.75" customHeight="1">
      <c r="A20" s="215" t="s">
        <v>373</v>
      </c>
      <c r="B20" s="202">
        <v>45817545</v>
      </c>
      <c r="C20" s="202">
        <f>'[2]Septembris'!$D$20+'[2]Septembris'!$D$32</f>
        <v>9901281</v>
      </c>
      <c r="D20" s="128">
        <f t="shared" si="0"/>
        <v>0.2161023904707247</v>
      </c>
      <c r="E20" s="202">
        <f>C20-'[7]Augusts'!C20</f>
        <v>224100</v>
      </c>
      <c r="F20" s="215" t="s">
        <v>374</v>
      </c>
      <c r="G20" s="206">
        <f>ROUND(B20/1000,0)-1</f>
        <v>45817</v>
      </c>
      <c r="H20" s="206">
        <f>ROUND(C20/1000,0)</f>
        <v>9901</v>
      </c>
      <c r="I20" s="172">
        <f t="shared" si="1"/>
        <v>0.21609882794595892</v>
      </c>
      <c r="J20" s="206">
        <f>H20-'[7]Augusts'!H20</f>
        <v>224</v>
      </c>
    </row>
    <row r="21" spans="1:10" ht="19.5" customHeight="1">
      <c r="A21" s="281" t="s">
        <v>375</v>
      </c>
      <c r="B21" s="159">
        <f>SUM(B9-B20)</f>
        <v>619030901</v>
      </c>
      <c r="C21" s="159">
        <f>SUM(C9-C20)</f>
        <v>466346845</v>
      </c>
      <c r="D21" s="117">
        <f t="shared" si="0"/>
        <v>0.7533498638705275</v>
      </c>
      <c r="E21" s="159">
        <f>SUM(E9-E20)</f>
        <v>53440570</v>
      </c>
      <c r="F21" s="281" t="s">
        <v>375</v>
      </c>
      <c r="G21" s="163">
        <f>SUM(G9-G20)</f>
        <v>619031</v>
      </c>
      <c r="H21" s="163">
        <f>SUM(H9-H20)</f>
        <v>466348</v>
      </c>
      <c r="I21" s="154">
        <f t="shared" si="1"/>
        <v>0.7533516092085857</v>
      </c>
      <c r="J21" s="163">
        <f>SUM(J9-J20)</f>
        <v>53442</v>
      </c>
    </row>
    <row r="22" spans="1:10" ht="20.25" customHeight="1">
      <c r="A22" s="55" t="s">
        <v>376</v>
      </c>
      <c r="B22" s="159">
        <f>SUM(B23)</f>
        <v>766212969</v>
      </c>
      <c r="C22" s="159">
        <f>SUM(C23)</f>
        <v>516405237</v>
      </c>
      <c r="D22" s="117">
        <f t="shared" si="0"/>
        <v>0.673970890461396</v>
      </c>
      <c r="E22" s="159">
        <f>SUM(E23)</f>
        <v>60305112</v>
      </c>
      <c r="F22" s="55" t="s">
        <v>376</v>
      </c>
      <c r="G22" s="163">
        <f>SUM(G23)</f>
        <v>766213</v>
      </c>
      <c r="H22" s="163">
        <f>SUM(H23)</f>
        <v>516405</v>
      </c>
      <c r="I22" s="154">
        <f t="shared" si="1"/>
        <v>0.6739705538799263</v>
      </c>
      <c r="J22" s="163">
        <f>SUM(J23)</f>
        <v>60306</v>
      </c>
    </row>
    <row r="23" spans="1:10" ht="12.75">
      <c r="A23" s="39" t="s">
        <v>377</v>
      </c>
      <c r="B23" s="202">
        <f>SUM(B24:B27)</f>
        <v>766212969</v>
      </c>
      <c r="C23" s="202">
        <f>SUM(C24:C27)</f>
        <v>516405237</v>
      </c>
      <c r="D23" s="128">
        <f t="shared" si="0"/>
        <v>0.673970890461396</v>
      </c>
      <c r="E23" s="202">
        <f>SUM(E24:E27)</f>
        <v>60305112</v>
      </c>
      <c r="F23" s="39" t="s">
        <v>377</v>
      </c>
      <c r="G23" s="202">
        <f>SUM(G24:G27)</f>
        <v>766213</v>
      </c>
      <c r="H23" s="202">
        <f>SUM(H24:H27)</f>
        <v>516405</v>
      </c>
      <c r="I23" s="96">
        <f t="shared" si="1"/>
        <v>0.6739705538799263</v>
      </c>
      <c r="J23" s="202">
        <f>SUM(J24:J27)</f>
        <v>60306</v>
      </c>
    </row>
    <row r="24" spans="1:211" s="8" customFormat="1" ht="12.75">
      <c r="A24" s="35" t="s">
        <v>378</v>
      </c>
      <c r="B24" s="202">
        <v>445475000</v>
      </c>
      <c r="C24" s="202">
        <f>'[3]Septembris'!$D$117</f>
        <v>331522051</v>
      </c>
      <c r="D24" s="128">
        <f t="shared" si="0"/>
        <v>0.7441990033110725</v>
      </c>
      <c r="E24" s="202">
        <f>C24-'[7]Augusts'!C24</f>
        <v>39619707</v>
      </c>
      <c r="F24" s="35" t="s">
        <v>378</v>
      </c>
      <c r="G24" s="202">
        <f aca="true" t="shared" si="3" ref="G24:H26">ROUND(B24/1000,0)</f>
        <v>445475</v>
      </c>
      <c r="H24" s="202">
        <f t="shared" si="3"/>
        <v>331522</v>
      </c>
      <c r="I24" s="96">
        <f t="shared" si="1"/>
        <v>0.7441988888265335</v>
      </c>
      <c r="J24" s="202">
        <f>H24-'[7]Augusts'!H24</f>
        <v>39620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s="8" customFormat="1" ht="12.75">
      <c r="A25" s="283" t="s">
        <v>379</v>
      </c>
      <c r="B25" s="202">
        <v>54248609</v>
      </c>
      <c r="C25" s="202">
        <f>'[3]Septembris'!$D$89+'[3]Septembris'!$D$186</f>
        <v>35707920</v>
      </c>
      <c r="D25" s="128">
        <f t="shared" si="0"/>
        <v>0.6582273842265707</v>
      </c>
      <c r="E25" s="202">
        <f>C25-'[7]Augusts'!C25</f>
        <v>3386944</v>
      </c>
      <c r="F25" s="283" t="s">
        <v>379</v>
      </c>
      <c r="G25" s="202">
        <f t="shared" si="3"/>
        <v>54249</v>
      </c>
      <c r="H25" s="202">
        <f t="shared" si="3"/>
        <v>35708</v>
      </c>
      <c r="I25" s="96">
        <f t="shared" si="1"/>
        <v>0.6582241147302255</v>
      </c>
      <c r="J25" s="202">
        <f>H25-'[7]Augusts'!H25</f>
        <v>3387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s="8" customFormat="1" ht="12.75">
      <c r="A26" s="283" t="s">
        <v>380</v>
      </c>
      <c r="B26" s="202">
        <v>71125600</v>
      </c>
      <c r="C26" s="202">
        <f>'[3]Septembris'!$D$174</f>
        <v>50762905</v>
      </c>
      <c r="D26" s="128">
        <f t="shared" si="0"/>
        <v>0.7137079335710349</v>
      </c>
      <c r="E26" s="202">
        <f>C26-'[7]Augusts'!C26</f>
        <v>5938475</v>
      </c>
      <c r="F26" s="283" t="s">
        <v>380</v>
      </c>
      <c r="G26" s="202">
        <f>ROUND(B26/1000,0)-1</f>
        <v>71125</v>
      </c>
      <c r="H26" s="202">
        <f t="shared" si="3"/>
        <v>50763</v>
      </c>
      <c r="I26" s="96">
        <f t="shared" si="1"/>
        <v>0.7137152899824253</v>
      </c>
      <c r="J26" s="202">
        <f>H26-'[7]Augusts'!H26</f>
        <v>5939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8" customFormat="1" ht="12.75">
      <c r="A27" s="35" t="s">
        <v>381</v>
      </c>
      <c r="B27" s="202">
        <v>195363760</v>
      </c>
      <c r="C27" s="202">
        <f>'[3]Septembris'!$D$9-C24-C25-C26</f>
        <v>98412361</v>
      </c>
      <c r="D27" s="128">
        <f t="shared" si="0"/>
        <v>0.5037390813936014</v>
      </c>
      <c r="E27" s="202">
        <f>C27-'[7]Augusts'!C27</f>
        <v>11359986</v>
      </c>
      <c r="F27" s="35" t="s">
        <v>381</v>
      </c>
      <c r="G27" s="202">
        <f>ROUND(B27/1000,0)</f>
        <v>195364</v>
      </c>
      <c r="H27" s="202">
        <f>ROUND(C27/1000,0)</f>
        <v>98412</v>
      </c>
      <c r="I27" s="96">
        <f t="shared" si="1"/>
        <v>0.5037366147294281</v>
      </c>
      <c r="J27" s="202">
        <f>H27-'[7]Augusts'!H27</f>
        <v>11360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8" customFormat="1" ht="12.75">
      <c r="A28" s="37" t="s">
        <v>382</v>
      </c>
      <c r="B28" s="202">
        <v>62798622</v>
      </c>
      <c r="C28" s="202">
        <f>'[4]Septembris'!$D$33+C49</f>
        <v>47339883</v>
      </c>
      <c r="D28" s="128">
        <f t="shared" si="0"/>
        <v>0.7538363341794347</v>
      </c>
      <c r="E28" s="202">
        <f>C28-'[7]Augusts'!C28</f>
        <v>6010008</v>
      </c>
      <c r="F28" s="37" t="s">
        <v>383</v>
      </c>
      <c r="G28" s="206">
        <f>ROUND(B28/1000,0)</f>
        <v>62799</v>
      </c>
      <c r="H28" s="206">
        <f>ROUND(C28/1000,0)</f>
        <v>47340</v>
      </c>
      <c r="I28" s="172">
        <f t="shared" si="1"/>
        <v>0.7538336597716524</v>
      </c>
      <c r="J28" s="206">
        <f>H28-'[7]Augusts'!H28</f>
        <v>6009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10" ht="22.5" customHeight="1">
      <c r="A29" s="281" t="s">
        <v>384</v>
      </c>
      <c r="B29" s="159">
        <f>SUM(B22-B28)</f>
        <v>703414347</v>
      </c>
      <c r="C29" s="159">
        <f>SUM(C22-C28)</f>
        <v>469065354</v>
      </c>
      <c r="D29" s="117">
        <f t="shared" si="0"/>
        <v>0.6668407546711583</v>
      </c>
      <c r="E29" s="159">
        <f>SUM(E22-E28)</f>
        <v>54295104</v>
      </c>
      <c r="F29" s="281" t="s">
        <v>384</v>
      </c>
      <c r="G29" s="163">
        <f>SUM(G22-G28)</f>
        <v>703414</v>
      </c>
      <c r="H29" s="163">
        <f>SUM(H22-H28)</f>
        <v>469065</v>
      </c>
      <c r="I29" s="154">
        <f t="shared" si="1"/>
        <v>0.6668405803694553</v>
      </c>
      <c r="J29" s="163">
        <f>SUM(J22-J28)</f>
        <v>54297</v>
      </c>
    </row>
    <row r="30" spans="1:10" ht="29.25" customHeight="1">
      <c r="A30" s="177" t="s">
        <v>385</v>
      </c>
      <c r="B30" s="159">
        <f>SUM(B31:B33)</f>
        <v>1447916129</v>
      </c>
      <c r="C30" s="159">
        <f>SUM(C31:C33)</f>
        <v>1023720831</v>
      </c>
      <c r="D30" s="117">
        <f t="shared" si="0"/>
        <v>0.7070304767632021</v>
      </c>
      <c r="E30" s="159">
        <f>SUM(E31:E33)</f>
        <v>122001146</v>
      </c>
      <c r="F30" s="177" t="s">
        <v>385</v>
      </c>
      <c r="G30" s="222">
        <f>SUM(G31:G33)</f>
        <v>1447916</v>
      </c>
      <c r="H30" s="222">
        <f>SUM(H31:H33)</f>
        <v>1023721</v>
      </c>
      <c r="I30" s="87">
        <f t="shared" si="1"/>
        <v>0.7070306564745469</v>
      </c>
      <c r="J30" s="222">
        <f>SUM(J31:J33)</f>
        <v>122001</v>
      </c>
    </row>
    <row r="31" spans="1:10" ht="28.5" customHeight="1">
      <c r="A31" s="177" t="s">
        <v>386</v>
      </c>
      <c r="B31" s="159">
        <f>SUM(B43+B65)</f>
        <v>1337649555</v>
      </c>
      <c r="C31" s="159">
        <f>SUM(C43+C65)</f>
        <v>947844737</v>
      </c>
      <c r="D31" s="117">
        <f t="shared" si="0"/>
        <v>0.7085897299909766</v>
      </c>
      <c r="E31" s="159">
        <f>SUM(E43+E65)</f>
        <v>109677983</v>
      </c>
      <c r="F31" s="177" t="s">
        <v>387</v>
      </c>
      <c r="G31" s="222">
        <f>SUM(G43+G65)</f>
        <v>1337650</v>
      </c>
      <c r="H31" s="222">
        <f>SUM(H43+H65)</f>
        <v>947846</v>
      </c>
      <c r="I31" s="87">
        <f t="shared" si="1"/>
        <v>0.7085904384555003</v>
      </c>
      <c r="J31" s="222">
        <f>SUM(J43+J65)</f>
        <v>109678</v>
      </c>
    </row>
    <row r="32" spans="1:10" ht="25.5" customHeight="1">
      <c r="A32" s="177" t="s">
        <v>388</v>
      </c>
      <c r="B32" s="159">
        <f>SUM(B45+B67)</f>
        <v>30861975</v>
      </c>
      <c r="C32" s="159">
        <f>SUM(C45+C67)</f>
        <v>24488213</v>
      </c>
      <c r="D32" s="117">
        <f t="shared" si="0"/>
        <v>0.7934752393519857</v>
      </c>
      <c r="E32" s="159">
        <f>SUM(E45+E67)</f>
        <v>9236506</v>
      </c>
      <c r="F32" s="177" t="s">
        <v>389</v>
      </c>
      <c r="G32" s="222">
        <f>SUM(G45+G67)</f>
        <v>30862</v>
      </c>
      <c r="H32" s="222">
        <f>SUM(H45+H67)</f>
        <v>24487</v>
      </c>
      <c r="I32" s="87">
        <f t="shared" si="1"/>
        <v>0.7934352925928326</v>
      </c>
      <c r="J32" s="222">
        <f>SUM(J45+J67)</f>
        <v>9235</v>
      </c>
    </row>
    <row r="33" spans="1:10" ht="30" customHeight="1">
      <c r="A33" s="177" t="s">
        <v>390</v>
      </c>
      <c r="B33" s="159">
        <f>SUM(B50+B69)</f>
        <v>79404599</v>
      </c>
      <c r="C33" s="159">
        <f>SUM(C50+C69)</f>
        <v>51387881</v>
      </c>
      <c r="D33" s="117">
        <f t="shared" si="0"/>
        <v>0.6471650464477504</v>
      </c>
      <c r="E33" s="159">
        <f>SUM(E50+E69)</f>
        <v>3086657</v>
      </c>
      <c r="F33" s="177" t="s">
        <v>391</v>
      </c>
      <c r="G33" s="222">
        <f>SUM(G50+G69)</f>
        <v>79404</v>
      </c>
      <c r="H33" s="222">
        <f>SUM(H50+H69)</f>
        <v>51388</v>
      </c>
      <c r="I33" s="87">
        <f t="shared" si="1"/>
        <v>0.6471714271321344</v>
      </c>
      <c r="J33" s="222">
        <f>SUM(J50+J69)</f>
        <v>3088</v>
      </c>
    </row>
    <row r="34" spans="1:10" ht="29.25" customHeight="1">
      <c r="A34" s="177" t="s">
        <v>392</v>
      </c>
      <c r="B34" s="159">
        <f>SUM(B8-B30)</f>
        <v>-125470881</v>
      </c>
      <c r="C34" s="159">
        <f>SUM(C8-C30)</f>
        <v>-88308632</v>
      </c>
      <c r="D34" s="117">
        <f t="shared" si="0"/>
        <v>0.703817740787203</v>
      </c>
      <c r="E34" s="159">
        <f>SUM(E8-E30)</f>
        <v>-14265472</v>
      </c>
      <c r="F34" s="177" t="s">
        <v>392</v>
      </c>
      <c r="G34" s="222">
        <f>SUM(G8-G30)</f>
        <v>-125471</v>
      </c>
      <c r="H34" s="222">
        <f>SUM(H8-H30)</f>
        <v>-88308</v>
      </c>
      <c r="I34" s="87">
        <f t="shared" si="1"/>
        <v>0.7038120362474197</v>
      </c>
      <c r="J34" s="222">
        <f>SUM(J8-J30)</f>
        <v>-14262</v>
      </c>
    </row>
    <row r="35" spans="1:10" ht="19.5" customHeight="1">
      <c r="A35" s="177" t="s">
        <v>393</v>
      </c>
      <c r="B35" s="159">
        <f>SUM(B52+B71)</f>
        <v>15498224</v>
      </c>
      <c r="C35" s="159">
        <f>SUM(C52+C71)</f>
        <v>7855925</v>
      </c>
      <c r="D35" s="117">
        <f t="shared" si="0"/>
        <v>0.5068919509745117</v>
      </c>
      <c r="E35" s="159">
        <f>SUM(E52+E71)</f>
        <v>2376446</v>
      </c>
      <c r="F35" s="177" t="s">
        <v>393</v>
      </c>
      <c r="G35" s="222">
        <f>SUM(G52+G71)</f>
        <v>15498</v>
      </c>
      <c r="H35" s="222">
        <f>SUM(H52+H71)</f>
        <v>7856</v>
      </c>
      <c r="I35" s="87">
        <f t="shared" si="1"/>
        <v>0.5069041166602142</v>
      </c>
      <c r="J35" s="222">
        <f>SUM(J52+J71)</f>
        <v>2376</v>
      </c>
    </row>
    <row r="36" spans="1:10" ht="30" customHeight="1">
      <c r="A36" s="177" t="s">
        <v>394</v>
      </c>
      <c r="B36" s="159">
        <f>SUM(B30+B35)</f>
        <v>1463414353</v>
      </c>
      <c r="C36" s="159">
        <f>SUM(C30+C35)</f>
        <v>1031576756</v>
      </c>
      <c r="D36" s="117">
        <f t="shared" si="0"/>
        <v>0.7049109186918027</v>
      </c>
      <c r="E36" s="159">
        <f>SUM(E30+E35)</f>
        <v>124377592</v>
      </c>
      <c r="F36" s="177" t="s">
        <v>395</v>
      </c>
      <c r="G36" s="222">
        <f>SUM(G30+G35)</f>
        <v>1463414</v>
      </c>
      <c r="H36" s="222">
        <f>SUM(H30+H35)</f>
        <v>1031577</v>
      </c>
      <c r="I36" s="87">
        <f t="shared" si="1"/>
        <v>0.704911255461544</v>
      </c>
      <c r="J36" s="222">
        <f>SUM(J30+J35)</f>
        <v>124377</v>
      </c>
    </row>
    <row r="37" spans="1:10" ht="27" customHeight="1">
      <c r="A37" s="177" t="s">
        <v>396</v>
      </c>
      <c r="B37" s="159">
        <f>IF((B34-B35=B8-B36)=TRUE,B34-B35,9)</f>
        <v>-140969105</v>
      </c>
      <c r="C37" s="222">
        <f>C34-C35</f>
        <v>-96164557</v>
      </c>
      <c r="D37" s="117">
        <f t="shared" si="0"/>
        <v>0.682167606866767</v>
      </c>
      <c r="E37" s="159">
        <f>IF((E34-E35=E8-E36)=TRUE,E34-E35,9)</f>
        <v>-16641918</v>
      </c>
      <c r="F37" s="177" t="s">
        <v>396</v>
      </c>
      <c r="G37" s="222">
        <f>IF((G34-G35=G8-G36)=TRUE,G34-G35,9)</f>
        <v>-140969</v>
      </c>
      <c r="H37" s="222">
        <f>IF((H34-H35=H8-H36)=TRUE,H34-H35,9)</f>
        <v>-96164</v>
      </c>
      <c r="I37" s="87">
        <f t="shared" si="1"/>
        <v>0.6821641637523144</v>
      </c>
      <c r="J37" s="222">
        <f>IF((J34-J35=J8-J36)=TRUE,J34-J35,9)</f>
        <v>-16638</v>
      </c>
    </row>
    <row r="38" spans="1:10" ht="15.75" customHeight="1">
      <c r="A38" s="281" t="s">
        <v>397</v>
      </c>
      <c r="B38" s="159">
        <f>B41+B44+B48</f>
        <v>697570053</v>
      </c>
      <c r="C38" s="159">
        <f>C41+C44+C48</f>
        <v>494411575</v>
      </c>
      <c r="D38" s="117">
        <f t="shared" si="0"/>
        <v>0.7087626151290644</v>
      </c>
      <c r="E38" s="159">
        <f>E41+E44+E48</f>
        <v>57769759</v>
      </c>
      <c r="F38" s="281" t="s">
        <v>397</v>
      </c>
      <c r="G38" s="163">
        <f>G41+G44+G48</f>
        <v>697570</v>
      </c>
      <c r="H38" s="163">
        <f>H41+H44+H48</f>
        <v>494412</v>
      </c>
      <c r="I38" s="154">
        <f t="shared" si="1"/>
        <v>0.7087632782373096</v>
      </c>
      <c r="J38" s="163">
        <f>J41+J44+J48</f>
        <v>57769</v>
      </c>
    </row>
    <row r="39" spans="1:10" ht="12.75">
      <c r="A39" s="284" t="s">
        <v>398</v>
      </c>
      <c r="B39" s="202">
        <f>B42+B49</f>
        <v>62798622</v>
      </c>
      <c r="C39" s="202">
        <f>C42+C49</f>
        <v>47339883</v>
      </c>
      <c r="D39" s="128">
        <f t="shared" si="0"/>
        <v>0.7538363341794347</v>
      </c>
      <c r="E39" s="202">
        <f>E42+E49</f>
        <v>6010008</v>
      </c>
      <c r="F39" s="284" t="s">
        <v>399</v>
      </c>
      <c r="G39" s="206">
        <f>G42+G49</f>
        <v>62798</v>
      </c>
      <c r="H39" s="206">
        <f>H42+H49</f>
        <v>47340</v>
      </c>
      <c r="I39" s="172">
        <f t="shared" si="1"/>
        <v>0.7538456638746457</v>
      </c>
      <c r="J39" s="206">
        <f>J42+J49</f>
        <v>6009</v>
      </c>
    </row>
    <row r="40" spans="1:10" ht="20.25" customHeight="1">
      <c r="A40" s="281" t="s">
        <v>400</v>
      </c>
      <c r="B40" s="159">
        <f>SUM(B38-B39)</f>
        <v>634771431</v>
      </c>
      <c r="C40" s="159">
        <f>SUM(C38-C39)</f>
        <v>447071692</v>
      </c>
      <c r="D40" s="117">
        <f t="shared" si="0"/>
        <v>0.7043034235105644</v>
      </c>
      <c r="E40" s="159">
        <f>SUM(E38-E39)</f>
        <v>51759751</v>
      </c>
      <c r="F40" s="281" t="s">
        <v>400</v>
      </c>
      <c r="G40" s="163">
        <f>SUM(G38-G39)</f>
        <v>634772</v>
      </c>
      <c r="H40" s="163">
        <f>SUM(H38-H39)</f>
        <v>447072</v>
      </c>
      <c r="I40" s="154">
        <f t="shared" si="1"/>
        <v>0.7043032773972387</v>
      </c>
      <c r="J40" s="163">
        <f>SUM(J38-J39)</f>
        <v>51760</v>
      </c>
    </row>
    <row r="41" spans="1:10" ht="12.75">
      <c r="A41" s="39" t="s">
        <v>401</v>
      </c>
      <c r="B41" s="202">
        <v>635105734</v>
      </c>
      <c r="C41" s="202">
        <f>'[4]Septembris'!$D$16</f>
        <v>453494071</v>
      </c>
      <c r="D41" s="128">
        <f t="shared" si="0"/>
        <v>0.7140449955377036</v>
      </c>
      <c r="E41" s="202">
        <f>C41-'[7]Augusts'!C41</f>
        <v>51409569</v>
      </c>
      <c r="F41" s="39" t="s">
        <v>401</v>
      </c>
      <c r="G41" s="202">
        <f>ROUND(B41/1000,0)</f>
        <v>635106</v>
      </c>
      <c r="H41" s="202">
        <f>ROUND(C41/1000,0)+1</f>
        <v>453495</v>
      </c>
      <c r="I41" s="96">
        <f t="shared" si="1"/>
        <v>0.7140461592238146</v>
      </c>
      <c r="J41" s="202">
        <f>H41-'[7]Augusts'!H41+1</f>
        <v>51409</v>
      </c>
    </row>
    <row r="42" spans="1:10" ht="12.75">
      <c r="A42" s="37" t="s">
        <v>402</v>
      </c>
      <c r="B42" s="202">
        <v>60860622</v>
      </c>
      <c r="C42" s="202">
        <f>'[4]Septembris'!$D$33</f>
        <v>45677072</v>
      </c>
      <c r="D42" s="128">
        <f t="shared" si="0"/>
        <v>0.750519309513465</v>
      </c>
      <c r="E42" s="202">
        <f>C42-'[7]Augusts'!C42</f>
        <v>5159263</v>
      </c>
      <c r="F42" s="37" t="s">
        <v>403</v>
      </c>
      <c r="G42" s="206">
        <f>ROUND(B42/1000,0)-1</f>
        <v>60860</v>
      </c>
      <c r="H42" s="206">
        <f>ROUND(C42/1000,0)</f>
        <v>45677</v>
      </c>
      <c r="I42" s="172">
        <f t="shared" si="1"/>
        <v>0.7505257969109431</v>
      </c>
      <c r="J42" s="206">
        <f>H42-'[7]Augusts'!H42</f>
        <v>5159</v>
      </c>
    </row>
    <row r="43" spans="1:10" ht="15" customHeight="1">
      <c r="A43" s="281" t="s">
        <v>404</v>
      </c>
      <c r="B43" s="159">
        <f>SUM(B41-B42)</f>
        <v>574245112</v>
      </c>
      <c r="C43" s="159">
        <f>SUM(C41-C42)</f>
        <v>407816999</v>
      </c>
      <c r="D43" s="117">
        <f t="shared" si="0"/>
        <v>0.710179312767054</v>
      </c>
      <c r="E43" s="159">
        <f>SUM(E41-E42)</f>
        <v>46250306</v>
      </c>
      <c r="F43" s="281" t="s">
        <v>404</v>
      </c>
      <c r="G43" s="163">
        <f>SUM(G41-G42)</f>
        <v>574246</v>
      </c>
      <c r="H43" s="163">
        <f>SUM(H41-H42)</f>
        <v>407818</v>
      </c>
      <c r="I43" s="154">
        <f t="shared" si="1"/>
        <v>0.7101799577184691</v>
      </c>
      <c r="J43" s="163">
        <f>SUM(J41-J42)</f>
        <v>46250</v>
      </c>
    </row>
    <row r="44" spans="1:10" ht="15.75" customHeight="1">
      <c r="A44" s="39" t="s">
        <v>405</v>
      </c>
      <c r="B44" s="202">
        <v>14475786</v>
      </c>
      <c r="C44" s="202">
        <f>'[4]Septembris'!$D$42</f>
        <v>8645734</v>
      </c>
      <c r="D44" s="128">
        <f t="shared" si="0"/>
        <v>0.5972548917205601</v>
      </c>
      <c r="E44" s="202">
        <f>C44-'[7]Augusts'!C44</f>
        <v>1163959</v>
      </c>
      <c r="F44" s="39" t="s">
        <v>405</v>
      </c>
      <c r="G44" s="202">
        <f>ROUND(B44/1000,0)</f>
        <v>14476</v>
      </c>
      <c r="H44" s="202">
        <f>ROUND(C44/1000,0)-1</f>
        <v>8645</v>
      </c>
      <c r="I44" s="96">
        <f t="shared" si="1"/>
        <v>0.5971953578336557</v>
      </c>
      <c r="J44" s="202">
        <f>H44-'[7]Augusts'!H44</f>
        <v>1163</v>
      </c>
    </row>
    <row r="45" spans="1:10" ht="19.5" customHeight="1">
      <c r="A45" s="281" t="s">
        <v>406</v>
      </c>
      <c r="B45" s="159">
        <f>SUM(B44)</f>
        <v>14475786</v>
      </c>
      <c r="C45" s="159">
        <f>SUM(C44)</f>
        <v>8645734</v>
      </c>
      <c r="D45" s="117">
        <f t="shared" si="0"/>
        <v>0.5972548917205601</v>
      </c>
      <c r="E45" s="159">
        <f>SUM(E44)</f>
        <v>1163959</v>
      </c>
      <c r="F45" s="281" t="s">
        <v>406</v>
      </c>
      <c r="G45" s="163">
        <f>SUM(G44)</f>
        <v>14476</v>
      </c>
      <c r="H45" s="163">
        <f>SUM(H44)</f>
        <v>8645</v>
      </c>
      <c r="I45" s="154">
        <f t="shared" si="1"/>
        <v>0.5971953578336557</v>
      </c>
      <c r="J45" s="163">
        <f>SUM(J44)</f>
        <v>1163</v>
      </c>
    </row>
    <row r="46" spans="1:10" ht="0.75" customHeight="1" hidden="1">
      <c r="A46" s="10" t="s">
        <v>7</v>
      </c>
      <c r="B46" s="176" t="s">
        <v>70</v>
      </c>
      <c r="C46" s="10" t="s">
        <v>71</v>
      </c>
      <c r="D46" s="10" t="s">
        <v>359</v>
      </c>
      <c r="E46" s="10" t="s">
        <v>407</v>
      </c>
      <c r="F46" s="10" t="s">
        <v>7</v>
      </c>
      <c r="G46" s="176" t="s">
        <v>70</v>
      </c>
      <c r="H46" s="10" t="s">
        <v>71</v>
      </c>
      <c r="I46" s="10" t="s">
        <v>359</v>
      </c>
      <c r="J46" s="10" t="s">
        <v>408</v>
      </c>
    </row>
    <row r="47" spans="1:10" ht="12.75" hidden="1">
      <c r="A47" s="10">
        <v>1</v>
      </c>
      <c r="B47" s="176">
        <v>2</v>
      </c>
      <c r="C47" s="10">
        <v>3</v>
      </c>
      <c r="D47" s="10">
        <v>4</v>
      </c>
      <c r="E47" s="10">
        <v>5</v>
      </c>
      <c r="F47" s="10">
        <v>1</v>
      </c>
      <c r="G47" s="176">
        <v>2</v>
      </c>
      <c r="H47" s="10">
        <v>3</v>
      </c>
      <c r="I47" s="10">
        <v>4</v>
      </c>
      <c r="J47" s="10">
        <v>5</v>
      </c>
    </row>
    <row r="48" spans="1:10" ht="12.75">
      <c r="A48" s="39" t="s">
        <v>409</v>
      </c>
      <c r="B48" s="202">
        <v>47988533</v>
      </c>
      <c r="C48" s="202">
        <f>'[4]Septembris'!$D$43</f>
        <v>32271770</v>
      </c>
      <c r="D48" s="128">
        <f aca="true" t="shared" si="4" ref="D48:D76">IF(ISERROR(C48/B48)," ",(C48/B48))</f>
        <v>0.6724891965336802</v>
      </c>
      <c r="E48" s="202">
        <f>C48-'[7]Augusts'!C48</f>
        <v>5196231</v>
      </c>
      <c r="F48" s="39" t="s">
        <v>409</v>
      </c>
      <c r="G48" s="202">
        <f>ROUND(B48/1000,0)-1</f>
        <v>47988</v>
      </c>
      <c r="H48" s="202">
        <f>ROUND(C48/1000,0)</f>
        <v>32272</v>
      </c>
      <c r="I48" s="96">
        <f aca="true" t="shared" si="5" ref="I48:I76">IF(ISERROR(H48/G48)," ",(H48/G48))</f>
        <v>0.6725014586980078</v>
      </c>
      <c r="J48" s="202">
        <f>H48-'[7]Augusts'!H48</f>
        <v>5197</v>
      </c>
    </row>
    <row r="49" spans="1:211" s="39" customFormat="1" ht="12.75">
      <c r="A49" s="37" t="s">
        <v>410</v>
      </c>
      <c r="B49" s="202">
        <v>1938000</v>
      </c>
      <c r="C49" s="202">
        <f>1474508+188303</f>
        <v>1662811</v>
      </c>
      <c r="D49" s="128">
        <f t="shared" si="4"/>
        <v>0.8580036119711042</v>
      </c>
      <c r="E49" s="202">
        <f>C49-'[7]Augusts'!C49</f>
        <v>850745</v>
      </c>
      <c r="F49" s="37" t="s">
        <v>403</v>
      </c>
      <c r="G49" s="206">
        <f>ROUND(B49/1000,0)</f>
        <v>1938</v>
      </c>
      <c r="H49" s="206">
        <f>ROUND(C49/1000,0)</f>
        <v>1663</v>
      </c>
      <c r="I49" s="172">
        <f t="shared" si="5"/>
        <v>0.8581011351909185</v>
      </c>
      <c r="J49" s="206">
        <f>H49-'[7]Augusts'!H49</f>
        <v>850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s="39" customFormat="1" ht="17.25" customHeight="1">
      <c r="A50" s="281" t="s">
        <v>411</v>
      </c>
      <c r="B50" s="159">
        <f>SUM(B48-B49)</f>
        <v>46050533</v>
      </c>
      <c r="C50" s="159">
        <f>SUM(C48-C49)</f>
        <v>30608959</v>
      </c>
      <c r="D50" s="117">
        <f t="shared" si="4"/>
        <v>0.6646819701305086</v>
      </c>
      <c r="E50" s="159">
        <f>SUM(E48-E49)</f>
        <v>4345486</v>
      </c>
      <c r="F50" s="281" t="s">
        <v>411</v>
      </c>
      <c r="G50" s="163">
        <f>SUM(G48-G49)</f>
        <v>46050</v>
      </c>
      <c r="H50" s="163">
        <f>SUM(H48-H49)</f>
        <v>30609</v>
      </c>
      <c r="I50" s="154">
        <f t="shared" si="5"/>
        <v>0.6646905537459283</v>
      </c>
      <c r="J50" s="163">
        <f>SUM(J48-J49)</f>
        <v>4347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39" customFormat="1" ht="30" customHeight="1">
      <c r="A51" s="177" t="s">
        <v>412</v>
      </c>
      <c r="B51" s="159">
        <f>SUM(B9-B38)</f>
        <v>-32721607</v>
      </c>
      <c r="C51" s="159">
        <f>SUM(C9-C38)</f>
        <v>-18163449</v>
      </c>
      <c r="D51" s="117">
        <f t="shared" si="4"/>
        <v>0.5550903719368062</v>
      </c>
      <c r="E51" s="159">
        <f>SUM(E9-E38)</f>
        <v>-4105089</v>
      </c>
      <c r="F51" s="177" t="s">
        <v>412</v>
      </c>
      <c r="G51" s="222">
        <f>SUM(G9-G38)</f>
        <v>-32722</v>
      </c>
      <c r="H51" s="222">
        <f>SUM(H9-H38)</f>
        <v>-18163</v>
      </c>
      <c r="I51" s="87">
        <f t="shared" si="5"/>
        <v>0.5550699834973413</v>
      </c>
      <c r="J51" s="222">
        <f>SUM(J9-J38)</f>
        <v>-4103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39" customFormat="1" ht="17.25" customHeight="1">
      <c r="A52" s="281" t="s">
        <v>413</v>
      </c>
      <c r="B52" s="159">
        <f>SUM(B55-B58)</f>
        <v>11747474</v>
      </c>
      <c r="C52" s="159">
        <f>SUM(C55-C58)</f>
        <v>6151179</v>
      </c>
      <c r="D52" s="117">
        <f t="shared" si="4"/>
        <v>0.5236171622937833</v>
      </c>
      <c r="E52" s="159">
        <f>SUM(E55-E58)</f>
        <v>2163014</v>
      </c>
      <c r="F52" s="281" t="s">
        <v>413</v>
      </c>
      <c r="G52" s="163">
        <f>SUM(G55-G58)</f>
        <v>11747</v>
      </c>
      <c r="H52" s="163">
        <f>SUM(H55-H58)</f>
        <v>6151</v>
      </c>
      <c r="I52" s="154">
        <f t="shared" si="5"/>
        <v>0.523623052694305</v>
      </c>
      <c r="J52" s="163">
        <f>SUM(J55-J58)</f>
        <v>2163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39" customFormat="1" ht="16.5" customHeight="1">
      <c r="A53" s="39" t="s">
        <v>414</v>
      </c>
      <c r="B53" s="202">
        <v>89768122</v>
      </c>
      <c r="C53" s="202">
        <f>'[8]Septembris'!$C$9</f>
        <v>88746063</v>
      </c>
      <c r="D53" s="128">
        <f t="shared" si="4"/>
        <v>0.9886144549175263</v>
      </c>
      <c r="E53" s="202">
        <f>C53-'[7]Augusts'!C53</f>
        <v>12283953</v>
      </c>
      <c r="F53" s="39" t="s">
        <v>414</v>
      </c>
      <c r="G53" s="202">
        <f>ROUND(B53/1000,0)</f>
        <v>89768</v>
      </c>
      <c r="H53" s="202">
        <f>ROUND(C53/1000,0)</f>
        <v>88746</v>
      </c>
      <c r="I53" s="96">
        <f t="shared" si="5"/>
        <v>0.9886150966936993</v>
      </c>
      <c r="J53" s="202">
        <f>H53-'[7]Augusts'!H53</f>
        <v>12284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39" customFormat="1" ht="14.25" customHeight="1">
      <c r="A54" s="37" t="s">
        <v>410</v>
      </c>
      <c r="B54" s="202">
        <v>78020648</v>
      </c>
      <c r="C54" s="202">
        <f>'[8]Septembris'!$C$24+'[8]Septembris'!$C$52</f>
        <v>66510041</v>
      </c>
      <c r="D54" s="128">
        <f t="shared" si="4"/>
        <v>0.8524671699727487</v>
      </c>
      <c r="E54" s="202">
        <f>C54-'[7]Augusts'!C54</f>
        <v>8694121</v>
      </c>
      <c r="F54" s="37" t="s">
        <v>403</v>
      </c>
      <c r="G54" s="206">
        <f>ROUND(B54/1000,0)</f>
        <v>78021</v>
      </c>
      <c r="H54" s="206">
        <f>ROUND(C54/1000,0)</f>
        <v>66510</v>
      </c>
      <c r="I54" s="172">
        <f t="shared" si="5"/>
        <v>0.852462798477333</v>
      </c>
      <c r="J54" s="206">
        <f>H54-'[7]Augusts'!H54</f>
        <v>8694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39" customFormat="1" ht="15" customHeight="1">
      <c r="A55" s="39" t="s">
        <v>415</v>
      </c>
      <c r="B55" s="202">
        <f>SUM(B53-B54)</f>
        <v>11747474</v>
      </c>
      <c r="C55" s="202">
        <f>SUM(C53-C54)</f>
        <v>22236022</v>
      </c>
      <c r="D55" s="128">
        <f t="shared" si="4"/>
        <v>1.8928343233617713</v>
      </c>
      <c r="E55" s="202">
        <f>SUM(E53-E54)</f>
        <v>3589832</v>
      </c>
      <c r="F55" s="39" t="s">
        <v>415</v>
      </c>
      <c r="G55" s="202">
        <f>SUM(G53-G54)</f>
        <v>11747</v>
      </c>
      <c r="H55" s="202">
        <f>SUM(H53-H54)</f>
        <v>22236</v>
      </c>
      <c r="I55" s="96">
        <f t="shared" si="5"/>
        <v>1.8929088277858177</v>
      </c>
      <c r="J55" s="202">
        <f>SUM(J53-J54)</f>
        <v>3590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39" customFormat="1" ht="15.75" customHeight="1">
      <c r="A56" s="39" t="s">
        <v>416</v>
      </c>
      <c r="B56" s="202"/>
      <c r="C56" s="202">
        <f>'[8]Septembris'!$C$10</f>
        <v>32368065</v>
      </c>
      <c r="D56" s="128" t="str">
        <f t="shared" si="4"/>
        <v> </v>
      </c>
      <c r="E56" s="202">
        <f>C56-'[7]Augusts'!C56</f>
        <v>1426818</v>
      </c>
      <c r="F56" s="39" t="s">
        <v>416</v>
      </c>
      <c r="G56" s="202">
        <f>ROUND(B56/1000,0)</f>
        <v>0</v>
      </c>
      <c r="H56" s="202">
        <f>ROUND(C56/1000,0)</f>
        <v>32368</v>
      </c>
      <c r="I56" s="96" t="str">
        <f t="shared" si="5"/>
        <v> </v>
      </c>
      <c r="J56" s="202">
        <f>H56-'[7]Augusts'!H56</f>
        <v>1427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39" customFormat="1" ht="15.75" customHeight="1">
      <c r="A57" s="37" t="s">
        <v>417</v>
      </c>
      <c r="B57" s="202"/>
      <c r="C57" s="202">
        <f>'[8]Septembris'!$C$40+'[8]Septembris'!$C$83</f>
        <v>16283222</v>
      </c>
      <c r="D57" s="128" t="str">
        <f t="shared" si="4"/>
        <v> </v>
      </c>
      <c r="E57" s="202">
        <f>C57-'[7]Augusts'!C57</f>
        <v>0</v>
      </c>
      <c r="F57" s="37" t="s">
        <v>418</v>
      </c>
      <c r="G57" s="206">
        <f>ROUND(B57/1000,0)</f>
        <v>0</v>
      </c>
      <c r="H57" s="206">
        <f>ROUND(C57/1000,0)</f>
        <v>16283</v>
      </c>
      <c r="I57" s="172" t="str">
        <f t="shared" si="5"/>
        <v> </v>
      </c>
      <c r="J57" s="206">
        <f>H57-'[7]Augusts'!H57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39" customFormat="1" ht="16.5" customHeight="1">
      <c r="A58" s="39" t="s">
        <v>419</v>
      </c>
      <c r="B58" s="202">
        <f>SUM(B56-B57)</f>
        <v>0</v>
      </c>
      <c r="C58" s="202">
        <f>SUM(C56-C57)</f>
        <v>16084843</v>
      </c>
      <c r="D58" s="128" t="str">
        <f t="shared" si="4"/>
        <v> </v>
      </c>
      <c r="E58" s="202">
        <f>SUM(E56-E57)</f>
        <v>1426818</v>
      </c>
      <c r="F58" s="39" t="s">
        <v>419</v>
      </c>
      <c r="G58" s="202">
        <f>SUM(G56-G57)</f>
        <v>0</v>
      </c>
      <c r="H58" s="202">
        <f>SUM(H56-H57)</f>
        <v>16085</v>
      </c>
      <c r="I58" s="96" t="str">
        <f t="shared" si="5"/>
        <v> </v>
      </c>
      <c r="J58" s="202">
        <f>SUM(J56-J57)</f>
        <v>1427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39" customFormat="1" ht="32.25" customHeight="1">
      <c r="A59" s="177" t="s">
        <v>420</v>
      </c>
      <c r="B59" s="159">
        <f>B51-(B53-B56)</f>
        <v>-122489729</v>
      </c>
      <c r="C59" s="159">
        <f>C51-(C53-C56)</f>
        <v>-74541447</v>
      </c>
      <c r="D59" s="117">
        <f t="shared" si="4"/>
        <v>0.6085526321966146</v>
      </c>
      <c r="E59" s="159">
        <f>E51-(E53-E56)</f>
        <v>-14962224</v>
      </c>
      <c r="F59" s="177" t="s">
        <v>420</v>
      </c>
      <c r="G59" s="222">
        <f>G51-(G53-G56)</f>
        <v>-122490</v>
      </c>
      <c r="H59" s="222">
        <f>H51-(H53-H56)</f>
        <v>-74541</v>
      </c>
      <c r="I59" s="87">
        <f t="shared" si="5"/>
        <v>0.6085476365417585</v>
      </c>
      <c r="J59" s="222">
        <f>J51-(J53-J56)</f>
        <v>-14960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39" customFormat="1" ht="17.25" customHeight="1">
      <c r="A60" s="281" t="s">
        <v>421</v>
      </c>
      <c r="B60" s="159">
        <f>B63+B66+B68</f>
        <v>858962243</v>
      </c>
      <c r="C60" s="159">
        <f>C63+C66+C68</f>
        <v>586550420</v>
      </c>
      <c r="D60" s="117">
        <f t="shared" si="4"/>
        <v>0.6828593745301561</v>
      </c>
      <c r="E60" s="159">
        <f>E63+E66+E68</f>
        <v>70465495</v>
      </c>
      <c r="F60" s="281" t="s">
        <v>421</v>
      </c>
      <c r="G60" s="163">
        <f>G63+G66+G68</f>
        <v>858962</v>
      </c>
      <c r="H60" s="163">
        <f>H63+H66+H68</f>
        <v>586550</v>
      </c>
      <c r="I60" s="154">
        <f t="shared" si="5"/>
        <v>0.682859078748536</v>
      </c>
      <c r="J60" s="163">
        <f>J63+J66+J68</f>
        <v>70465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39" customFormat="1" ht="19.5" customHeight="1">
      <c r="A61" s="37" t="s">
        <v>422</v>
      </c>
      <c r="B61" s="202">
        <f>B64</f>
        <v>45817545</v>
      </c>
      <c r="C61" s="202">
        <f>C20</f>
        <v>9901281</v>
      </c>
      <c r="D61" s="128">
        <f t="shared" si="4"/>
        <v>0.2161023904707247</v>
      </c>
      <c r="E61" s="202">
        <f>E64</f>
        <v>224100</v>
      </c>
      <c r="F61" s="37" t="s">
        <v>423</v>
      </c>
      <c r="G61" s="206">
        <f>G64</f>
        <v>45818</v>
      </c>
      <c r="H61" s="206">
        <f>H64</f>
        <v>9901</v>
      </c>
      <c r="I61" s="172">
        <f t="shared" si="5"/>
        <v>0.2160941114845694</v>
      </c>
      <c r="J61" s="206">
        <f>J64</f>
        <v>224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39" customFormat="1" ht="19.5" customHeight="1">
      <c r="A62" s="281" t="s">
        <v>424</v>
      </c>
      <c r="B62" s="159">
        <f>SUM(B60-B61)</f>
        <v>813144698</v>
      </c>
      <c r="C62" s="159">
        <f>SUM(C60-C61)</f>
        <v>576649139</v>
      </c>
      <c r="D62" s="117">
        <f t="shared" si="4"/>
        <v>0.7091593174232318</v>
      </c>
      <c r="E62" s="159">
        <f>SUM(E60-E61)</f>
        <v>70241395</v>
      </c>
      <c r="F62" s="281" t="s">
        <v>424</v>
      </c>
      <c r="G62" s="163">
        <f>SUM(G60-G61)</f>
        <v>813144</v>
      </c>
      <c r="H62" s="163">
        <f>SUM(H60-H61)</f>
        <v>576649</v>
      </c>
      <c r="I62" s="154">
        <f t="shared" si="5"/>
        <v>0.7091597552217074</v>
      </c>
      <c r="J62" s="163">
        <f>SUM(J60-J61)</f>
        <v>70241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39" customFormat="1" ht="15.75" customHeight="1">
      <c r="A63" s="39" t="s">
        <v>425</v>
      </c>
      <c r="B63" s="202">
        <v>809221988</v>
      </c>
      <c r="C63" s="202">
        <f>'[2]Septembris'!$D$14</f>
        <v>549929019</v>
      </c>
      <c r="D63" s="128">
        <f t="shared" si="4"/>
        <v>0.6795774548330735</v>
      </c>
      <c r="E63" s="202">
        <f>C63-'[7]Augusts'!C63</f>
        <v>63651777</v>
      </c>
      <c r="F63" s="39" t="s">
        <v>425</v>
      </c>
      <c r="G63" s="202">
        <f>ROUND(B63/1000,0)</f>
        <v>809222</v>
      </c>
      <c r="H63" s="202">
        <f>ROUND(C63/1000,0)</f>
        <v>549929</v>
      </c>
      <c r="I63" s="96">
        <f t="shared" si="5"/>
        <v>0.6795774212762382</v>
      </c>
      <c r="J63" s="202">
        <f>H63-'[7]Augusts'!H63</f>
        <v>63652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39" customFormat="1" ht="15" customHeight="1">
      <c r="A64" s="37" t="s">
        <v>426</v>
      </c>
      <c r="B64" s="202">
        <v>45817545</v>
      </c>
      <c r="C64" s="202">
        <f>C20</f>
        <v>9901281</v>
      </c>
      <c r="D64" s="128">
        <f t="shared" si="4"/>
        <v>0.2161023904707247</v>
      </c>
      <c r="E64" s="202">
        <f>C64-'[7]Augusts'!C64</f>
        <v>224100</v>
      </c>
      <c r="F64" s="37" t="s">
        <v>423</v>
      </c>
      <c r="G64" s="206">
        <f>ROUND(B64/1000,0)</f>
        <v>45818</v>
      </c>
      <c r="H64" s="206">
        <f>H20</f>
        <v>9901</v>
      </c>
      <c r="I64" s="172">
        <f t="shared" si="5"/>
        <v>0.2160941114845694</v>
      </c>
      <c r="J64" s="206">
        <f>H64-'[7]Augusts'!H64</f>
        <v>224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39" customFormat="1" ht="27.75" customHeight="1">
      <c r="A65" s="281" t="s">
        <v>427</v>
      </c>
      <c r="B65" s="159">
        <f>SUM(B63-B64)</f>
        <v>763404443</v>
      </c>
      <c r="C65" s="159">
        <f>SUM(C63-C64)</f>
        <v>540027738</v>
      </c>
      <c r="D65" s="117">
        <f t="shared" si="4"/>
        <v>0.7073940202362694</v>
      </c>
      <c r="E65" s="159">
        <f>SUM(E63-E64)</f>
        <v>63427677</v>
      </c>
      <c r="F65" s="281" t="s">
        <v>427</v>
      </c>
      <c r="G65" s="163">
        <f>SUM(G63-G64)</f>
        <v>763404</v>
      </c>
      <c r="H65" s="163">
        <f>SUM(H63-H64)</f>
        <v>540028</v>
      </c>
      <c r="I65" s="154">
        <f t="shared" si="5"/>
        <v>0.7073947739335922</v>
      </c>
      <c r="J65" s="163">
        <f>SUM(J63-J64)</f>
        <v>63428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39" customFormat="1" ht="17.25" customHeight="1">
      <c r="A66" s="39" t="s">
        <v>428</v>
      </c>
      <c r="B66" s="202">
        <v>16386189</v>
      </c>
      <c r="C66" s="202">
        <f>'[2]Septembris'!$D$41</f>
        <v>15842479</v>
      </c>
      <c r="D66" s="128">
        <f t="shared" si="4"/>
        <v>0.966819008373454</v>
      </c>
      <c r="E66" s="202">
        <f>C66-'[7]Augusts'!C66</f>
        <v>8072547</v>
      </c>
      <c r="F66" s="39" t="s">
        <v>428</v>
      </c>
      <c r="G66" s="202">
        <f>ROUND(B66/1000,0)</f>
        <v>16386</v>
      </c>
      <c r="H66" s="202">
        <f>ROUND(C66/1000,0)</f>
        <v>15842</v>
      </c>
      <c r="I66" s="96">
        <f t="shared" si="5"/>
        <v>0.96680092762114</v>
      </c>
      <c r="J66" s="202">
        <f>H66-'[7]Augusts'!H66</f>
        <v>8072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39" customFormat="1" ht="18" customHeight="1">
      <c r="A67" s="281" t="s">
        <v>429</v>
      </c>
      <c r="B67" s="159">
        <f>SUM(B66)</f>
        <v>16386189</v>
      </c>
      <c r="C67" s="159">
        <f>SUM(C66)</f>
        <v>15842479</v>
      </c>
      <c r="D67" s="117">
        <f t="shared" si="4"/>
        <v>0.966819008373454</v>
      </c>
      <c r="E67" s="159">
        <f>SUM(E66)</f>
        <v>8072547</v>
      </c>
      <c r="F67" s="281" t="s">
        <v>429</v>
      </c>
      <c r="G67" s="163">
        <f>SUM(G66)</f>
        <v>16386</v>
      </c>
      <c r="H67" s="163">
        <f>SUM(H66)</f>
        <v>15842</v>
      </c>
      <c r="I67" s="154">
        <f t="shared" si="5"/>
        <v>0.96680092762114</v>
      </c>
      <c r="J67" s="163">
        <f>SUM(J66)</f>
        <v>8072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39" customFormat="1" ht="18" customHeight="1">
      <c r="A68" s="39" t="s">
        <v>430</v>
      </c>
      <c r="B68" s="202">
        <v>33354066</v>
      </c>
      <c r="C68" s="202">
        <f>'[2]Septembris'!$D$42</f>
        <v>20778922</v>
      </c>
      <c r="D68" s="128">
        <f t="shared" si="4"/>
        <v>0.6229801787883972</v>
      </c>
      <c r="E68" s="202">
        <f>C68-'[7]Augusts'!C68</f>
        <v>-1258829</v>
      </c>
      <c r="F68" s="39" t="s">
        <v>430</v>
      </c>
      <c r="G68" s="202">
        <f>ROUND(B68/1000,0)</f>
        <v>33354</v>
      </c>
      <c r="H68" s="202">
        <f>ROUND(C68/1000,0)</f>
        <v>20779</v>
      </c>
      <c r="I68" s="96">
        <f t="shared" si="5"/>
        <v>0.6229837500749535</v>
      </c>
      <c r="J68" s="202">
        <f>H68-'[7]Augusts'!H68</f>
        <v>-1259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39" customFormat="1" ht="16.5" customHeight="1">
      <c r="A69" s="281" t="s">
        <v>431</v>
      </c>
      <c r="B69" s="159">
        <f>SUM(B68)</f>
        <v>33354066</v>
      </c>
      <c r="C69" s="159">
        <f>SUM(C68)</f>
        <v>20778922</v>
      </c>
      <c r="D69" s="117">
        <f t="shared" si="4"/>
        <v>0.6229801787883972</v>
      </c>
      <c r="E69" s="159">
        <f>SUM(E68)</f>
        <v>-1258829</v>
      </c>
      <c r="F69" s="281" t="s">
        <v>431</v>
      </c>
      <c r="G69" s="163">
        <f>SUM(G68)</f>
        <v>33354</v>
      </c>
      <c r="H69" s="163">
        <f>SUM(H68)</f>
        <v>20779</v>
      </c>
      <c r="I69" s="154">
        <f t="shared" si="5"/>
        <v>0.6229837500749535</v>
      </c>
      <c r="J69" s="163">
        <f>SUM(J68)</f>
        <v>-1259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39" customFormat="1" ht="30.75" customHeight="1">
      <c r="A70" s="177" t="s">
        <v>432</v>
      </c>
      <c r="B70" s="159">
        <f>SUM(B22-B60)</f>
        <v>-92749274</v>
      </c>
      <c r="C70" s="159">
        <f>SUM(C22-C60)</f>
        <v>-70145183</v>
      </c>
      <c r="D70" s="117">
        <f t="shared" si="4"/>
        <v>0.7562882163368739</v>
      </c>
      <c r="E70" s="159">
        <f>SUM(E22-E60)</f>
        <v>-10160383</v>
      </c>
      <c r="F70" s="177" t="s">
        <v>432</v>
      </c>
      <c r="G70" s="222">
        <f>SUM(G22-G60)</f>
        <v>-92749</v>
      </c>
      <c r="H70" s="222">
        <f>SUM(H22-H60)</f>
        <v>-70145</v>
      </c>
      <c r="I70" s="87">
        <f t="shared" si="5"/>
        <v>0.7562884775038006</v>
      </c>
      <c r="J70" s="222">
        <f>SUM(J22-J60)</f>
        <v>-10159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39" customFormat="1" ht="16.5" customHeight="1">
      <c r="A71" s="281" t="s">
        <v>433</v>
      </c>
      <c r="B71" s="159">
        <f>SUM(B72-B74)</f>
        <v>3750750</v>
      </c>
      <c r="C71" s="159">
        <f>SUM(C72-C74)</f>
        <v>1704746</v>
      </c>
      <c r="D71" s="117">
        <f t="shared" si="4"/>
        <v>0.45450803172698795</v>
      </c>
      <c r="E71" s="159">
        <f>SUM(E72-E74)</f>
        <v>213432</v>
      </c>
      <c r="F71" s="281" t="s">
        <v>433</v>
      </c>
      <c r="G71" s="163">
        <f>SUM(G72-G74)</f>
        <v>3751</v>
      </c>
      <c r="H71" s="163">
        <f>SUM(H72-H74)</f>
        <v>1705</v>
      </c>
      <c r="I71" s="154">
        <f t="shared" si="5"/>
        <v>0.45454545454545453</v>
      </c>
      <c r="J71" s="163">
        <f>SUM(J72-J74)</f>
        <v>213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39" customFormat="1" ht="20.25" customHeight="1">
      <c r="A72" s="39" t="s">
        <v>434</v>
      </c>
      <c r="B72" s="202">
        <v>3750750</v>
      </c>
      <c r="C72" s="202">
        <f>'[2]Septembris'!$D$46</f>
        <v>1716033</v>
      </c>
      <c r="D72" s="128">
        <f t="shared" si="4"/>
        <v>0.45751729654069184</v>
      </c>
      <c r="E72" s="202">
        <f>C72-'[7]Augusts'!C72</f>
        <v>223395</v>
      </c>
      <c r="F72" s="39" t="s">
        <v>434</v>
      </c>
      <c r="G72" s="202">
        <f>ROUND(B72/1000,0)</f>
        <v>3751</v>
      </c>
      <c r="H72" s="202">
        <f>ROUND(C72/1000,0)</f>
        <v>1716</v>
      </c>
      <c r="I72" s="96">
        <f t="shared" si="5"/>
        <v>0.4574780058651026</v>
      </c>
      <c r="J72" s="202">
        <f>H72-'[7]Augusts'!H72</f>
        <v>223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39" customFormat="1" ht="15.75" customHeight="1">
      <c r="A73" s="39" t="s">
        <v>435</v>
      </c>
      <c r="B73" s="202">
        <f>SUM(B72)</f>
        <v>3750750</v>
      </c>
      <c r="C73" s="202">
        <f>SUM(C72)</f>
        <v>1716033</v>
      </c>
      <c r="D73" s="128">
        <f t="shared" si="4"/>
        <v>0.45751729654069184</v>
      </c>
      <c r="E73" s="202">
        <f>SUM(E72)</f>
        <v>223395</v>
      </c>
      <c r="F73" s="39" t="s">
        <v>435</v>
      </c>
      <c r="G73" s="202">
        <f>SUM(G72)</f>
        <v>3751</v>
      </c>
      <c r="H73" s="202">
        <f>SUM(H72)</f>
        <v>1716</v>
      </c>
      <c r="I73" s="96">
        <f t="shared" si="5"/>
        <v>0.4574780058651026</v>
      </c>
      <c r="J73" s="202">
        <f>SUM(J72)</f>
        <v>223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39" customFormat="1" ht="18" customHeight="1">
      <c r="A74" s="39" t="s">
        <v>436</v>
      </c>
      <c r="B74" s="202"/>
      <c r="C74" s="202">
        <f>'[2]Septembris'!$D$47</f>
        <v>11287</v>
      </c>
      <c r="D74" s="128" t="str">
        <f t="shared" si="4"/>
        <v> </v>
      </c>
      <c r="E74" s="202">
        <f>C74-'[7]Augusts'!C74</f>
        <v>9963</v>
      </c>
      <c r="F74" s="39" t="s">
        <v>436</v>
      </c>
      <c r="G74" s="202">
        <f>ROUND(B74/1000,0)</f>
        <v>0</v>
      </c>
      <c r="H74" s="202">
        <f>ROUND(C74/1000,0)</f>
        <v>11</v>
      </c>
      <c r="I74" s="96" t="str">
        <f t="shared" si="5"/>
        <v> </v>
      </c>
      <c r="J74" s="202">
        <f>H74-'[7]Augusts'!H74</f>
        <v>10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39" customFormat="1" ht="16.5" customHeight="1">
      <c r="A75" s="39" t="s">
        <v>437</v>
      </c>
      <c r="B75" s="202">
        <f>SUM(B74)</f>
        <v>0</v>
      </c>
      <c r="C75" s="202">
        <f>SUM(C74)</f>
        <v>11287</v>
      </c>
      <c r="D75" s="128" t="str">
        <f t="shared" si="4"/>
        <v> </v>
      </c>
      <c r="E75" s="202">
        <f>SUM(E74)</f>
        <v>9963</v>
      </c>
      <c r="F75" s="39" t="s">
        <v>437</v>
      </c>
      <c r="G75" s="202">
        <f>SUM(G74)</f>
        <v>0</v>
      </c>
      <c r="H75" s="202">
        <f>SUM(H74)</f>
        <v>11</v>
      </c>
      <c r="I75" s="96" t="str">
        <f t="shared" si="5"/>
        <v> </v>
      </c>
      <c r="J75" s="202">
        <f>SUM(J74)</f>
        <v>10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39" customFormat="1" ht="30.75" customHeight="1">
      <c r="A76" s="177" t="s">
        <v>438</v>
      </c>
      <c r="B76" s="159">
        <f>SUM(B70-B71)</f>
        <v>-96500024</v>
      </c>
      <c r="C76" s="159">
        <f>SUM(C70-C71)</f>
        <v>-71849929</v>
      </c>
      <c r="D76" s="117">
        <f t="shared" si="4"/>
        <v>0.7445586645657207</v>
      </c>
      <c r="E76" s="159">
        <f>SUM(E70-E71)</f>
        <v>-10373815</v>
      </c>
      <c r="F76" s="177" t="s">
        <v>438</v>
      </c>
      <c r="G76" s="222">
        <f>SUM(G70-G71)</f>
        <v>-96500</v>
      </c>
      <c r="H76" s="222">
        <f>SUM(H70-H71)</f>
        <v>-71850</v>
      </c>
      <c r="I76" s="87">
        <f t="shared" si="5"/>
        <v>0.744559585492228</v>
      </c>
      <c r="J76" s="222">
        <f>SUM(J70-J71)</f>
        <v>-10372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186" customFormat="1" ht="12.75">
      <c r="A77" s="285"/>
      <c r="B77" s="286"/>
      <c r="F77" s="285"/>
      <c r="G77" s="286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186" customFormat="1" ht="12.75">
      <c r="A78" s="285"/>
      <c r="B78" s="286"/>
      <c r="F78" s="143"/>
      <c r="G78" s="286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10" ht="12.75">
      <c r="A79" s="287"/>
      <c r="F79" s="287"/>
      <c r="G79" s="278"/>
      <c r="H79" s="70"/>
      <c r="I79" s="70"/>
      <c r="J79" s="70"/>
    </row>
    <row r="80" spans="1:10" ht="12.75">
      <c r="A80" s="287"/>
      <c r="F80" s="287"/>
      <c r="G80" s="278"/>
      <c r="H80" s="70"/>
      <c r="I80" s="70"/>
      <c r="J80" s="70"/>
    </row>
    <row r="81" spans="1:10" ht="12.75">
      <c r="A81" s="186"/>
      <c r="F81" s="186"/>
      <c r="G81" s="278"/>
      <c r="H81" s="70"/>
      <c r="I81" s="70"/>
      <c r="J81" s="70"/>
    </row>
    <row r="82" spans="1:10" ht="12.75">
      <c r="A82" s="77" t="s">
        <v>439</v>
      </c>
      <c r="B82" s="279"/>
      <c r="C82" s="109"/>
      <c r="D82" s="109"/>
      <c r="E82" s="109"/>
      <c r="F82" s="77" t="s">
        <v>439</v>
      </c>
      <c r="G82" s="279"/>
      <c r="H82" s="109"/>
      <c r="I82" s="109"/>
      <c r="J82" s="109"/>
    </row>
    <row r="83" spans="1:10" ht="12.75">
      <c r="A83" s="8"/>
      <c r="F83" s="8"/>
      <c r="G83" s="278"/>
      <c r="H83" s="70"/>
      <c r="I83" s="70"/>
      <c r="J83" s="70"/>
    </row>
    <row r="84" spans="1:10" ht="12.75">
      <c r="A84" s="8"/>
      <c r="C84" s="12"/>
      <c r="D84" s="12"/>
      <c r="E84" s="12"/>
      <c r="F84" s="8"/>
      <c r="G84" s="278"/>
      <c r="H84" s="12"/>
      <c r="I84" s="12"/>
      <c r="J84" s="12"/>
    </row>
    <row r="85" spans="6:10" ht="12.75">
      <c r="F85" s="70"/>
      <c r="G85" s="278"/>
      <c r="H85" s="70"/>
      <c r="I85" s="70"/>
      <c r="J85" s="70"/>
    </row>
    <row r="86" spans="6:10" ht="12.75">
      <c r="F86" s="70"/>
      <c r="G86" s="278"/>
      <c r="H86" s="70"/>
      <c r="I86" s="70"/>
      <c r="J86" s="70"/>
    </row>
    <row r="87" spans="6:10" ht="12.75">
      <c r="F87" s="70"/>
      <c r="G87" s="278"/>
      <c r="H87" s="70"/>
      <c r="I87" s="70"/>
      <c r="J87" s="70"/>
    </row>
    <row r="88" spans="1:10" ht="12.75">
      <c r="A88" s="8" t="s">
        <v>144</v>
      </c>
      <c r="F88" s="8" t="s">
        <v>144</v>
      </c>
      <c r="G88" s="278"/>
      <c r="H88" s="70"/>
      <c r="I88" s="70"/>
      <c r="J88" s="70"/>
    </row>
    <row r="89" spans="1:10" ht="12.75">
      <c r="A89" s="8" t="s">
        <v>95</v>
      </c>
      <c r="F89" s="8" t="s">
        <v>95</v>
      </c>
      <c r="G89" s="278"/>
      <c r="H89" s="70"/>
      <c r="I89" s="70"/>
      <c r="J89" s="70"/>
    </row>
    <row r="90" spans="6:10" ht="12.75">
      <c r="F90" s="70"/>
      <c r="G90" s="278"/>
      <c r="H90" s="70"/>
      <c r="I90" s="70"/>
      <c r="J90" s="70"/>
    </row>
    <row r="91" spans="1:5" ht="15" customHeight="1">
      <c r="A91"/>
      <c r="B91"/>
      <c r="C91"/>
      <c r="D91"/>
      <c r="E91"/>
    </row>
    <row r="92" spans="1:5" ht="16.5" customHeight="1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"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6" sqref="A6"/>
    </sheetView>
  </sheetViews>
  <sheetFormatPr defaultColWidth="9.140625" defaultRowHeight="12.75"/>
  <cols>
    <col min="1" max="1" width="24.7109375" style="294" customWidth="1"/>
    <col min="2" max="3" width="13.140625" style="294" customWidth="1"/>
    <col min="4" max="4" width="14.00390625" style="294" customWidth="1"/>
    <col min="5" max="5" width="16.57421875" style="294" customWidth="1"/>
    <col min="6" max="6" width="13.57421875" style="294" customWidth="1"/>
    <col min="7" max="7" width="9.7109375" style="294" customWidth="1"/>
    <col min="8" max="9" width="8.8515625" style="294" customWidth="1"/>
    <col min="10" max="10" width="14.8515625" style="294" customWidth="1"/>
    <col min="11" max="16384" width="9.140625" style="294" customWidth="1"/>
  </cols>
  <sheetData>
    <row r="1" spans="1:11" ht="12.75" customHeight="1">
      <c r="A1" s="70" t="s">
        <v>695</v>
      </c>
      <c r="B1" s="70"/>
      <c r="C1" s="70"/>
      <c r="D1" s="70"/>
      <c r="E1" s="70"/>
      <c r="F1" s="70"/>
      <c r="G1" s="70"/>
      <c r="H1" s="70"/>
      <c r="I1" s="70"/>
      <c r="J1" s="5" t="s">
        <v>696</v>
      </c>
      <c r="K1" s="295"/>
    </row>
    <row r="2" spans="1:10" ht="1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110" t="s">
        <v>697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5.75">
      <c r="A5" s="110" t="s">
        <v>443</v>
      </c>
      <c r="B5" s="308"/>
      <c r="C5" s="110"/>
      <c r="D5" s="110"/>
      <c r="E5" s="110"/>
      <c r="F5" s="110"/>
      <c r="G5" s="306"/>
      <c r="H5" s="306"/>
      <c r="I5" s="306"/>
      <c r="J5" s="306"/>
    </row>
    <row r="6" spans="1:10" ht="15.75">
      <c r="A6" s="75"/>
      <c r="B6" s="8"/>
      <c r="C6" s="8"/>
      <c r="D6" s="8"/>
      <c r="E6" s="8"/>
      <c r="F6" s="8"/>
      <c r="G6" s="8"/>
      <c r="H6" s="8"/>
      <c r="I6" s="8"/>
      <c r="J6" s="8"/>
    </row>
    <row r="7" spans="1:10" ht="11.25">
      <c r="A7" s="445"/>
      <c r="B7" s="445"/>
      <c r="C7" s="445"/>
      <c r="D7" s="445"/>
      <c r="E7" s="445"/>
      <c r="F7" s="445"/>
      <c r="G7" s="445"/>
      <c r="H7" s="445"/>
      <c r="I7" s="445"/>
      <c r="J7" s="445" t="s">
        <v>698</v>
      </c>
    </row>
    <row r="8" spans="1:10" ht="56.25">
      <c r="A8" s="10" t="s">
        <v>699</v>
      </c>
      <c r="B8" s="10" t="s">
        <v>700</v>
      </c>
      <c r="C8" s="10" t="s">
        <v>701</v>
      </c>
      <c r="D8" s="10" t="s">
        <v>702</v>
      </c>
      <c r="E8" s="10" t="s">
        <v>703</v>
      </c>
      <c r="F8" s="10" t="s">
        <v>704</v>
      </c>
      <c r="G8" s="10" t="s">
        <v>705</v>
      </c>
      <c r="H8" s="465" t="s">
        <v>706</v>
      </c>
      <c r="I8" s="466"/>
      <c r="J8" s="10" t="s">
        <v>707</v>
      </c>
    </row>
    <row r="9" spans="1:10" ht="11.25">
      <c r="A9" s="10"/>
      <c r="B9" s="10"/>
      <c r="C9" s="10"/>
      <c r="D9" s="10"/>
      <c r="E9" s="10"/>
      <c r="F9" s="10"/>
      <c r="G9" s="10"/>
      <c r="H9" s="10" t="s">
        <v>708</v>
      </c>
      <c r="I9" s="10" t="s">
        <v>709</v>
      </c>
      <c r="J9" s="10"/>
    </row>
    <row r="10" spans="1:10" ht="11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</row>
    <row r="11" spans="1:10" ht="12">
      <c r="A11" s="314" t="s">
        <v>710</v>
      </c>
      <c r="B11" s="33">
        <v>288000</v>
      </c>
      <c r="C11" s="33">
        <v>2631434</v>
      </c>
      <c r="D11" s="90">
        <v>33535</v>
      </c>
      <c r="E11" s="33">
        <v>13065626</v>
      </c>
      <c r="F11" s="33">
        <v>8444</v>
      </c>
      <c r="G11" s="90"/>
      <c r="H11" s="90"/>
      <c r="I11" s="90"/>
      <c r="J11" s="33">
        <f aca="true" t="shared" si="0" ref="J11:J44">SUM(B11:I11)</f>
        <v>16027039</v>
      </c>
    </row>
    <row r="12" spans="1:10" ht="12">
      <c r="A12" s="314" t="s">
        <v>711</v>
      </c>
      <c r="B12" s="90">
        <v>300000</v>
      </c>
      <c r="C12" s="90">
        <v>340221</v>
      </c>
      <c r="D12" s="90">
        <v>3294</v>
      </c>
      <c r="E12" s="33">
        <v>2075134</v>
      </c>
      <c r="F12" s="33">
        <v>7290</v>
      </c>
      <c r="G12" s="90"/>
      <c r="H12" s="90"/>
      <c r="I12" s="90"/>
      <c r="J12" s="33">
        <f t="shared" si="0"/>
        <v>2725939</v>
      </c>
    </row>
    <row r="13" spans="1:10" ht="12">
      <c r="A13" s="314" t="s">
        <v>712</v>
      </c>
      <c r="B13" s="90">
        <v>548700</v>
      </c>
      <c r="C13" s="90">
        <v>290122</v>
      </c>
      <c r="D13" s="90">
        <v>9333</v>
      </c>
      <c r="E13" s="33">
        <v>1308143</v>
      </c>
      <c r="F13" s="90">
        <v>3145</v>
      </c>
      <c r="G13" s="90"/>
      <c r="H13" s="90"/>
      <c r="I13" s="90"/>
      <c r="J13" s="33">
        <f t="shared" si="0"/>
        <v>2159443</v>
      </c>
    </row>
    <row r="14" spans="1:10" ht="12">
      <c r="A14" s="314" t="s">
        <v>713</v>
      </c>
      <c r="B14" s="90"/>
      <c r="C14" s="90">
        <v>85579</v>
      </c>
      <c r="D14" s="90">
        <v>585</v>
      </c>
      <c r="E14" s="33">
        <v>1021290</v>
      </c>
      <c r="F14" s="90">
        <v>883</v>
      </c>
      <c r="G14" s="90"/>
      <c r="H14" s="90"/>
      <c r="I14" s="90"/>
      <c r="J14" s="33">
        <f t="shared" si="0"/>
        <v>1108337</v>
      </c>
    </row>
    <row r="15" spans="1:10" ht="12">
      <c r="A15" s="314" t="s">
        <v>714</v>
      </c>
      <c r="B15" s="90">
        <v>292000</v>
      </c>
      <c r="C15" s="90">
        <v>428794</v>
      </c>
      <c r="D15" s="90">
        <v>3294</v>
      </c>
      <c r="E15" s="33">
        <v>1598944</v>
      </c>
      <c r="F15" s="90">
        <v>3208</v>
      </c>
      <c r="G15" s="90"/>
      <c r="H15" s="90"/>
      <c r="I15" s="90"/>
      <c r="J15" s="33">
        <f t="shared" si="0"/>
        <v>2326240</v>
      </c>
    </row>
    <row r="16" spans="1:10" ht="12">
      <c r="A16" s="314" t="s">
        <v>715</v>
      </c>
      <c r="B16" s="90"/>
      <c r="C16" s="90">
        <v>305774</v>
      </c>
      <c r="D16" s="90">
        <v>2745</v>
      </c>
      <c r="E16" s="90">
        <v>783199</v>
      </c>
      <c r="F16" s="90">
        <v>3388</v>
      </c>
      <c r="G16" s="90"/>
      <c r="H16" s="90"/>
      <c r="I16" s="90"/>
      <c r="J16" s="33">
        <f t="shared" si="0"/>
        <v>1095106</v>
      </c>
    </row>
    <row r="17" spans="1:10" ht="12">
      <c r="A17" s="314" t="s">
        <v>716</v>
      </c>
      <c r="B17" s="90">
        <v>370000</v>
      </c>
      <c r="C17" s="90">
        <v>41928</v>
      </c>
      <c r="D17" s="90">
        <v>2196</v>
      </c>
      <c r="E17" s="33">
        <v>813871</v>
      </c>
      <c r="F17" s="90">
        <v>90</v>
      </c>
      <c r="G17" s="90"/>
      <c r="H17" s="90"/>
      <c r="I17" s="90"/>
      <c r="J17" s="33">
        <f t="shared" si="0"/>
        <v>1228085</v>
      </c>
    </row>
    <row r="18" spans="1:10" ht="12">
      <c r="A18" s="314" t="s">
        <v>717</v>
      </c>
      <c r="B18" s="90">
        <v>385100</v>
      </c>
      <c r="C18" s="90">
        <v>289004</v>
      </c>
      <c r="D18" s="90">
        <v>2196</v>
      </c>
      <c r="E18" s="33">
        <v>1117851</v>
      </c>
      <c r="F18" s="90">
        <v>1921</v>
      </c>
      <c r="G18" s="90"/>
      <c r="H18" s="90">
        <v>5130</v>
      </c>
      <c r="I18" s="90"/>
      <c r="J18" s="33">
        <f t="shared" si="0"/>
        <v>1801202</v>
      </c>
    </row>
    <row r="19" spans="1:10" ht="12">
      <c r="A19" s="314" t="s">
        <v>718</v>
      </c>
      <c r="B19" s="90">
        <v>61000</v>
      </c>
      <c r="C19" s="90">
        <v>329391</v>
      </c>
      <c r="D19" s="90">
        <v>2745</v>
      </c>
      <c r="E19" s="90">
        <v>675969</v>
      </c>
      <c r="F19" s="90">
        <v>1761</v>
      </c>
      <c r="G19" s="90"/>
      <c r="H19" s="90">
        <v>1375</v>
      </c>
      <c r="I19" s="90">
        <v>11625</v>
      </c>
      <c r="J19" s="33">
        <f t="shared" si="0"/>
        <v>1083866</v>
      </c>
    </row>
    <row r="20" spans="1:10" ht="12">
      <c r="A20" s="314" t="s">
        <v>719</v>
      </c>
      <c r="B20" s="90">
        <v>148000</v>
      </c>
      <c r="C20" s="90">
        <v>271023</v>
      </c>
      <c r="D20" s="90">
        <v>4392</v>
      </c>
      <c r="E20" s="90">
        <v>760271</v>
      </c>
      <c r="F20" s="90">
        <v>2818</v>
      </c>
      <c r="G20" s="90"/>
      <c r="H20" s="90">
        <v>1750</v>
      </c>
      <c r="I20" s="90">
        <v>11625</v>
      </c>
      <c r="J20" s="33">
        <f t="shared" si="0"/>
        <v>1199879</v>
      </c>
    </row>
    <row r="21" spans="1:10" ht="12">
      <c r="A21" s="314" t="s">
        <v>720</v>
      </c>
      <c r="B21" s="90">
        <v>85000</v>
      </c>
      <c r="C21" s="90">
        <v>451737</v>
      </c>
      <c r="D21" s="90">
        <v>3843</v>
      </c>
      <c r="E21" s="33">
        <v>1289131</v>
      </c>
      <c r="F21" s="90">
        <v>1749</v>
      </c>
      <c r="G21" s="90"/>
      <c r="H21" s="90"/>
      <c r="I21" s="90">
        <v>15750</v>
      </c>
      <c r="J21" s="33">
        <f t="shared" si="0"/>
        <v>1847210</v>
      </c>
    </row>
    <row r="22" spans="1:10" ht="12">
      <c r="A22" s="314" t="s">
        <v>721</v>
      </c>
      <c r="B22" s="90">
        <v>60000</v>
      </c>
      <c r="C22" s="33">
        <v>804097</v>
      </c>
      <c r="D22" s="90">
        <v>4393</v>
      </c>
      <c r="E22" s="33">
        <v>1555845</v>
      </c>
      <c r="F22" s="90">
        <v>2460</v>
      </c>
      <c r="G22" s="90"/>
      <c r="H22" s="90"/>
      <c r="I22" s="90">
        <v>9000</v>
      </c>
      <c r="J22" s="33">
        <f t="shared" si="0"/>
        <v>2435795</v>
      </c>
    </row>
    <row r="23" spans="1:10" ht="12">
      <c r="A23" s="314" t="s">
        <v>722</v>
      </c>
      <c r="B23" s="90">
        <v>160000</v>
      </c>
      <c r="C23" s="90">
        <v>242128</v>
      </c>
      <c r="D23" s="90">
        <v>1647</v>
      </c>
      <c r="E23" s="33">
        <v>932087</v>
      </c>
      <c r="F23" s="90">
        <v>2434</v>
      </c>
      <c r="G23" s="90"/>
      <c r="H23" s="90">
        <v>5400</v>
      </c>
      <c r="I23" s="90">
        <v>31275</v>
      </c>
      <c r="J23" s="33">
        <f t="shared" si="0"/>
        <v>1374971</v>
      </c>
    </row>
    <row r="24" spans="1:10" ht="12">
      <c r="A24" s="314" t="s">
        <v>723</v>
      </c>
      <c r="B24" s="90">
        <v>65000</v>
      </c>
      <c r="C24" s="90">
        <v>106801</v>
      </c>
      <c r="D24" s="90">
        <v>2746</v>
      </c>
      <c r="E24" s="33">
        <v>1098899</v>
      </c>
      <c r="F24" s="90">
        <v>538</v>
      </c>
      <c r="G24" s="90"/>
      <c r="H24" s="90">
        <v>3250</v>
      </c>
      <c r="I24" s="90"/>
      <c r="J24" s="33">
        <f t="shared" si="0"/>
        <v>1277234</v>
      </c>
    </row>
    <row r="25" spans="1:10" ht="12">
      <c r="A25" s="314" t="s">
        <v>724</v>
      </c>
      <c r="B25" s="90">
        <v>250000</v>
      </c>
      <c r="C25" s="90">
        <v>103864</v>
      </c>
      <c r="D25" s="90">
        <v>1647</v>
      </c>
      <c r="E25" s="90">
        <v>704595</v>
      </c>
      <c r="F25" s="90">
        <v>180</v>
      </c>
      <c r="G25" s="90"/>
      <c r="H25" s="90"/>
      <c r="I25" s="90"/>
      <c r="J25" s="33">
        <f t="shared" si="0"/>
        <v>1060286</v>
      </c>
    </row>
    <row r="26" spans="1:10" ht="12">
      <c r="A26" s="314" t="s">
        <v>725</v>
      </c>
      <c r="B26" s="90"/>
      <c r="C26" s="90">
        <v>208074</v>
      </c>
      <c r="D26" s="90">
        <v>2196</v>
      </c>
      <c r="E26" s="33">
        <v>931400</v>
      </c>
      <c r="F26" s="90">
        <v>3106</v>
      </c>
      <c r="G26" s="90"/>
      <c r="H26" s="90">
        <v>1750</v>
      </c>
      <c r="I26" s="90"/>
      <c r="J26" s="33">
        <f t="shared" si="0"/>
        <v>1146526</v>
      </c>
    </row>
    <row r="27" spans="1:10" ht="12">
      <c r="A27" s="314" t="s">
        <v>726</v>
      </c>
      <c r="B27" s="90">
        <v>258850</v>
      </c>
      <c r="C27" s="90">
        <v>358718</v>
      </c>
      <c r="D27" s="90">
        <v>2746</v>
      </c>
      <c r="E27" s="33">
        <v>1276627</v>
      </c>
      <c r="F27" s="90">
        <v>5054</v>
      </c>
      <c r="G27" s="90"/>
      <c r="H27" s="90">
        <v>8550</v>
      </c>
      <c r="I27" s="90">
        <v>13800</v>
      </c>
      <c r="J27" s="33">
        <f t="shared" si="0"/>
        <v>1924345</v>
      </c>
    </row>
    <row r="28" spans="1:10" ht="12">
      <c r="A28" s="314" t="s">
        <v>727</v>
      </c>
      <c r="B28" s="90">
        <v>48000</v>
      </c>
      <c r="C28" s="90">
        <v>107525</v>
      </c>
      <c r="D28" s="90">
        <v>1746</v>
      </c>
      <c r="E28" s="33">
        <v>933580</v>
      </c>
      <c r="F28" s="90">
        <v>2946</v>
      </c>
      <c r="G28" s="90"/>
      <c r="H28" s="90">
        <v>3500</v>
      </c>
      <c r="I28" s="90"/>
      <c r="J28" s="33">
        <f t="shared" si="0"/>
        <v>1097297</v>
      </c>
    </row>
    <row r="29" spans="1:10" ht="12">
      <c r="A29" s="314" t="s">
        <v>728</v>
      </c>
      <c r="B29" s="90">
        <v>904000</v>
      </c>
      <c r="C29" s="90">
        <v>347755</v>
      </c>
      <c r="D29" s="90">
        <v>2745</v>
      </c>
      <c r="E29" s="33">
        <v>1128562</v>
      </c>
      <c r="F29" s="90">
        <v>832</v>
      </c>
      <c r="G29" s="90"/>
      <c r="H29" s="90">
        <v>6900</v>
      </c>
      <c r="I29" s="90">
        <v>5250</v>
      </c>
      <c r="J29" s="33">
        <f t="shared" si="0"/>
        <v>2396044</v>
      </c>
    </row>
    <row r="30" spans="1:10" ht="12">
      <c r="A30" s="314" t="s">
        <v>729</v>
      </c>
      <c r="B30" s="90">
        <v>85000</v>
      </c>
      <c r="C30" s="90">
        <v>404212</v>
      </c>
      <c r="D30" s="90">
        <v>2745</v>
      </c>
      <c r="E30" s="33">
        <v>1235876</v>
      </c>
      <c r="F30" s="90">
        <v>814</v>
      </c>
      <c r="G30" s="90"/>
      <c r="H30" s="90">
        <v>2625</v>
      </c>
      <c r="I30" s="90">
        <v>35625</v>
      </c>
      <c r="J30" s="33">
        <f t="shared" si="0"/>
        <v>1766897</v>
      </c>
    </row>
    <row r="31" spans="1:10" ht="12">
      <c r="A31" s="314" t="s">
        <v>730</v>
      </c>
      <c r="B31" s="90">
        <v>456000</v>
      </c>
      <c r="C31" s="90">
        <v>123892</v>
      </c>
      <c r="D31" s="90">
        <v>2745</v>
      </c>
      <c r="E31" s="33">
        <v>1003731</v>
      </c>
      <c r="F31" s="90">
        <v>1044</v>
      </c>
      <c r="G31" s="90"/>
      <c r="H31" s="90">
        <v>1750</v>
      </c>
      <c r="I31" s="90">
        <v>3750</v>
      </c>
      <c r="J31" s="33">
        <f t="shared" si="0"/>
        <v>1592912</v>
      </c>
    </row>
    <row r="32" spans="1:10" ht="12">
      <c r="A32" s="314" t="s">
        <v>731</v>
      </c>
      <c r="B32" s="90">
        <v>71000</v>
      </c>
      <c r="C32" s="90">
        <v>111089</v>
      </c>
      <c r="D32" s="90">
        <v>2745</v>
      </c>
      <c r="E32" s="33">
        <v>844845</v>
      </c>
      <c r="F32" s="90">
        <v>3727</v>
      </c>
      <c r="G32" s="90"/>
      <c r="H32" s="90">
        <v>1750</v>
      </c>
      <c r="I32" s="90">
        <v>31500</v>
      </c>
      <c r="J32" s="33">
        <f t="shared" si="0"/>
        <v>1066656</v>
      </c>
    </row>
    <row r="33" spans="1:10" ht="12">
      <c r="A33" s="314" t="s">
        <v>732</v>
      </c>
      <c r="B33" s="90">
        <v>315000</v>
      </c>
      <c r="C33" s="90">
        <v>211993</v>
      </c>
      <c r="D33" s="90">
        <v>4942</v>
      </c>
      <c r="E33" s="33">
        <v>1129286</v>
      </c>
      <c r="F33" s="90">
        <v>1607</v>
      </c>
      <c r="G33" s="90"/>
      <c r="H33" s="90"/>
      <c r="I33" s="90">
        <v>5250</v>
      </c>
      <c r="J33" s="33">
        <f t="shared" si="0"/>
        <v>1668078</v>
      </c>
    </row>
    <row r="34" spans="1:10" ht="12">
      <c r="A34" s="314" t="s">
        <v>733</v>
      </c>
      <c r="B34" s="90">
        <v>132000</v>
      </c>
      <c r="C34" s="90">
        <v>214052</v>
      </c>
      <c r="D34" s="90">
        <v>4393</v>
      </c>
      <c r="E34" s="33">
        <v>1466602</v>
      </c>
      <c r="F34" s="90">
        <v>1134</v>
      </c>
      <c r="G34" s="90"/>
      <c r="H34" s="90"/>
      <c r="I34" s="90"/>
      <c r="J34" s="33">
        <f t="shared" si="0"/>
        <v>1818181</v>
      </c>
    </row>
    <row r="35" spans="1:10" ht="12">
      <c r="A35" s="314" t="s">
        <v>734</v>
      </c>
      <c r="B35" s="90">
        <v>165000</v>
      </c>
      <c r="C35" s="90">
        <v>302829</v>
      </c>
      <c r="D35" s="90">
        <v>4392</v>
      </c>
      <c r="E35" s="33">
        <v>1051864</v>
      </c>
      <c r="F35" s="90">
        <v>2844</v>
      </c>
      <c r="G35" s="90"/>
      <c r="H35" s="90">
        <v>5800</v>
      </c>
      <c r="I35" s="90"/>
      <c r="J35" s="33">
        <f t="shared" si="0"/>
        <v>1532729</v>
      </c>
    </row>
    <row r="36" spans="1:10" ht="12">
      <c r="A36" s="314" t="s">
        <v>735</v>
      </c>
      <c r="B36" s="90"/>
      <c r="C36" s="90">
        <v>462629</v>
      </c>
      <c r="D36" s="90">
        <v>2745</v>
      </c>
      <c r="E36" s="33">
        <v>974928</v>
      </c>
      <c r="F36" s="90">
        <v>4760</v>
      </c>
      <c r="G36" s="90"/>
      <c r="H36" s="90">
        <v>6050</v>
      </c>
      <c r="I36" s="90">
        <v>5250</v>
      </c>
      <c r="J36" s="33">
        <f t="shared" si="0"/>
        <v>1456362</v>
      </c>
    </row>
    <row r="37" spans="1:10" ht="12">
      <c r="A37" s="314" t="s">
        <v>736</v>
      </c>
      <c r="B37" s="90">
        <v>495000</v>
      </c>
      <c r="C37" s="90">
        <v>420095</v>
      </c>
      <c r="D37" s="90">
        <v>8784</v>
      </c>
      <c r="E37" s="33">
        <v>2776968</v>
      </c>
      <c r="F37" s="90">
        <v>2120</v>
      </c>
      <c r="G37" s="90"/>
      <c r="H37" s="90">
        <v>9320</v>
      </c>
      <c r="I37" s="90">
        <v>10500</v>
      </c>
      <c r="J37" s="33">
        <f t="shared" si="0"/>
        <v>3722787</v>
      </c>
    </row>
    <row r="38" spans="1:10" ht="12">
      <c r="A38" s="314" t="s">
        <v>737</v>
      </c>
      <c r="B38" s="90">
        <v>255000</v>
      </c>
      <c r="C38" s="90">
        <v>467956</v>
      </c>
      <c r="D38" s="90">
        <v>2745</v>
      </c>
      <c r="E38" s="33">
        <v>1000282</v>
      </c>
      <c r="F38" s="90">
        <v>1090</v>
      </c>
      <c r="G38" s="90"/>
      <c r="H38" s="90"/>
      <c r="I38" s="90"/>
      <c r="J38" s="33">
        <f t="shared" si="0"/>
        <v>1727073</v>
      </c>
    </row>
    <row r="39" spans="1:10" ht="12">
      <c r="A39" s="314" t="s">
        <v>738</v>
      </c>
      <c r="B39" s="90">
        <v>482350</v>
      </c>
      <c r="C39" s="90">
        <v>172497</v>
      </c>
      <c r="D39" s="90">
        <v>3843</v>
      </c>
      <c r="E39" s="33">
        <v>1297303</v>
      </c>
      <c r="F39" s="90">
        <v>1736</v>
      </c>
      <c r="G39" s="90"/>
      <c r="H39" s="90">
        <v>4500</v>
      </c>
      <c r="I39" s="90">
        <v>26100</v>
      </c>
      <c r="J39" s="33">
        <f t="shared" si="0"/>
        <v>1988329</v>
      </c>
    </row>
    <row r="40" spans="1:10" ht="12">
      <c r="A40" s="314" t="s">
        <v>739</v>
      </c>
      <c r="B40" s="33">
        <v>178000</v>
      </c>
      <c r="C40" s="90">
        <v>608796</v>
      </c>
      <c r="D40" s="90">
        <v>2745</v>
      </c>
      <c r="E40" s="33">
        <v>1326675</v>
      </c>
      <c r="F40" s="90">
        <v>1288</v>
      </c>
      <c r="G40" s="33"/>
      <c r="H40" s="33"/>
      <c r="I40" s="33">
        <v>3525</v>
      </c>
      <c r="J40" s="33">
        <f t="shared" si="0"/>
        <v>2121029</v>
      </c>
    </row>
    <row r="41" spans="1:10" ht="12">
      <c r="A41" s="314" t="s">
        <v>740</v>
      </c>
      <c r="B41" s="90">
        <v>290000</v>
      </c>
      <c r="C41" s="90">
        <v>147515</v>
      </c>
      <c r="D41" s="90">
        <v>4392</v>
      </c>
      <c r="E41" s="33">
        <v>864231</v>
      </c>
      <c r="F41" s="90">
        <v>186</v>
      </c>
      <c r="G41" s="33"/>
      <c r="H41" s="33">
        <v>3500</v>
      </c>
      <c r="I41" s="33">
        <v>10500</v>
      </c>
      <c r="J41" s="33">
        <f t="shared" si="0"/>
        <v>1320324</v>
      </c>
    </row>
    <row r="42" spans="1:10" ht="12">
      <c r="A42" s="314" t="s">
        <v>741</v>
      </c>
      <c r="B42" s="90"/>
      <c r="C42" s="90">
        <v>550792</v>
      </c>
      <c r="D42" s="90">
        <v>4941</v>
      </c>
      <c r="E42" s="33">
        <v>1576856</v>
      </c>
      <c r="F42" s="90">
        <v>223</v>
      </c>
      <c r="G42" s="33"/>
      <c r="H42" s="33">
        <v>1750</v>
      </c>
      <c r="I42" s="33">
        <v>5250</v>
      </c>
      <c r="J42" s="33">
        <f t="shared" si="0"/>
        <v>2139812</v>
      </c>
    </row>
    <row r="43" spans="1:10" ht="12">
      <c r="A43" s="314" t="s">
        <v>742</v>
      </c>
      <c r="B43" s="90">
        <f>500+1000+500</f>
        <v>2000</v>
      </c>
      <c r="C43" s="90">
        <v>142835</v>
      </c>
      <c r="D43" s="90">
        <v>2097</v>
      </c>
      <c r="E43" s="90">
        <v>373335</v>
      </c>
      <c r="F43" s="90">
        <v>180</v>
      </c>
      <c r="G43" s="314"/>
      <c r="H43" s="33"/>
      <c r="I43" s="33">
        <v>4725</v>
      </c>
      <c r="J43" s="33">
        <f t="shared" si="0"/>
        <v>525172</v>
      </c>
    </row>
    <row r="44" spans="1:10" ht="12">
      <c r="A44" s="467" t="s">
        <v>743</v>
      </c>
      <c r="B44" s="468">
        <f>SUM(B11:B43)</f>
        <v>7150000</v>
      </c>
      <c r="C44" s="468">
        <f>SUM(C11:C43)</f>
        <v>12085151</v>
      </c>
      <c r="D44" s="468">
        <f>SUM(D11:D43)</f>
        <v>142278</v>
      </c>
      <c r="E44" s="468">
        <f>SUM(E11:E43)</f>
        <v>49993806</v>
      </c>
      <c r="F44" s="468">
        <f>SUM(F11:F43)</f>
        <v>75000</v>
      </c>
      <c r="G44" s="33"/>
      <c r="H44" s="468">
        <f>SUM(H11:H43)</f>
        <v>74650</v>
      </c>
      <c r="I44" s="468">
        <f>SUM(I11:I43)</f>
        <v>240300</v>
      </c>
      <c r="J44" s="468">
        <f t="shared" si="0"/>
        <v>69761185</v>
      </c>
    </row>
    <row r="45" spans="1:10" ht="12">
      <c r="A45" s="469"/>
      <c r="B45" s="470"/>
      <c r="C45" s="470"/>
      <c r="D45" s="470"/>
      <c r="E45" s="470"/>
      <c r="F45" s="470"/>
      <c r="G45" s="470"/>
      <c r="H45" s="470"/>
      <c r="I45" s="470"/>
      <c r="J45" s="470"/>
    </row>
    <row r="46" spans="1:10" ht="12">
      <c r="A46" s="469"/>
      <c r="B46" s="470"/>
      <c r="C46" s="470"/>
      <c r="D46" s="471"/>
      <c r="E46" s="470"/>
      <c r="F46" s="470"/>
      <c r="G46" s="470"/>
      <c r="H46" s="470"/>
      <c r="I46" s="470"/>
      <c r="J46" s="470"/>
    </row>
    <row r="47" spans="1:10" ht="12">
      <c r="A47" s="469"/>
      <c r="B47" s="470"/>
      <c r="C47" s="470"/>
      <c r="D47" s="470"/>
      <c r="E47" s="470"/>
      <c r="F47" s="470"/>
      <c r="G47" s="470"/>
      <c r="H47" s="470"/>
      <c r="I47" s="470"/>
      <c r="J47" s="470"/>
    </row>
    <row r="48" spans="1:9" ht="12.75">
      <c r="A48" s="472"/>
      <c r="B48" s="473"/>
      <c r="C48" s="474"/>
      <c r="D48" s="475"/>
      <c r="E48" s="475"/>
      <c r="F48" s="475"/>
      <c r="G48" s="475"/>
      <c r="H48" s="475"/>
      <c r="I48" s="475"/>
    </row>
    <row r="49" spans="1:10" s="8" customFormat="1" ht="12">
      <c r="A49" s="379" t="s">
        <v>529</v>
      </c>
      <c r="B49" s="379"/>
      <c r="C49" s="476"/>
      <c r="D49" s="477"/>
      <c r="E49" s="354"/>
      <c r="F49" s="354"/>
      <c r="G49" s="379" t="s">
        <v>663</v>
      </c>
      <c r="H49" s="477"/>
      <c r="I49" s="354"/>
      <c r="J49" s="300" t="s">
        <v>488</v>
      </c>
    </row>
    <row r="50" spans="1:10" ht="12">
      <c r="A50" s="478"/>
      <c r="B50" s="103"/>
      <c r="C50" s="103"/>
      <c r="D50" s="103"/>
      <c r="E50" s="477"/>
      <c r="F50" s="477"/>
      <c r="G50" s="479"/>
      <c r="H50" s="479"/>
      <c r="I50" s="479"/>
      <c r="J50" s="477"/>
    </row>
    <row r="62" ht="11.25">
      <c r="A62" s="12" t="s">
        <v>489</v>
      </c>
    </row>
    <row r="63" ht="11.25">
      <c r="A63" s="294" t="s">
        <v>490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G1">
      <selection activeCell="A6" sqref="A6"/>
    </sheetView>
  </sheetViews>
  <sheetFormatPr defaultColWidth="9.140625" defaultRowHeight="12.75"/>
  <cols>
    <col min="1" max="1" width="34.00390625" style="70" hidden="1" customWidth="1"/>
    <col min="2" max="2" width="13.00390625" style="70" hidden="1" customWidth="1"/>
    <col min="3" max="3" width="8.8515625" style="251" hidden="1" customWidth="1"/>
    <col min="4" max="4" width="11.28125" style="70" hidden="1" customWidth="1"/>
    <col min="5" max="5" width="8.140625" style="70" hidden="1" customWidth="1"/>
    <col min="6" max="6" width="12.8515625" style="70" hidden="1" customWidth="1"/>
    <col min="7" max="7" width="39.140625" style="70" customWidth="1"/>
    <col min="8" max="8" width="10.28125" style="70" customWidth="1"/>
    <col min="9" max="9" width="9.140625" style="70" customWidth="1"/>
    <col min="10" max="10" width="9.7109375" style="70" customWidth="1"/>
    <col min="11" max="11" width="7.7109375" style="70" customWidth="1"/>
    <col min="12" max="12" width="8.7109375" style="70" customWidth="1"/>
    <col min="13" max="16384" width="7.8515625" style="70" customWidth="1"/>
  </cols>
  <sheetData>
    <row r="1" spans="6:12" ht="11.25" customHeight="1">
      <c r="F1" s="5" t="s">
        <v>320</v>
      </c>
      <c r="L1" s="5" t="s">
        <v>320</v>
      </c>
    </row>
    <row r="2" spans="1:11" ht="14.25">
      <c r="A2" s="217" t="s">
        <v>108</v>
      </c>
      <c r="B2" s="3"/>
      <c r="C2" s="252"/>
      <c r="D2" s="253"/>
      <c r="E2" s="3"/>
      <c r="G2" s="217" t="s">
        <v>108</v>
      </c>
      <c r="H2" s="3"/>
      <c r="I2" s="217"/>
      <c r="J2" s="253"/>
      <c r="K2" s="3"/>
    </row>
    <row r="3" spans="1:11" ht="6" customHeight="1">
      <c r="A3" s="75"/>
      <c r="B3" s="8"/>
      <c r="C3" s="254"/>
      <c r="D3" s="8"/>
      <c r="E3" s="8"/>
      <c r="G3" s="75"/>
      <c r="H3" s="8"/>
      <c r="I3" s="8"/>
      <c r="J3" s="8"/>
      <c r="K3" s="8"/>
    </row>
    <row r="4" spans="1:11" ht="15.75">
      <c r="A4" s="110" t="s">
        <v>321</v>
      </c>
      <c r="B4" s="217"/>
      <c r="C4" s="252"/>
      <c r="D4" s="217"/>
      <c r="E4" s="217"/>
      <c r="G4" s="110" t="s">
        <v>321</v>
      </c>
      <c r="H4" s="217"/>
      <c r="I4" s="217"/>
      <c r="J4" s="217"/>
      <c r="K4" s="217"/>
    </row>
    <row r="5" spans="1:12" ht="12.75" customHeight="1">
      <c r="A5" s="255"/>
      <c r="B5" s="8"/>
      <c r="C5" s="254"/>
      <c r="D5" s="101"/>
      <c r="E5" s="256"/>
      <c r="F5" s="257" t="s">
        <v>68</v>
      </c>
      <c r="G5" s="255"/>
      <c r="H5" s="8"/>
      <c r="I5" s="8"/>
      <c r="J5" s="101"/>
      <c r="K5" s="256"/>
      <c r="L5" s="257" t="s">
        <v>68</v>
      </c>
    </row>
    <row r="6" spans="1:12" ht="44.25" customHeight="1">
      <c r="A6" s="10" t="s">
        <v>7</v>
      </c>
      <c r="B6" s="10" t="s">
        <v>70</v>
      </c>
      <c r="C6" s="258" t="s">
        <v>322</v>
      </c>
      <c r="D6" s="10" t="s">
        <v>71</v>
      </c>
      <c r="E6" s="10" t="s">
        <v>323</v>
      </c>
      <c r="F6" s="10" t="s">
        <v>16</v>
      </c>
      <c r="G6" s="10" t="s">
        <v>7</v>
      </c>
      <c r="H6" s="10" t="s">
        <v>70</v>
      </c>
      <c r="I6" s="10" t="s">
        <v>322</v>
      </c>
      <c r="J6" s="10" t="s">
        <v>71</v>
      </c>
      <c r="K6" s="10" t="s">
        <v>323</v>
      </c>
      <c r="L6" s="10" t="s">
        <v>16</v>
      </c>
    </row>
    <row r="7" spans="1:12" ht="11.25" customHeight="1">
      <c r="A7" s="9">
        <v>1</v>
      </c>
      <c r="B7" s="81">
        <v>2</v>
      </c>
      <c r="C7" s="259">
        <v>3</v>
      </c>
      <c r="D7" s="114">
        <v>4</v>
      </c>
      <c r="E7" s="114">
        <v>5</v>
      </c>
      <c r="F7" s="81">
        <v>6</v>
      </c>
      <c r="G7" s="9">
        <v>1</v>
      </c>
      <c r="H7" s="81">
        <v>2</v>
      </c>
      <c r="I7" s="114">
        <v>3</v>
      </c>
      <c r="J7" s="114">
        <v>4</v>
      </c>
      <c r="K7" s="114">
        <v>5</v>
      </c>
      <c r="L7" s="81">
        <v>6</v>
      </c>
    </row>
    <row r="8" spans="1:12" ht="15" customHeight="1">
      <c r="A8" s="237" t="s">
        <v>324</v>
      </c>
      <c r="B8" s="13">
        <f>SUM(B9,B17,B33)</f>
        <v>664848446</v>
      </c>
      <c r="C8" s="260">
        <v>1.007</v>
      </c>
      <c r="D8" s="13">
        <f>SUM(D9,D17,D33)</f>
        <v>476248125.59000003</v>
      </c>
      <c r="E8" s="128">
        <f aca="true" t="shared" si="0" ref="E8:E34">IF(ISERROR(D8/B8)," ",(D8/B8))</f>
        <v>0.716325846071091</v>
      </c>
      <c r="F8" s="13">
        <f>SUM(F9,F17,F33)</f>
        <v>53664669.59</v>
      </c>
      <c r="G8" s="237" t="s">
        <v>324</v>
      </c>
      <c r="H8" s="13">
        <f>SUM(H9,H17,H33)</f>
        <v>664848</v>
      </c>
      <c r="I8" s="261">
        <f>C8</f>
        <v>1.007</v>
      </c>
      <c r="J8" s="13">
        <f>SUM(J9,J17,J33)</f>
        <v>476249</v>
      </c>
      <c r="K8" s="262">
        <f>IF(ISERROR(ROUND(J8,0)/ROUND(H8,0))," ",(ROUND(J8,)/ROUND(H8,)))</f>
        <v>0.716327641806849</v>
      </c>
      <c r="L8" s="13">
        <f>SUM(L9,L17,L33)</f>
        <v>53666</v>
      </c>
    </row>
    <row r="9" spans="1:12" ht="12.75">
      <c r="A9" s="124" t="s">
        <v>325</v>
      </c>
      <c r="B9" s="13">
        <f>SUM(B10,B12,B16)</f>
        <v>515297983</v>
      </c>
      <c r="C9" s="260">
        <v>1.007</v>
      </c>
      <c r="D9" s="13">
        <f>SUM(D10,D12,D16)</f>
        <v>392335667.79</v>
      </c>
      <c r="E9" s="128">
        <f t="shared" si="0"/>
        <v>0.7613762924237956</v>
      </c>
      <c r="F9" s="13">
        <f>SUM(F10,F12,F16)</f>
        <v>44490909.79</v>
      </c>
      <c r="G9" s="124" t="s">
        <v>325</v>
      </c>
      <c r="H9" s="107">
        <f>SUM(H10,H12,H16)</f>
        <v>515297</v>
      </c>
      <c r="I9" s="263">
        <f aca="true" t="shared" si="1" ref="I9:I34">C9</f>
        <v>1.007</v>
      </c>
      <c r="J9" s="107">
        <f>SUM(J10,J12,J16)</f>
        <v>392336</v>
      </c>
      <c r="K9" s="264">
        <f aca="true" t="shared" si="2" ref="K9:K34">IF(ISERROR(ROUND(J9,0)/ROUND(H9,0))," ",(ROUND(J9,)/ROUND(H9,)))</f>
        <v>0.7613783895501041</v>
      </c>
      <c r="L9" s="107">
        <f>SUM(L10,L12,L16)</f>
        <v>44492</v>
      </c>
    </row>
    <row r="10" spans="1:12" ht="15" customHeight="1">
      <c r="A10" s="125" t="s">
        <v>326</v>
      </c>
      <c r="B10" s="13">
        <f>SUM(B11)</f>
        <v>85300000</v>
      </c>
      <c r="C10" s="260">
        <v>1</v>
      </c>
      <c r="D10" s="13">
        <f>SUM(D11)</f>
        <v>68414589</v>
      </c>
      <c r="E10" s="128">
        <f t="shared" si="0"/>
        <v>0.8020467643610786</v>
      </c>
      <c r="F10" s="13">
        <f>SUM(F11)</f>
        <v>7424157</v>
      </c>
      <c r="G10" s="125" t="s">
        <v>326</v>
      </c>
      <c r="H10" s="15">
        <f>SUM(H11)</f>
        <v>85300</v>
      </c>
      <c r="I10" s="265">
        <f t="shared" si="1"/>
        <v>1</v>
      </c>
      <c r="J10" s="15">
        <f>SUM(J11)</f>
        <v>68415</v>
      </c>
      <c r="K10" s="266">
        <f t="shared" si="2"/>
        <v>0.8020515826494724</v>
      </c>
      <c r="L10" s="15">
        <f>SUM(L11)</f>
        <v>7425</v>
      </c>
    </row>
    <row r="11" spans="1:12" ht="12.75">
      <c r="A11" s="46" t="s">
        <v>327</v>
      </c>
      <c r="B11" s="42">
        <v>85300000</v>
      </c>
      <c r="C11" s="267">
        <v>1</v>
      </c>
      <c r="D11" s="42">
        <v>68414589</v>
      </c>
      <c r="E11" s="128">
        <f t="shared" si="0"/>
        <v>0.8020467643610786</v>
      </c>
      <c r="F11" s="42">
        <f>D11-'[6]Augusts'!D11</f>
        <v>7424157</v>
      </c>
      <c r="G11" s="46" t="s">
        <v>327</v>
      </c>
      <c r="H11" s="42">
        <f>ROUND(B11/1000,0)</f>
        <v>85300</v>
      </c>
      <c r="I11" s="268">
        <f t="shared" si="1"/>
        <v>1</v>
      </c>
      <c r="J11" s="42">
        <f>ROUND(D11/1000,0)</f>
        <v>68415</v>
      </c>
      <c r="K11" s="269">
        <f t="shared" si="2"/>
        <v>0.8020515826494724</v>
      </c>
      <c r="L11" s="42">
        <f>J11-'[6]Augusts'!J11</f>
        <v>7425</v>
      </c>
    </row>
    <row r="12" spans="1:12" ht="12.75">
      <c r="A12" s="125" t="s">
        <v>328</v>
      </c>
      <c r="B12" s="13">
        <f>SUM(B13:B15)</f>
        <v>429997983</v>
      </c>
      <c r="C12" s="260">
        <v>1</v>
      </c>
      <c r="D12" s="13">
        <f>SUM(D13:D15)</f>
        <v>319458945</v>
      </c>
      <c r="E12" s="128">
        <f t="shared" si="0"/>
        <v>0.7429312639357194</v>
      </c>
      <c r="F12" s="13">
        <f>SUM(F13:F15)</f>
        <v>36978501</v>
      </c>
      <c r="G12" s="125" t="s">
        <v>328</v>
      </c>
      <c r="H12" s="15">
        <f>SUM(H13:H15)</f>
        <v>429997</v>
      </c>
      <c r="I12" s="265">
        <f t="shared" si="1"/>
        <v>1</v>
      </c>
      <c r="J12" s="15">
        <f>SUM(J13:J15)</f>
        <v>319459</v>
      </c>
      <c r="K12" s="266">
        <f t="shared" si="2"/>
        <v>0.7429330902308621</v>
      </c>
      <c r="L12" s="15">
        <f>SUM(L13:L15)</f>
        <v>36979</v>
      </c>
    </row>
    <row r="13" spans="1:12" ht="12.75">
      <c r="A13" s="46" t="s">
        <v>329</v>
      </c>
      <c r="B13" s="42">
        <v>307331592</v>
      </c>
      <c r="C13" s="267">
        <v>1</v>
      </c>
      <c r="D13" s="42">
        <f>228080078+10</f>
        <v>228080088</v>
      </c>
      <c r="E13" s="128">
        <f t="shared" si="0"/>
        <v>0.742130304651531</v>
      </c>
      <c r="F13" s="42">
        <f>D13-'[6]Augusts'!D13</f>
        <v>27350937</v>
      </c>
      <c r="G13" s="46" t="s">
        <v>329</v>
      </c>
      <c r="H13" s="42">
        <f>ROUND(B13/1000,0)-1</f>
        <v>307331</v>
      </c>
      <c r="I13" s="268">
        <f t="shared" si="1"/>
        <v>1</v>
      </c>
      <c r="J13" s="42">
        <f>ROUND(D13/1000,0)</f>
        <v>228080</v>
      </c>
      <c r="K13" s="269">
        <f t="shared" si="2"/>
        <v>0.742131447852641</v>
      </c>
      <c r="L13" s="42">
        <f>J13-'[6]Augusts'!J13</f>
        <v>27351</v>
      </c>
    </row>
    <row r="14" spans="1:12" ht="12.75">
      <c r="A14" s="46" t="s">
        <v>330</v>
      </c>
      <c r="B14" s="42">
        <v>107751391</v>
      </c>
      <c r="C14" s="267">
        <v>1</v>
      </c>
      <c r="D14" s="42">
        <v>79781170</v>
      </c>
      <c r="E14" s="128">
        <f t="shared" si="0"/>
        <v>0.7404189334316807</v>
      </c>
      <c r="F14" s="42">
        <f>D14-'[6]Augusts'!D14</f>
        <v>8401218</v>
      </c>
      <c r="G14" s="46" t="s">
        <v>330</v>
      </c>
      <c r="H14" s="42">
        <f>ROUND(B14/1000,0)</f>
        <v>107751</v>
      </c>
      <c r="I14" s="268">
        <f t="shared" si="1"/>
        <v>1</v>
      </c>
      <c r="J14" s="42">
        <f>ROUND(D14/1000,0)</f>
        <v>79781</v>
      </c>
      <c r="K14" s="269">
        <f t="shared" si="2"/>
        <v>0.7404200425054059</v>
      </c>
      <c r="L14" s="42">
        <f>J14-'[6]Augusts'!J14</f>
        <v>8401</v>
      </c>
    </row>
    <row r="15" spans="1:12" ht="15.75" customHeight="1">
      <c r="A15" s="240" t="s">
        <v>331</v>
      </c>
      <c r="B15" s="42">
        <v>14915000</v>
      </c>
      <c r="C15" s="267">
        <v>1</v>
      </c>
      <c r="D15" s="42">
        <v>11597687</v>
      </c>
      <c r="E15" s="128">
        <f t="shared" si="0"/>
        <v>0.7775854508883674</v>
      </c>
      <c r="F15" s="42">
        <f>D15-'[6]Augusts'!D15</f>
        <v>1226346</v>
      </c>
      <c r="G15" s="240" t="s">
        <v>331</v>
      </c>
      <c r="H15" s="42">
        <f>ROUND(B15/1000,0)</f>
        <v>14915</v>
      </c>
      <c r="I15" s="268">
        <f t="shared" si="1"/>
        <v>1</v>
      </c>
      <c r="J15" s="42">
        <f>ROUND(D15/1000,0)</f>
        <v>11598</v>
      </c>
      <c r="K15" s="269">
        <f t="shared" si="2"/>
        <v>0.7776064364733489</v>
      </c>
      <c r="L15" s="42">
        <f>J15-'[6]Augusts'!J15</f>
        <v>1227</v>
      </c>
    </row>
    <row r="16" spans="1:12" ht="17.25" customHeight="1">
      <c r="A16" s="133" t="s">
        <v>332</v>
      </c>
      <c r="B16" s="42"/>
      <c r="C16" s="267"/>
      <c r="D16" s="42">
        <f>2035024.03-7477.17+849399.56+1585187.37</f>
        <v>4462133.79</v>
      </c>
      <c r="E16" s="128" t="str">
        <f t="shared" si="0"/>
        <v> </v>
      </c>
      <c r="F16" s="42">
        <f>D16-'[6]Augusts'!D16</f>
        <v>88251.79000000004</v>
      </c>
      <c r="G16" s="133" t="s">
        <v>332</v>
      </c>
      <c r="H16" s="15">
        <f>ROUND(B16/1000,0)</f>
        <v>0</v>
      </c>
      <c r="I16" s="265">
        <f t="shared" si="1"/>
        <v>0</v>
      </c>
      <c r="J16" s="15">
        <f>ROUND(D16/1000,0)</f>
        <v>4462</v>
      </c>
      <c r="K16" s="266" t="str">
        <f t="shared" si="2"/>
        <v> </v>
      </c>
      <c r="L16" s="42">
        <f>J16-'[6]Augusts'!J16</f>
        <v>88</v>
      </c>
    </row>
    <row r="17" spans="1:12" ht="15.75" customHeight="1">
      <c r="A17" s="124" t="s">
        <v>333</v>
      </c>
      <c r="B17" s="13">
        <f>SUM(B18,B19,B20,B21,B22,B23,B24,B28,B30)</f>
        <v>83205727</v>
      </c>
      <c r="C17" s="260">
        <v>1.01</v>
      </c>
      <c r="D17" s="13">
        <f>SUM(D18,D19,D20,D21,D22,D23,D24,D28,D30)</f>
        <v>40000486.13</v>
      </c>
      <c r="E17" s="128">
        <f t="shared" si="0"/>
        <v>0.48074198221956527</v>
      </c>
      <c r="F17" s="13">
        <f>SUM(F18,F19,F20,F21,F22,F23,F24,F28,F30)</f>
        <v>3153709.13</v>
      </c>
      <c r="G17" s="124" t="s">
        <v>333</v>
      </c>
      <c r="H17" s="107">
        <f>SUM(H18,H19,H20,H21,H22,H23,H24,H28,H30)</f>
        <v>83206</v>
      </c>
      <c r="I17" s="263">
        <f t="shared" si="1"/>
        <v>1.01</v>
      </c>
      <c r="J17" s="107">
        <f>SUM(J18,J19,J20,J21,J22,J23,J24,J28,J30)</f>
        <v>40001</v>
      </c>
      <c r="K17" s="264">
        <f t="shared" si="2"/>
        <v>0.48074658077542487</v>
      </c>
      <c r="L17" s="107">
        <f>SUM(L18,L19,L20,L21,L22,L23,L24,L28,L30)</f>
        <v>3154</v>
      </c>
    </row>
    <row r="18" spans="1:12" ht="15.75" customHeight="1">
      <c r="A18" s="98" t="s">
        <v>334</v>
      </c>
      <c r="B18" s="42">
        <v>3464000</v>
      </c>
      <c r="C18" s="267">
        <v>1.217</v>
      </c>
      <c r="D18" s="42">
        <v>4212160</v>
      </c>
      <c r="E18" s="128">
        <f t="shared" si="0"/>
        <v>1.2159815242494227</v>
      </c>
      <c r="F18" s="42">
        <f>D18-'[6]Augusts'!D18</f>
        <v>4092</v>
      </c>
      <c r="G18" s="98" t="s">
        <v>334</v>
      </c>
      <c r="H18" s="42">
        <f aca="true" t="shared" si="3" ref="H18:H23">ROUND(B18/1000,0)</f>
        <v>3464</v>
      </c>
      <c r="I18" s="268">
        <f t="shared" si="1"/>
        <v>1.217</v>
      </c>
      <c r="J18" s="42">
        <f aca="true" t="shared" si="4" ref="J18:J29">ROUND(D18/1000,0)</f>
        <v>4212</v>
      </c>
      <c r="K18" s="269">
        <f t="shared" si="2"/>
        <v>1.2159353348729791</v>
      </c>
      <c r="L18" s="42">
        <f>J18-'[6]Augusts'!J18</f>
        <v>4</v>
      </c>
    </row>
    <row r="19" spans="1:12" ht="15" customHeight="1">
      <c r="A19" s="46" t="s">
        <v>335</v>
      </c>
      <c r="B19" s="42">
        <v>8219605</v>
      </c>
      <c r="C19" s="267">
        <v>1</v>
      </c>
      <c r="D19" s="42">
        <f>1408887.87+4322818</f>
        <v>5731705.87</v>
      </c>
      <c r="E19" s="128">
        <f t="shared" si="0"/>
        <v>0.6973213274847149</v>
      </c>
      <c r="F19" s="42">
        <f>D19-'[6]Augusts'!D19</f>
        <v>690863.8700000001</v>
      </c>
      <c r="G19" s="46" t="s">
        <v>335</v>
      </c>
      <c r="H19" s="42">
        <f t="shared" si="3"/>
        <v>8220</v>
      </c>
      <c r="I19" s="268">
        <f t="shared" si="1"/>
        <v>1</v>
      </c>
      <c r="J19" s="42">
        <f t="shared" si="4"/>
        <v>5732</v>
      </c>
      <c r="K19" s="269">
        <f t="shared" si="2"/>
        <v>0.697323600973236</v>
      </c>
      <c r="L19" s="42">
        <f>J19-'[6]Augusts'!J19</f>
        <v>691</v>
      </c>
    </row>
    <row r="20" spans="1:12" ht="19.5" customHeight="1">
      <c r="A20" s="98" t="s">
        <v>336</v>
      </c>
      <c r="B20" s="42">
        <v>10860000</v>
      </c>
      <c r="C20" s="267">
        <v>1</v>
      </c>
      <c r="D20" s="42">
        <v>7368010</v>
      </c>
      <c r="E20" s="128">
        <f t="shared" si="0"/>
        <v>0.6784539594843462</v>
      </c>
      <c r="F20" s="42">
        <f>D20-'[6]Augusts'!D20</f>
        <v>928169</v>
      </c>
      <c r="G20" s="98" t="s">
        <v>336</v>
      </c>
      <c r="H20" s="42">
        <f t="shared" si="3"/>
        <v>10860</v>
      </c>
      <c r="I20" s="268">
        <f t="shared" si="1"/>
        <v>1</v>
      </c>
      <c r="J20" s="42">
        <f t="shared" si="4"/>
        <v>7368</v>
      </c>
      <c r="K20" s="269">
        <f t="shared" si="2"/>
        <v>0.6784530386740332</v>
      </c>
      <c r="L20" s="42">
        <f>J20-'[6]Augusts'!J20</f>
        <v>928</v>
      </c>
    </row>
    <row r="21" spans="1:12" ht="25.5" customHeight="1">
      <c r="A21" s="98" t="s">
        <v>337</v>
      </c>
      <c r="B21" s="42">
        <v>450000</v>
      </c>
      <c r="C21" s="267">
        <v>1.12</v>
      </c>
      <c r="D21" s="42">
        <v>474888</v>
      </c>
      <c r="E21" s="128">
        <f t="shared" si="0"/>
        <v>1.0553066666666666</v>
      </c>
      <c r="F21" s="42">
        <f>D21-'[6]Augusts'!D21</f>
        <v>56994</v>
      </c>
      <c r="G21" s="98" t="s">
        <v>337</v>
      </c>
      <c r="H21" s="42">
        <f t="shared" si="3"/>
        <v>450</v>
      </c>
      <c r="I21" s="268">
        <f t="shared" si="1"/>
        <v>1.12</v>
      </c>
      <c r="J21" s="42">
        <f t="shared" si="4"/>
        <v>475</v>
      </c>
      <c r="K21" s="269">
        <f t="shared" si="2"/>
        <v>1.0555555555555556</v>
      </c>
      <c r="L21" s="42">
        <f>J21-'[6]Augusts'!J21</f>
        <v>57</v>
      </c>
    </row>
    <row r="22" spans="1:12" ht="15.75" customHeight="1">
      <c r="A22" s="98" t="s">
        <v>338</v>
      </c>
      <c r="B22" s="42">
        <v>702000</v>
      </c>
      <c r="C22" s="267">
        <v>1</v>
      </c>
      <c r="D22" s="42">
        <v>731854</v>
      </c>
      <c r="E22" s="128">
        <f t="shared" si="0"/>
        <v>1.0425270655270655</v>
      </c>
      <c r="F22" s="42">
        <f>D22-'[6]Augusts'!D22</f>
        <v>48145</v>
      </c>
      <c r="G22" s="98" t="s">
        <v>338</v>
      </c>
      <c r="H22" s="42">
        <f t="shared" si="3"/>
        <v>702</v>
      </c>
      <c r="I22" s="268">
        <f t="shared" si="1"/>
        <v>1</v>
      </c>
      <c r="J22" s="42">
        <f t="shared" si="4"/>
        <v>732</v>
      </c>
      <c r="K22" s="269">
        <f t="shared" si="2"/>
        <v>1.0427350427350428</v>
      </c>
      <c r="L22" s="42">
        <f>J22-'[6]Augusts'!J22</f>
        <v>48</v>
      </c>
    </row>
    <row r="23" spans="1:12" ht="15.75" customHeight="1">
      <c r="A23" s="46" t="s">
        <v>339</v>
      </c>
      <c r="B23" s="42">
        <v>4250000</v>
      </c>
      <c r="C23" s="267">
        <v>1</v>
      </c>
      <c r="D23" s="42">
        <v>3916648</v>
      </c>
      <c r="E23" s="128">
        <f t="shared" si="0"/>
        <v>0.9215642352941177</v>
      </c>
      <c r="F23" s="42">
        <f>D23-'[6]Augusts'!D23</f>
        <v>617912</v>
      </c>
      <c r="G23" s="46" t="s">
        <v>339</v>
      </c>
      <c r="H23" s="42">
        <f t="shared" si="3"/>
        <v>4250</v>
      </c>
      <c r="I23" s="268">
        <f t="shared" si="1"/>
        <v>1</v>
      </c>
      <c r="J23" s="42">
        <f t="shared" si="4"/>
        <v>3917</v>
      </c>
      <c r="K23" s="269">
        <f t="shared" si="2"/>
        <v>0.9216470588235294</v>
      </c>
      <c r="L23" s="42">
        <f>J23-'[6]Augusts'!J23</f>
        <v>618</v>
      </c>
    </row>
    <row r="24" spans="1:12" ht="15.75" customHeight="1">
      <c r="A24" s="46" t="s">
        <v>340</v>
      </c>
      <c r="B24" s="42">
        <f>SUM(B25,B26,B27)</f>
        <v>12496253</v>
      </c>
      <c r="C24" s="267">
        <v>1</v>
      </c>
      <c r="D24" s="42">
        <f>272.09+9.72+2767528.14+4666.78+8361844.81+208603.14+8145.58+223</f>
        <v>11351293.26</v>
      </c>
      <c r="E24" s="128">
        <f t="shared" si="0"/>
        <v>0.9083757555164736</v>
      </c>
      <c r="F24" s="42">
        <f>D24-'[6]Augusts'!D24</f>
        <v>665092.2599999998</v>
      </c>
      <c r="G24" s="46" t="s">
        <v>340</v>
      </c>
      <c r="H24" s="42">
        <f>SUM(H25,H26,H27)</f>
        <v>12496</v>
      </c>
      <c r="I24" s="268">
        <f t="shared" si="1"/>
        <v>1</v>
      </c>
      <c r="J24" s="42">
        <f t="shared" si="4"/>
        <v>11351</v>
      </c>
      <c r="K24" s="269">
        <f t="shared" si="2"/>
        <v>0.9083706786171575</v>
      </c>
      <c r="L24" s="42">
        <f>J24-'[6]Augusts'!J24</f>
        <v>665</v>
      </c>
    </row>
    <row r="25" spans="1:12" ht="27" customHeight="1">
      <c r="A25" s="130" t="s">
        <v>341</v>
      </c>
      <c r="B25" s="42">
        <v>6000000</v>
      </c>
      <c r="C25" s="267">
        <v>1</v>
      </c>
      <c r="D25" s="42">
        <v>5364385</v>
      </c>
      <c r="E25" s="128">
        <f t="shared" si="0"/>
        <v>0.8940641666666667</v>
      </c>
      <c r="F25" s="42">
        <f>D25-'[6]Augusts'!D25</f>
        <v>0</v>
      </c>
      <c r="G25" s="130" t="s">
        <v>341</v>
      </c>
      <c r="H25" s="45">
        <f>ROUND(B25/1000,0)</f>
        <v>6000</v>
      </c>
      <c r="I25" s="270">
        <f t="shared" si="1"/>
        <v>1</v>
      </c>
      <c r="J25" s="45">
        <f t="shared" si="4"/>
        <v>5364</v>
      </c>
      <c r="K25" s="271">
        <f t="shared" si="2"/>
        <v>0.894</v>
      </c>
      <c r="L25" s="45">
        <f>J25-'[6]Augusts'!J25</f>
        <v>0</v>
      </c>
    </row>
    <row r="26" spans="1:12" ht="25.5" customHeight="1">
      <c r="A26" s="130" t="s">
        <v>342</v>
      </c>
      <c r="B26" s="42">
        <v>1201200</v>
      </c>
      <c r="C26" s="267">
        <v>1</v>
      </c>
      <c r="D26" s="42">
        <v>900896</v>
      </c>
      <c r="E26" s="128">
        <f t="shared" si="0"/>
        <v>0.74999666999667</v>
      </c>
      <c r="F26" s="42">
        <f>D26-'[6]Augusts'!D26-200198</f>
        <v>-100098</v>
      </c>
      <c r="G26" s="130" t="s">
        <v>342</v>
      </c>
      <c r="H26" s="45">
        <f>ROUND(B26/1000,0)</f>
        <v>1201</v>
      </c>
      <c r="I26" s="270">
        <f t="shared" si="1"/>
        <v>1</v>
      </c>
      <c r="J26" s="45">
        <f t="shared" si="4"/>
        <v>901</v>
      </c>
      <c r="K26" s="271">
        <f t="shared" si="2"/>
        <v>0.7502081598667777</v>
      </c>
      <c r="L26" s="45">
        <f>J26-'[6]Augusts'!J26</f>
        <v>100</v>
      </c>
    </row>
    <row r="27" spans="1:12" ht="18" customHeight="1">
      <c r="A27" s="130" t="s">
        <v>343</v>
      </c>
      <c r="B27" s="42">
        <v>5295053</v>
      </c>
      <c r="C27" s="267">
        <v>1</v>
      </c>
      <c r="D27" s="42">
        <f>11351070-5364385-900896+223</f>
        <v>5086012</v>
      </c>
      <c r="E27" s="128">
        <f t="shared" si="0"/>
        <v>0.9605214527597741</v>
      </c>
      <c r="F27" s="42">
        <f>D27-'[6]Augusts'!D27</f>
        <v>564992</v>
      </c>
      <c r="G27" s="130" t="s">
        <v>343</v>
      </c>
      <c r="H27" s="45">
        <f>ROUND(B27/1000,0)</f>
        <v>5295</v>
      </c>
      <c r="I27" s="270">
        <f t="shared" si="1"/>
        <v>1</v>
      </c>
      <c r="J27" s="45">
        <f t="shared" si="4"/>
        <v>5086</v>
      </c>
      <c r="K27" s="271">
        <f t="shared" si="2"/>
        <v>0.9605288007554297</v>
      </c>
      <c r="L27" s="45">
        <f>J27-'[6]Augusts'!J27</f>
        <v>565</v>
      </c>
    </row>
    <row r="28" spans="1:12" ht="15" customHeight="1">
      <c r="A28" s="98" t="s">
        <v>344</v>
      </c>
      <c r="B28" s="42">
        <v>38313869</v>
      </c>
      <c r="C28" s="267">
        <v>1</v>
      </c>
      <c r="D28" s="42">
        <v>3636000</v>
      </c>
      <c r="E28" s="128">
        <f t="shared" si="0"/>
        <v>0.09490036101548502</v>
      </c>
      <c r="F28" s="42">
        <f>D28-'[6]Augusts'!D28</f>
        <v>124000</v>
      </c>
      <c r="G28" s="98" t="s">
        <v>344</v>
      </c>
      <c r="H28" s="42">
        <f>ROUND(B28/1000,0)</f>
        <v>38314</v>
      </c>
      <c r="I28" s="268">
        <f t="shared" si="1"/>
        <v>1</v>
      </c>
      <c r="J28" s="42">
        <f t="shared" si="4"/>
        <v>3636</v>
      </c>
      <c r="K28" s="269">
        <f t="shared" si="2"/>
        <v>0.09490003654016808</v>
      </c>
      <c r="L28" s="42">
        <f>J28-'[6]Augusts'!J28</f>
        <v>124</v>
      </c>
    </row>
    <row r="29" spans="1:12" ht="27" customHeight="1">
      <c r="A29" s="130" t="s">
        <v>345</v>
      </c>
      <c r="B29" s="42">
        <v>38313869</v>
      </c>
      <c r="C29" s="267">
        <v>1</v>
      </c>
      <c r="D29" s="42">
        <v>3636000</v>
      </c>
      <c r="E29" s="128">
        <f t="shared" si="0"/>
        <v>0.09490036101548502</v>
      </c>
      <c r="F29" s="42">
        <f>D29-'[6]Augusts'!D29</f>
        <v>124000</v>
      </c>
      <c r="G29" s="130" t="s">
        <v>345</v>
      </c>
      <c r="H29" s="45">
        <f>ROUND(B29/1000,0)</f>
        <v>38314</v>
      </c>
      <c r="I29" s="270">
        <f t="shared" si="1"/>
        <v>1</v>
      </c>
      <c r="J29" s="272">
        <f t="shared" si="4"/>
        <v>3636</v>
      </c>
      <c r="K29" s="271">
        <f t="shared" si="2"/>
        <v>0.09490003654016808</v>
      </c>
      <c r="L29" s="45">
        <f>J29-'[6]Augusts'!J29</f>
        <v>124</v>
      </c>
    </row>
    <row r="30" spans="1:12" ht="15" customHeight="1">
      <c r="A30" s="98" t="s">
        <v>346</v>
      </c>
      <c r="B30" s="42">
        <f>SUM(B31,B32)</f>
        <v>4450000</v>
      </c>
      <c r="C30" s="267">
        <v>1.488</v>
      </c>
      <c r="D30" s="42">
        <v>2577927</v>
      </c>
      <c r="E30" s="128">
        <f t="shared" si="0"/>
        <v>0.5793094382022472</v>
      </c>
      <c r="F30" s="42">
        <f>D30-'[6]Augusts'!D30</f>
        <v>18441</v>
      </c>
      <c r="G30" s="98" t="s">
        <v>346</v>
      </c>
      <c r="H30" s="42">
        <f>SUM(H31,H32)</f>
        <v>4450</v>
      </c>
      <c r="I30" s="268">
        <f t="shared" si="1"/>
        <v>1.488</v>
      </c>
      <c r="J30" s="42">
        <f>SUM(J31,J32)</f>
        <v>2578</v>
      </c>
      <c r="K30" s="269">
        <f t="shared" si="2"/>
        <v>0.5793258426966292</v>
      </c>
      <c r="L30" s="42">
        <f>J30-'[6]Augusts'!J30</f>
        <v>19</v>
      </c>
    </row>
    <row r="31" spans="1:12" ht="26.25" customHeight="1">
      <c r="A31" s="130" t="s">
        <v>347</v>
      </c>
      <c r="B31" s="42">
        <v>1450000</v>
      </c>
      <c r="C31" s="267">
        <v>1</v>
      </c>
      <c r="D31" s="42">
        <v>1462500</v>
      </c>
      <c r="E31" s="128">
        <f t="shared" si="0"/>
        <v>1.0086206896551724</v>
      </c>
      <c r="F31" s="42">
        <f>D31-'[6]Augusts'!D31</f>
        <v>0</v>
      </c>
      <c r="G31" s="130" t="s">
        <v>347</v>
      </c>
      <c r="H31" s="45">
        <f>ROUND(B31/1000,0)</f>
        <v>1450</v>
      </c>
      <c r="I31" s="270">
        <f t="shared" si="1"/>
        <v>1</v>
      </c>
      <c r="J31" s="45">
        <f>ROUND(D31/1000,0)</f>
        <v>1463</v>
      </c>
      <c r="K31" s="271">
        <f t="shared" si="2"/>
        <v>1.0089655172413794</v>
      </c>
      <c r="L31" s="45">
        <f>J31-'[6]Augusts'!J31</f>
        <v>0</v>
      </c>
    </row>
    <row r="32" spans="1:12" ht="30.75" customHeight="1">
      <c r="A32" s="130" t="s">
        <v>348</v>
      </c>
      <c r="B32" s="42">
        <v>3000000</v>
      </c>
      <c r="C32" s="267">
        <v>1</v>
      </c>
      <c r="D32" s="42">
        <v>1115427</v>
      </c>
      <c r="E32" s="128">
        <f t="shared" si="0"/>
        <v>0.371809</v>
      </c>
      <c r="F32" s="42">
        <f>D32-'[6]Augusts'!D32</f>
        <v>18441</v>
      </c>
      <c r="G32" s="130" t="s">
        <v>348</v>
      </c>
      <c r="H32" s="45">
        <f>ROUND(B32/1000,0)</f>
        <v>3000</v>
      </c>
      <c r="I32" s="270">
        <f t="shared" si="1"/>
        <v>1</v>
      </c>
      <c r="J32" s="45">
        <f>ROUND(D32/1000,0)</f>
        <v>1115</v>
      </c>
      <c r="K32" s="271">
        <f t="shared" si="2"/>
        <v>0.37166666666666665</v>
      </c>
      <c r="L32" s="45">
        <f>J32-'[6]Augusts'!J32</f>
        <v>19</v>
      </c>
    </row>
    <row r="33" spans="1:12" ht="12.75">
      <c r="A33" s="135" t="s">
        <v>349</v>
      </c>
      <c r="B33" s="13">
        <f>SUM(B34)</f>
        <v>66344736</v>
      </c>
      <c r="C33" s="260">
        <v>1</v>
      </c>
      <c r="D33" s="13">
        <f>SUM(D34)</f>
        <v>43911971.67</v>
      </c>
      <c r="E33" s="128">
        <f t="shared" si="0"/>
        <v>0.6618757465550846</v>
      </c>
      <c r="F33" s="13">
        <f>SUM(F34)</f>
        <v>6020050.670000002</v>
      </c>
      <c r="G33" s="135" t="s">
        <v>349</v>
      </c>
      <c r="H33" s="107">
        <f>SUM(H34)</f>
        <v>66345</v>
      </c>
      <c r="I33" s="263">
        <f t="shared" si="1"/>
        <v>1</v>
      </c>
      <c r="J33" s="107">
        <f>SUM(J34)</f>
        <v>43912</v>
      </c>
      <c r="K33" s="264">
        <f t="shared" si="2"/>
        <v>0.6618735398296782</v>
      </c>
      <c r="L33" s="15">
        <f>J33-'[6]Augusts'!J33</f>
        <v>6020</v>
      </c>
    </row>
    <row r="34" spans="1:12" ht="22.5">
      <c r="A34" s="98" t="s">
        <v>350</v>
      </c>
      <c r="B34" s="42">
        <v>66344736</v>
      </c>
      <c r="C34" s="267">
        <v>1</v>
      </c>
      <c r="D34" s="42">
        <f>43827575+84396.67</f>
        <v>43911971.67</v>
      </c>
      <c r="E34" s="128">
        <f t="shared" si="0"/>
        <v>0.6618757465550846</v>
      </c>
      <c r="F34" s="42">
        <f>D34-'[6]Augusts'!D34</f>
        <v>6020050.670000002</v>
      </c>
      <c r="G34" s="98" t="s">
        <v>350</v>
      </c>
      <c r="H34" s="42">
        <f>ROUND(B34/1000,0)</f>
        <v>66345</v>
      </c>
      <c r="I34" s="268">
        <f t="shared" si="1"/>
        <v>1</v>
      </c>
      <c r="J34" s="42">
        <f>ROUND(D34/1000,0)</f>
        <v>43912</v>
      </c>
      <c r="K34" s="269">
        <f t="shared" si="2"/>
        <v>0.6618735398296782</v>
      </c>
      <c r="L34" s="42">
        <f>J34-'[6]Augusts'!J34</f>
        <v>6020</v>
      </c>
    </row>
    <row r="35" spans="1:12" ht="4.5" customHeight="1">
      <c r="A35" s="140"/>
      <c r="B35" s="141"/>
      <c r="C35" s="273"/>
      <c r="D35" s="141">
        <v>0</v>
      </c>
      <c r="E35" s="274"/>
      <c r="F35" s="42"/>
      <c r="G35" s="140"/>
      <c r="H35" s="141"/>
      <c r="I35" s="249"/>
      <c r="J35" s="141"/>
      <c r="K35" s="274"/>
      <c r="L35" s="275"/>
    </row>
    <row r="36" spans="1:11" ht="12.75">
      <c r="A36" s="276" t="s">
        <v>351</v>
      </c>
      <c r="B36" s="141"/>
      <c r="C36" s="273"/>
      <c r="D36" s="141"/>
      <c r="E36" s="274"/>
      <c r="G36" s="276" t="s">
        <v>352</v>
      </c>
      <c r="H36" s="141"/>
      <c r="I36" s="249"/>
      <c r="J36" s="141"/>
      <c r="K36" s="274"/>
    </row>
    <row r="37" spans="1:11" ht="12.75">
      <c r="A37" s="276" t="s">
        <v>353</v>
      </c>
      <c r="B37" s="141"/>
      <c r="C37" s="273"/>
      <c r="D37" s="141"/>
      <c r="E37" s="274"/>
      <c r="G37" s="276" t="s">
        <v>354</v>
      </c>
      <c r="H37" s="141"/>
      <c r="I37" s="249"/>
      <c r="J37" s="141"/>
      <c r="K37" s="274"/>
    </row>
    <row r="38" spans="1:11" ht="13.5" customHeight="1">
      <c r="A38" s="276"/>
      <c r="B38" s="149"/>
      <c r="C38" s="252"/>
      <c r="D38" s="277"/>
      <c r="E38" s="277"/>
      <c r="G38" s="276"/>
      <c r="H38" s="149"/>
      <c r="I38" s="149"/>
      <c r="J38" s="277"/>
      <c r="K38" s="277"/>
    </row>
    <row r="39" spans="1:11" ht="29.25" customHeight="1">
      <c r="A39" s="8" t="s">
        <v>355</v>
      </c>
      <c r="B39" s="58"/>
      <c r="C39" s="254"/>
      <c r="D39" s="59"/>
      <c r="E39" s="100"/>
      <c r="H39" s="58"/>
      <c r="I39" s="103"/>
      <c r="J39" s="59"/>
      <c r="K39" s="100"/>
    </row>
    <row r="40" spans="1:11" ht="32.25" customHeight="1">
      <c r="A40" s="276"/>
      <c r="B40" s="152"/>
      <c r="C40" s="254"/>
      <c r="D40" s="103"/>
      <c r="E40" s="100"/>
      <c r="G40" s="276"/>
      <c r="H40" s="152"/>
      <c r="I40" s="103"/>
      <c r="J40" s="103"/>
      <c r="K40" s="100"/>
    </row>
    <row r="41" spans="1:11" ht="12.75">
      <c r="A41" s="8" t="s">
        <v>144</v>
      </c>
      <c r="B41" s="8"/>
      <c r="C41" s="254"/>
      <c r="D41" s="8"/>
      <c r="E41" s="8"/>
      <c r="G41" s="8" t="s">
        <v>355</v>
      </c>
      <c r="H41" s="8"/>
      <c r="I41" s="8"/>
      <c r="J41" s="8"/>
      <c r="K41" s="8"/>
    </row>
    <row r="42" spans="1:5" ht="12.75">
      <c r="A42" s="8" t="s">
        <v>95</v>
      </c>
      <c r="B42" s="8"/>
      <c r="C42" s="254"/>
      <c r="D42" s="8"/>
      <c r="E42" s="8"/>
    </row>
    <row r="43" spans="1:11" ht="12.75" hidden="1">
      <c r="A43" s="8"/>
      <c r="B43" s="103"/>
      <c r="C43" s="254"/>
      <c r="D43" s="103"/>
      <c r="E43" s="8"/>
      <c r="G43" s="8"/>
      <c r="H43" s="103"/>
      <c r="I43" s="103"/>
      <c r="J43" s="103"/>
      <c r="K43" s="8"/>
    </row>
    <row r="46" spans="1:7" ht="12.75">
      <c r="A46" s="8"/>
      <c r="B46" s="8"/>
      <c r="C46" s="254"/>
      <c r="D46" s="8"/>
      <c r="E46" s="8"/>
      <c r="G46" s="8" t="s">
        <v>144</v>
      </c>
    </row>
    <row r="47" ht="12.75">
      <c r="G47" s="8" t="s">
        <v>95</v>
      </c>
    </row>
    <row r="48" ht="12.75" hidden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53"/>
  <sheetViews>
    <sheetView workbookViewId="0" topLeftCell="H1">
      <selection activeCell="C6" sqref="C6"/>
    </sheetView>
  </sheetViews>
  <sheetFormatPr defaultColWidth="9.140625" defaultRowHeight="12.75"/>
  <cols>
    <col min="1" max="1" width="25.28125" style="70" hidden="1" customWidth="1"/>
    <col min="2" max="2" width="11.421875" style="70" hidden="1" customWidth="1"/>
    <col min="3" max="3" width="11.57421875" style="70" hidden="1" customWidth="1"/>
    <col min="4" max="4" width="11.00390625" style="70" hidden="1" customWidth="1"/>
    <col min="5" max="5" width="7.7109375" style="70" hidden="1" customWidth="1"/>
    <col min="6" max="6" width="9.00390625" style="70" hidden="1" customWidth="1"/>
    <col min="7" max="7" width="9.8515625" style="70" hidden="1" customWidth="1"/>
    <col min="8" max="8" width="27.8515625" style="70" customWidth="1"/>
    <col min="9" max="9" width="9.8515625" style="70" customWidth="1"/>
    <col min="10" max="10" width="10.8515625" style="70" customWidth="1"/>
    <col min="11" max="11" width="8.8515625" style="70" customWidth="1"/>
    <col min="12" max="12" width="8.421875" style="70" customWidth="1"/>
    <col min="13" max="13" width="8.7109375" style="70" customWidth="1"/>
    <col min="14" max="14" width="7.7109375" style="70" customWidth="1"/>
    <col min="105" max="16384" width="7.8515625" style="70" customWidth="1"/>
  </cols>
  <sheetData>
    <row r="1" spans="1:14" ht="17.25" customHeight="1">
      <c r="A1" s="3" t="s">
        <v>287</v>
      </c>
      <c r="B1" s="3"/>
      <c r="C1" s="217"/>
      <c r="D1" s="3"/>
      <c r="E1" s="3"/>
      <c r="F1" s="217"/>
      <c r="G1" s="70" t="s">
        <v>288</v>
      </c>
      <c r="H1" s="3" t="s">
        <v>287</v>
      </c>
      <c r="I1" s="3"/>
      <c r="J1" s="217"/>
      <c r="K1" s="3"/>
      <c r="L1" s="3"/>
      <c r="M1" s="217"/>
      <c r="N1" s="70" t="s">
        <v>288</v>
      </c>
    </row>
    <row r="2" spans="1:14" ht="6" customHeight="1">
      <c r="A2" s="3"/>
      <c r="B2" s="3"/>
      <c r="C2" s="217"/>
      <c r="D2" s="3"/>
      <c r="E2" s="3"/>
      <c r="F2" s="217"/>
      <c r="G2" s="8"/>
      <c r="H2" s="3"/>
      <c r="I2" s="3"/>
      <c r="J2" s="217"/>
      <c r="K2" s="3"/>
      <c r="L2" s="3"/>
      <c r="M2" s="217"/>
      <c r="N2" s="8"/>
    </row>
    <row r="3" spans="1:14" ht="18.75" customHeight="1">
      <c r="A3" s="110" t="s">
        <v>289</v>
      </c>
      <c r="B3" s="217"/>
      <c r="C3" s="217"/>
      <c r="D3" s="217"/>
      <c r="E3" s="217"/>
      <c r="F3" s="217"/>
      <c r="G3" s="8"/>
      <c r="H3" s="110" t="s">
        <v>289</v>
      </c>
      <c r="I3" s="217"/>
      <c r="J3" s="217"/>
      <c r="K3" s="217"/>
      <c r="L3" s="217"/>
      <c r="M3" s="217"/>
      <c r="N3" s="8"/>
    </row>
    <row r="4" spans="1:14" ht="19.5" customHeight="1">
      <c r="A4" s="110" t="s">
        <v>67</v>
      </c>
      <c r="B4" s="217"/>
      <c r="C4" s="217"/>
      <c r="D4" s="217"/>
      <c r="E4" s="217"/>
      <c r="F4" s="217"/>
      <c r="G4" s="8"/>
      <c r="H4" s="110" t="s">
        <v>67</v>
      </c>
      <c r="I4" s="217"/>
      <c r="J4" s="217"/>
      <c r="K4" s="217"/>
      <c r="L4" s="217"/>
      <c r="M4" s="217"/>
      <c r="N4" s="8"/>
    </row>
    <row r="5" spans="1:14" ht="13.5" customHeight="1">
      <c r="A5" s="8"/>
      <c r="B5" s="8"/>
      <c r="C5" s="8"/>
      <c r="D5" s="101"/>
      <c r="E5" s="5"/>
      <c r="F5" s="8"/>
      <c r="G5" s="8" t="s">
        <v>68</v>
      </c>
      <c r="H5" s="8"/>
      <c r="I5" s="8"/>
      <c r="J5" s="8"/>
      <c r="K5" s="101"/>
      <c r="L5" s="5"/>
      <c r="M5" s="8"/>
      <c r="N5" s="8" t="s">
        <v>68</v>
      </c>
    </row>
    <row r="6" spans="1:14" ht="74.25" customHeight="1">
      <c r="A6" s="10" t="s">
        <v>7</v>
      </c>
      <c r="B6" s="10" t="s">
        <v>70</v>
      </c>
      <c r="C6" s="10" t="s">
        <v>290</v>
      </c>
      <c r="D6" s="10" t="s">
        <v>71</v>
      </c>
      <c r="E6" s="10" t="s">
        <v>291</v>
      </c>
      <c r="F6" s="10" t="s">
        <v>292</v>
      </c>
      <c r="G6" s="10" t="s">
        <v>293</v>
      </c>
      <c r="H6" s="10" t="s">
        <v>7</v>
      </c>
      <c r="I6" s="10" t="s">
        <v>70</v>
      </c>
      <c r="J6" s="10" t="s">
        <v>290</v>
      </c>
      <c r="K6" s="10" t="s">
        <v>71</v>
      </c>
      <c r="L6" s="10" t="s">
        <v>291</v>
      </c>
      <c r="M6" s="10" t="s">
        <v>292</v>
      </c>
      <c r="N6" s="10" t="s">
        <v>293</v>
      </c>
    </row>
    <row r="7" spans="1:14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96">
        <v>7</v>
      </c>
      <c r="H7" s="10">
        <v>1</v>
      </c>
      <c r="I7" s="10">
        <v>2</v>
      </c>
      <c r="J7" s="10">
        <v>3</v>
      </c>
      <c r="K7" s="10">
        <v>4</v>
      </c>
      <c r="L7" s="10">
        <v>5</v>
      </c>
      <c r="M7" s="10">
        <v>6</v>
      </c>
      <c r="N7" s="81">
        <v>7</v>
      </c>
    </row>
    <row r="8" spans="1:104" s="219" customFormat="1" ht="15" customHeight="1">
      <c r="A8" s="237" t="s">
        <v>294</v>
      </c>
      <c r="B8" s="136">
        <f>SUM(B9:B10)</f>
        <v>697570052</v>
      </c>
      <c r="C8" s="136">
        <f>SUM(C9:C10)</f>
        <v>524216399</v>
      </c>
      <c r="D8" s="136">
        <f>SUM(D9:D10)</f>
        <v>494411570.01000005</v>
      </c>
      <c r="E8" s="117">
        <f>IF(ISERROR(D8/B8)," ",(D8/B8))</f>
        <v>0.7087626089917061</v>
      </c>
      <c r="F8" s="117">
        <f>IF(ISERROR(D8/C8)," ",(D8/C8))</f>
        <v>0.9431440354653996</v>
      </c>
      <c r="G8" s="136">
        <f>SUM(G9:G10)</f>
        <v>57768552.010000005</v>
      </c>
      <c r="H8" s="237" t="s">
        <v>294</v>
      </c>
      <c r="I8" s="136">
        <f>SUM(I9:I10)</f>
        <v>697570</v>
      </c>
      <c r="J8" s="136">
        <f>SUM(J9:J10)</f>
        <v>524216</v>
      </c>
      <c r="K8" s="136">
        <f>SUM(K9:K10)</f>
        <v>494412</v>
      </c>
      <c r="L8" s="238">
        <f>IF(ISERROR(ROUND(K8,0)/ROUND(I8,0))," ",(ROUND(K8,)/ROUND(I8,)))</f>
        <v>0.7087632782373096</v>
      </c>
      <c r="M8" s="238">
        <f>IF(ISERROR(ROUND(K8,0)/ROUND(J8,0))," ",(ROUND(K8,)/ROUND(J8,)))</f>
        <v>0.9431455735803562</v>
      </c>
      <c r="N8" s="136">
        <f>SUM(N9:N10)</f>
        <v>57769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s="39" customFormat="1" ht="13.5" customHeight="1">
      <c r="A9" s="239" t="s">
        <v>295</v>
      </c>
      <c r="B9" s="48">
        <f>SUM(B12,B15,B18,B21,B24,B27,B30,B33,B36,B39,B42,B45,B48,B53,B56,B59,B62,B65,B68,B71,B74,B77,B79,B81,B84,B92,B95,B86,B89)</f>
        <v>635105733</v>
      </c>
      <c r="C9" s="48">
        <f>SUM(C12,C15,C18,C21,C24,C27,C30,C33,C36,C39,C42,C45,C48,C53,C56,C59,C62,C65,C68,C71,C74,C77,C79,C81,C84,C92,C95,C86,C89)</f>
        <v>475221856</v>
      </c>
      <c r="D9" s="48">
        <f>SUM(D12,D15,D18,D21,D24,D27,D30,D33,D36,D39,D42,D45,D48,D53,D56,D59,D62,D65,D68,D71,D74,D77,D79,D81,D84,D92,D95,D86,D89)</f>
        <v>453494065.97</v>
      </c>
      <c r="E9" s="128">
        <f aca="true" t="shared" si="0" ref="E9:E72">IF(ISERROR(D9/B9)," ",(D9/B9))</f>
        <v>0.7140449887420557</v>
      </c>
      <c r="F9" s="128">
        <f aca="true" t="shared" si="1" ref="F9:F72">IF(ISERROR(D9/C9)," ",(D9/C9))</f>
        <v>0.9542786390068727</v>
      </c>
      <c r="G9" s="48">
        <f>SUM(G12,G15,G18,G21,G24,G27,G30,G33,G36,G39,G42,G45,G48,G53,G56,G59,G62,G65,G68,G71,G74,G77,G79,G81,G84,G92,G95,G86,G89)</f>
        <v>51408360.970000006</v>
      </c>
      <c r="H9" s="239" t="s">
        <v>295</v>
      </c>
      <c r="I9" s="48">
        <f>SUM(I12,I15,I18,I21,I24,I27,I30,I33,I36,I39,I42,I45,I48,I53,I56,I59,I62,I65,I68,I71,I74,I77,I79,I81,I84,I92,I95,I86,I89)</f>
        <v>635106</v>
      </c>
      <c r="J9" s="48">
        <f>SUM(J12,J15,J18,J21,J24,J27,J30,J33,J36,J39,J42,J45,J48,J53,J56,J59,J62,J65,J68,J71,J74,J77,J79,J81,J84,J92,J95,J86,J89)</f>
        <v>475222</v>
      </c>
      <c r="K9" s="48">
        <f>SUM(K12,K15,K18,K21,K24,K27,K30,K33,K36,K39,K42,K45,K48,K53,K56,K59,K62,K65,K68,K71,K74,K77,K79,K81,K84,K92,K95,K86,K89)</f>
        <v>453495</v>
      </c>
      <c r="L9" s="221">
        <f aca="true" t="shared" si="2" ref="L9:L49">IF(ISERROR(ROUND(K9,0)/ROUND(I9,0))," ",(ROUND(K9,)/ROUND(I9,)))</f>
        <v>0.7140461592238146</v>
      </c>
      <c r="M9" s="221">
        <f aca="true" t="shared" si="3" ref="M9:M49">IF(ISERROR(ROUND(K9,0)/ROUND(J9,0))," ",(ROUND(K9,)/ROUND(J9,)))</f>
        <v>0.9542803153052678</v>
      </c>
      <c r="N9" s="48">
        <f>SUM(N12,N15,N18,N21,N24,N27,N30,N33,N36,N39,N42,N45,N48,N53,N56,N59,N62,N65,N68,N71,N74,N77,N79,N81,N84,N92,N95,N86,N89)</f>
        <v>51409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04" s="39" customFormat="1" ht="14.25" customHeight="1">
      <c r="A10" s="239" t="s">
        <v>296</v>
      </c>
      <c r="B10" s="48">
        <f>SUM(B13,B16,B19,B22,B25,B28,B31,B34,B37,B40,B43,B46,B49,B54,B57,B60,B63,B66,B69,B72,B75,B82,B93,B87,B90)</f>
        <v>62464319</v>
      </c>
      <c r="C10" s="48">
        <f>SUM(C13,C16,C19,C22,C25,C28,C31,C34,C37,C40,C43,C46,C49,C54,C57,C60,C63,C66,C69,C72,C75,C82,C93,C87,C90)</f>
        <v>48994543</v>
      </c>
      <c r="D10" s="48">
        <f>SUM(D13,D16,D19,D22,D25,D28,D31,D34,D37,D40,D43,D46,D49,D54,D57,D60,D63,D66,D69,D72,D75,D82,D93,D87,D90)</f>
        <v>40917504.04</v>
      </c>
      <c r="E10" s="128">
        <f t="shared" si="0"/>
        <v>0.6550540323668621</v>
      </c>
      <c r="F10" s="128">
        <f t="shared" si="1"/>
        <v>0.8351441106410564</v>
      </c>
      <c r="G10" s="48">
        <f>SUM(G13,G16,G19,G22,G25,G28,G31,G34,G37,G40,G43,G46,G49,G54,G57,G60,G63,G66,G69,G72,G75,G82,G93,G87,G90)</f>
        <v>6360191.040000001</v>
      </c>
      <c r="H10" s="239" t="s">
        <v>296</v>
      </c>
      <c r="I10" s="48">
        <f>SUM(I13,I16,I19,I22,I25,I28,I31,I34,I37,I40,I43,I46,I49,I54,I57,I60,I63,I66,I69,I72,I75,I82,I93,I87,I90)</f>
        <v>62464</v>
      </c>
      <c r="J10" s="48">
        <f>SUM(J13,J16,J19,J22,J25,J28,J31,J34,J37,J40,J43,J46,J49,J54,J57,J60,J63,J66,J69,J72,J75,J82,J93,J87,J90)</f>
        <v>48994</v>
      </c>
      <c r="K10" s="48">
        <f>SUM(K13,K16,K19,K22,K25,K28,K31,K34,K37,K40,K43,K46,K49,K54,K57,K60,K63,K66,K69,K72,K75,K82,K93,K87,K90)</f>
        <v>40917</v>
      </c>
      <c r="L10" s="221">
        <f t="shared" si="2"/>
        <v>0.6550493084016393</v>
      </c>
      <c r="M10" s="221">
        <f t="shared" si="3"/>
        <v>0.835143078744336</v>
      </c>
      <c r="N10" s="48">
        <f>SUM(N13,N16,N19,N22,N25,N28,N31,N34,N37,N40,N43,N46,N49,N54,N57,N60,N63,N66,N69,N72,N75,N82,N93,N87,N90)</f>
        <v>6360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</row>
    <row r="11" spans="1:104" s="39" customFormat="1" ht="15.75" customHeight="1">
      <c r="A11" s="177" t="s">
        <v>297</v>
      </c>
      <c r="B11" s="84">
        <f>SUM(B12:B13)</f>
        <v>904668</v>
      </c>
      <c r="C11" s="84">
        <f>SUM(C12:C13)</f>
        <v>738082</v>
      </c>
      <c r="D11" s="84">
        <f>SUM(D12:D13)</f>
        <v>709898.1900000001</v>
      </c>
      <c r="E11" s="117">
        <f t="shared" si="0"/>
        <v>0.7847057594609294</v>
      </c>
      <c r="F11" s="117">
        <f t="shared" si="1"/>
        <v>0.9618147983557384</v>
      </c>
      <c r="G11" s="84">
        <f>SUM(G12:G13)</f>
        <v>58995.19000000006</v>
      </c>
      <c r="H11" s="177" t="s">
        <v>297</v>
      </c>
      <c r="I11" s="180">
        <f>SUM(I12:I13)</f>
        <v>904</v>
      </c>
      <c r="J11" s="180">
        <f>SUM(J12:J13)</f>
        <v>738</v>
      </c>
      <c r="K11" s="180">
        <f>SUM(K12:K13)</f>
        <v>710</v>
      </c>
      <c r="L11" s="220">
        <f t="shared" si="2"/>
        <v>0.7853982300884956</v>
      </c>
      <c r="M11" s="220">
        <f t="shared" si="3"/>
        <v>0.962059620596206</v>
      </c>
      <c r="N11" s="180">
        <f>SUM(N12:N13)</f>
        <v>59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04" s="39" customFormat="1" ht="12.75">
      <c r="A12" s="240" t="s">
        <v>295</v>
      </c>
      <c r="B12" s="164">
        <v>845228</v>
      </c>
      <c r="C12" s="164">
        <v>679642</v>
      </c>
      <c r="D12" s="164">
        <f>709898.17-30266.98</f>
        <v>679631.1900000001</v>
      </c>
      <c r="E12" s="128">
        <f t="shared" si="0"/>
        <v>0.8040803073253608</v>
      </c>
      <c r="F12" s="128">
        <f t="shared" si="1"/>
        <v>0.9999840945674341</v>
      </c>
      <c r="G12" s="164">
        <f>D12-'[5]Augusts'!D12</f>
        <v>57956.19000000006</v>
      </c>
      <c r="H12" s="240" t="s">
        <v>295</v>
      </c>
      <c r="I12" s="164">
        <f aca="true" t="shared" si="4" ref="I12:K13">ROUND(B12/1000,0)</f>
        <v>845</v>
      </c>
      <c r="J12" s="164">
        <f>ROUND(C12/1000,0)</f>
        <v>680</v>
      </c>
      <c r="K12" s="164">
        <f t="shared" si="4"/>
        <v>680</v>
      </c>
      <c r="L12" s="221">
        <f t="shared" si="2"/>
        <v>0.8047337278106509</v>
      </c>
      <c r="M12" s="221">
        <f t="shared" si="3"/>
        <v>1</v>
      </c>
      <c r="N12" s="164">
        <f>K12-'[5]Augusts'!K12</f>
        <v>58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s="39" customFormat="1" ht="12.75">
      <c r="A13" s="240" t="s">
        <v>296</v>
      </c>
      <c r="B13" s="164">
        <v>59440</v>
      </c>
      <c r="C13" s="164">
        <v>58440</v>
      </c>
      <c r="D13" s="164">
        <v>30267</v>
      </c>
      <c r="E13" s="128">
        <f t="shared" si="0"/>
        <v>0.5092025572005383</v>
      </c>
      <c r="F13" s="128">
        <f t="shared" si="1"/>
        <v>0.5179158110882957</v>
      </c>
      <c r="G13" s="164">
        <f>D13-'[5]Augusts'!D13</f>
        <v>1039</v>
      </c>
      <c r="H13" s="240" t="s">
        <v>296</v>
      </c>
      <c r="I13" s="164">
        <f t="shared" si="4"/>
        <v>59</v>
      </c>
      <c r="J13" s="164">
        <f>ROUND(C13/1000,0)</f>
        <v>58</v>
      </c>
      <c r="K13" s="164">
        <f t="shared" si="4"/>
        <v>30</v>
      </c>
      <c r="L13" s="221">
        <f t="shared" si="2"/>
        <v>0.5084745762711864</v>
      </c>
      <c r="M13" s="221">
        <f t="shared" si="3"/>
        <v>0.5172413793103449</v>
      </c>
      <c r="N13" s="164">
        <f>K13-'[5]Augusts'!K13</f>
        <v>1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s="39" customFormat="1" ht="16.5" customHeight="1">
      <c r="A14" s="28" t="s">
        <v>298</v>
      </c>
      <c r="B14" s="84">
        <f>SUM(B15:B16)</f>
        <v>6091301</v>
      </c>
      <c r="C14" s="84">
        <f>SUM(C15:C16)</f>
        <v>4593986</v>
      </c>
      <c r="D14" s="84">
        <f>SUM(D15:D16)</f>
        <v>3968249.06</v>
      </c>
      <c r="E14" s="117">
        <f t="shared" si="0"/>
        <v>0.651461659832604</v>
      </c>
      <c r="F14" s="117">
        <f t="shared" si="1"/>
        <v>0.8637921534806593</v>
      </c>
      <c r="G14" s="84">
        <f>SUM(G15:G16)</f>
        <v>442824.06000000006</v>
      </c>
      <c r="H14" s="28" t="s">
        <v>298</v>
      </c>
      <c r="I14" s="180">
        <f>SUM(I15:I16)</f>
        <v>6091</v>
      </c>
      <c r="J14" s="180">
        <f>SUM(J15:J16)</f>
        <v>4594</v>
      </c>
      <c r="K14" s="180">
        <f>SUM(K15:K16)</f>
        <v>3969</v>
      </c>
      <c r="L14" s="220">
        <f t="shared" si="2"/>
        <v>0.6516171400426859</v>
      </c>
      <c r="M14" s="220">
        <f t="shared" si="3"/>
        <v>0.8639529821506312</v>
      </c>
      <c r="N14" s="180">
        <f>SUM(N15:N16)</f>
        <v>443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s="39" customFormat="1" ht="12.75">
      <c r="A15" s="240" t="s">
        <v>295</v>
      </c>
      <c r="B15" s="164">
        <v>4992250</v>
      </c>
      <c r="C15" s="164">
        <v>3598652</v>
      </c>
      <c r="D15" s="164">
        <f>3968249.06-274905.55-372679.01</f>
        <v>3320664.5</v>
      </c>
      <c r="E15" s="128">
        <f t="shared" si="0"/>
        <v>0.6651639040512795</v>
      </c>
      <c r="F15" s="128">
        <f t="shared" si="1"/>
        <v>0.9227523250372639</v>
      </c>
      <c r="G15" s="164">
        <f>D15-'[5]Augusts'!D15</f>
        <v>390014.5</v>
      </c>
      <c r="H15" s="240" t="s">
        <v>295</v>
      </c>
      <c r="I15" s="164">
        <f aca="true" t="shared" si="5" ref="I15:K16">ROUND(B15/1000,0)</f>
        <v>4992</v>
      </c>
      <c r="J15" s="164">
        <f t="shared" si="5"/>
        <v>3599</v>
      </c>
      <c r="K15" s="164">
        <f t="shared" si="5"/>
        <v>3321</v>
      </c>
      <c r="L15" s="221">
        <f t="shared" si="2"/>
        <v>0.6652644230769231</v>
      </c>
      <c r="M15" s="221">
        <f t="shared" si="3"/>
        <v>0.9227563212003335</v>
      </c>
      <c r="N15" s="164">
        <f>K15-'[5]Augusts'!K15</f>
        <v>390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04" s="39" customFormat="1" ht="12.75">
      <c r="A16" s="240" t="s">
        <v>296</v>
      </c>
      <c r="B16" s="164">
        <v>1099051</v>
      </c>
      <c r="C16" s="164">
        <v>995334</v>
      </c>
      <c r="D16" s="164">
        <f>274905.55+372679.01</f>
        <v>647584.56</v>
      </c>
      <c r="E16" s="128">
        <f t="shared" si="0"/>
        <v>0.5892215738851064</v>
      </c>
      <c r="F16" s="128">
        <f t="shared" si="1"/>
        <v>0.6506203545744444</v>
      </c>
      <c r="G16" s="164">
        <f>D16-'[5]Augusts'!D16</f>
        <v>52809.560000000056</v>
      </c>
      <c r="H16" s="240" t="s">
        <v>296</v>
      </c>
      <c r="I16" s="164">
        <f>ROUND(B16/1000,0)</f>
        <v>1099</v>
      </c>
      <c r="J16" s="164">
        <f t="shared" si="5"/>
        <v>995</v>
      </c>
      <c r="K16" s="164">
        <f t="shared" si="5"/>
        <v>648</v>
      </c>
      <c r="L16" s="221">
        <f t="shared" si="2"/>
        <v>0.5896269335759782</v>
      </c>
      <c r="M16" s="221">
        <f t="shared" si="3"/>
        <v>0.6512562814070352</v>
      </c>
      <c r="N16" s="164">
        <f>K16-'[5]Augusts'!K16</f>
        <v>53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s="39" customFormat="1" ht="13.5" customHeight="1">
      <c r="A17" s="28" t="s">
        <v>299</v>
      </c>
      <c r="B17" s="84">
        <f>SUM(B18:B19)</f>
        <v>3472724</v>
      </c>
      <c r="C17" s="84">
        <f>SUM(C18:C19)</f>
        <v>2723617</v>
      </c>
      <c r="D17" s="84">
        <f>SUM(D18:D19)</f>
        <v>2665896.84</v>
      </c>
      <c r="E17" s="117">
        <f t="shared" si="0"/>
        <v>0.7676673527755157</v>
      </c>
      <c r="F17" s="117">
        <f t="shared" si="1"/>
        <v>0.9788075342458209</v>
      </c>
      <c r="G17" s="84">
        <f>SUM(G18:G19)</f>
        <v>222691.83999999985</v>
      </c>
      <c r="H17" s="28" t="s">
        <v>299</v>
      </c>
      <c r="I17" s="180">
        <f>SUM(I18:I19)</f>
        <v>3473</v>
      </c>
      <c r="J17" s="180">
        <f>SUM(J18:J19)</f>
        <v>2724</v>
      </c>
      <c r="K17" s="180">
        <f>SUM(K18:K19)</f>
        <v>2666</v>
      </c>
      <c r="L17" s="220">
        <f t="shared" si="2"/>
        <v>0.7676360495249064</v>
      </c>
      <c r="M17" s="220">
        <f t="shared" si="3"/>
        <v>0.9787077826725403</v>
      </c>
      <c r="N17" s="180">
        <f>SUM(N18:N19)</f>
        <v>223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39" customFormat="1" ht="12.75">
      <c r="A18" s="240" t="s">
        <v>295</v>
      </c>
      <c r="B18" s="164">
        <v>3265809</v>
      </c>
      <c r="C18" s="164">
        <v>2567867</v>
      </c>
      <c r="D18" s="164">
        <f>2665897.19-149636.35</f>
        <v>2516260.84</v>
      </c>
      <c r="E18" s="128">
        <f t="shared" si="0"/>
        <v>0.7704862225561874</v>
      </c>
      <c r="F18" s="128">
        <f t="shared" si="1"/>
        <v>0.979903102458188</v>
      </c>
      <c r="G18" s="164">
        <f>D18-'[5]Augusts'!D18</f>
        <v>205040.83999999985</v>
      </c>
      <c r="H18" s="240" t="s">
        <v>295</v>
      </c>
      <c r="I18" s="164">
        <f>ROUND(B18/1000,0)</f>
        <v>3266</v>
      </c>
      <c r="J18" s="164">
        <f aca="true" t="shared" si="6" ref="I18:K19">ROUND(C18/1000,0)</f>
        <v>2568</v>
      </c>
      <c r="K18" s="164">
        <f t="shared" si="6"/>
        <v>2516</v>
      </c>
      <c r="L18" s="221">
        <f t="shared" si="2"/>
        <v>0.7703612982241274</v>
      </c>
      <c r="M18" s="221">
        <f t="shared" si="3"/>
        <v>0.9797507788161994</v>
      </c>
      <c r="N18" s="164">
        <f>K18-'[5]Augusts'!K18</f>
        <v>205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</row>
    <row r="19" spans="1:104" s="39" customFormat="1" ht="12.75">
      <c r="A19" s="240" t="s">
        <v>296</v>
      </c>
      <c r="B19" s="164">
        <v>206915</v>
      </c>
      <c r="C19" s="164">
        <v>155750</v>
      </c>
      <c r="D19" s="164">
        <v>149636</v>
      </c>
      <c r="E19" s="128">
        <f t="shared" si="0"/>
        <v>0.7231761834569751</v>
      </c>
      <c r="F19" s="128">
        <f t="shared" si="1"/>
        <v>0.9607447833065811</v>
      </c>
      <c r="G19" s="164">
        <f>D19-'[5]Augusts'!D19</f>
        <v>17651</v>
      </c>
      <c r="H19" s="240" t="s">
        <v>296</v>
      </c>
      <c r="I19" s="164">
        <f t="shared" si="6"/>
        <v>207</v>
      </c>
      <c r="J19" s="164">
        <f t="shared" si="6"/>
        <v>156</v>
      </c>
      <c r="K19" s="164">
        <f t="shared" si="6"/>
        <v>150</v>
      </c>
      <c r="L19" s="221">
        <f t="shared" si="2"/>
        <v>0.7246376811594203</v>
      </c>
      <c r="M19" s="221">
        <f t="shared" si="3"/>
        <v>0.9615384615384616</v>
      </c>
      <c r="N19" s="164">
        <f>K19-'[5]Augusts'!K19</f>
        <v>18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39" customFormat="1" ht="15" customHeight="1">
      <c r="A20" s="28" t="s">
        <v>300</v>
      </c>
      <c r="B20" s="84">
        <f>SUM(B21:B22)</f>
        <v>33198959</v>
      </c>
      <c r="C20" s="84">
        <f>SUM(C21:C22)</f>
        <v>23806357</v>
      </c>
      <c r="D20" s="84">
        <f>SUM(D21:D22)</f>
        <v>20384835.34</v>
      </c>
      <c r="E20" s="117">
        <f t="shared" si="0"/>
        <v>0.6140203173238052</v>
      </c>
      <c r="F20" s="117">
        <f t="shared" si="1"/>
        <v>0.8562769742552377</v>
      </c>
      <c r="G20" s="84">
        <f>SUM(G21:G22)</f>
        <v>3553676.339999999</v>
      </c>
      <c r="H20" s="28" t="s">
        <v>300</v>
      </c>
      <c r="I20" s="180">
        <f>SUM(I21:I22)</f>
        <v>33199</v>
      </c>
      <c r="J20" s="180">
        <f>SUM(J21:J22)</f>
        <v>23806</v>
      </c>
      <c r="K20" s="180">
        <f>SUM(K21:K22)</f>
        <v>20385</v>
      </c>
      <c r="L20" s="220">
        <f t="shared" si="2"/>
        <v>0.6140245188108076</v>
      </c>
      <c r="M20" s="220">
        <f t="shared" si="3"/>
        <v>0.8562967319163236</v>
      </c>
      <c r="N20" s="180">
        <f>SUM(N21:N22)</f>
        <v>3554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39" customFormat="1" ht="12.75">
      <c r="A21" s="240" t="s">
        <v>295</v>
      </c>
      <c r="B21" s="164">
        <v>29258899</v>
      </c>
      <c r="C21" s="164">
        <v>21013023</v>
      </c>
      <c r="D21" s="164">
        <f>20384835.34-239490.73-2700-157311.36-909299.78</f>
        <v>19076033.47</v>
      </c>
      <c r="E21" s="128">
        <f t="shared" si="0"/>
        <v>0.6519737284031091</v>
      </c>
      <c r="F21" s="128">
        <f t="shared" si="1"/>
        <v>0.9078195683695772</v>
      </c>
      <c r="G21" s="164">
        <f>D21-'[5]Augusts'!D21</f>
        <v>2855208.469999999</v>
      </c>
      <c r="H21" s="240" t="s">
        <v>295</v>
      </c>
      <c r="I21" s="164">
        <f aca="true" t="shared" si="7" ref="I21:K22">ROUND(B21/1000,0)</f>
        <v>29259</v>
      </c>
      <c r="J21" s="164">
        <f>ROUND(C21/1000,0)</f>
        <v>21013</v>
      </c>
      <c r="K21" s="164">
        <f t="shared" si="7"/>
        <v>19076</v>
      </c>
      <c r="L21" s="221">
        <f t="shared" si="2"/>
        <v>0.6519703339143511</v>
      </c>
      <c r="M21" s="221">
        <f t="shared" si="3"/>
        <v>0.907818969209537</v>
      </c>
      <c r="N21" s="164">
        <f>K21-'[5]Augusts'!K21</f>
        <v>2855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39" customFormat="1" ht="12.75">
      <c r="A22" s="240" t="s">
        <v>296</v>
      </c>
      <c r="B22" s="164">
        <v>3940060</v>
      </c>
      <c r="C22" s="164">
        <v>2793334</v>
      </c>
      <c r="D22" s="164">
        <f>239490.73+2700+157311.36+909299.78</f>
        <v>1308801.87</v>
      </c>
      <c r="E22" s="128">
        <f t="shared" si="0"/>
        <v>0.3321781571854236</v>
      </c>
      <c r="F22" s="128">
        <f t="shared" si="1"/>
        <v>0.4685447103711909</v>
      </c>
      <c r="G22" s="164">
        <f>D22-'[5]Augusts'!D22</f>
        <v>698467.8700000001</v>
      </c>
      <c r="H22" s="240" t="s">
        <v>296</v>
      </c>
      <c r="I22" s="164">
        <f t="shared" si="7"/>
        <v>3940</v>
      </c>
      <c r="J22" s="164">
        <f t="shared" si="7"/>
        <v>2793</v>
      </c>
      <c r="K22" s="164">
        <f t="shared" si="7"/>
        <v>1309</v>
      </c>
      <c r="L22" s="221">
        <f t="shared" si="2"/>
        <v>0.33223350253807105</v>
      </c>
      <c r="M22" s="221">
        <f t="shared" si="3"/>
        <v>0.46867167919799496</v>
      </c>
      <c r="N22" s="164">
        <f>K22-'[5]Augusts'!K22</f>
        <v>699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39" customFormat="1" ht="16.5" customHeight="1">
      <c r="A23" s="28" t="s">
        <v>301</v>
      </c>
      <c r="B23" s="84">
        <f>SUM(B24:B25)</f>
        <v>10849663</v>
      </c>
      <c r="C23" s="84">
        <f>SUM(C24:C25)</f>
        <v>8648997</v>
      </c>
      <c r="D23" s="84">
        <f>SUM(D24:D25)</f>
        <v>7650558.18</v>
      </c>
      <c r="E23" s="117">
        <f t="shared" si="0"/>
        <v>0.7051424712454202</v>
      </c>
      <c r="F23" s="117">
        <f t="shared" si="1"/>
        <v>0.8845601611377596</v>
      </c>
      <c r="G23" s="84">
        <f>SUM(G24:G25)</f>
        <v>746928.1799999997</v>
      </c>
      <c r="H23" s="28" t="s">
        <v>301</v>
      </c>
      <c r="I23" s="180">
        <f>SUM(I24:I25)</f>
        <v>10850</v>
      </c>
      <c r="J23" s="180">
        <f>SUM(J24:J25)</f>
        <v>8648</v>
      </c>
      <c r="K23" s="180">
        <f>SUM(K24:K25)</f>
        <v>7651</v>
      </c>
      <c r="L23" s="220">
        <f t="shared" si="2"/>
        <v>0.7051612903225807</v>
      </c>
      <c r="M23" s="220">
        <f t="shared" si="3"/>
        <v>0.884713228492137</v>
      </c>
      <c r="N23" s="180">
        <f>SUM(N24:N25)</f>
        <v>747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39" customFormat="1" ht="12.75">
      <c r="A24" s="240" t="s">
        <v>295</v>
      </c>
      <c r="B24" s="164">
        <v>10533064</v>
      </c>
      <c r="C24" s="164">
        <v>8338398</v>
      </c>
      <c r="D24" s="164">
        <f>7626245.12-105157.62-131420.63+24313.06</f>
        <v>7413979.93</v>
      </c>
      <c r="E24" s="128">
        <f t="shared" si="0"/>
        <v>0.7038768519777341</v>
      </c>
      <c r="F24" s="128">
        <f t="shared" si="1"/>
        <v>0.889137209569512</v>
      </c>
      <c r="G24" s="164">
        <f>D24-'[5]Augusts'!D24</f>
        <v>740806.9299999997</v>
      </c>
      <c r="H24" s="240" t="s">
        <v>295</v>
      </c>
      <c r="I24" s="164">
        <f>ROUND(B24/1000,0)</f>
        <v>10533</v>
      </c>
      <c r="J24" s="164">
        <f>ROUND(C24/1000,0)</f>
        <v>8338</v>
      </c>
      <c r="K24" s="164">
        <f>ROUND(D24/1000,0)</f>
        <v>7414</v>
      </c>
      <c r="L24" s="221">
        <f t="shared" si="2"/>
        <v>0.7038830342732365</v>
      </c>
      <c r="M24" s="221">
        <f t="shared" si="3"/>
        <v>0.8891820580474934</v>
      </c>
      <c r="N24" s="164">
        <f>K24-'[5]Augusts'!K24</f>
        <v>741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s="39" customFormat="1" ht="12.75">
      <c r="A25" s="240" t="s">
        <v>296</v>
      </c>
      <c r="B25" s="164">
        <v>316599</v>
      </c>
      <c r="C25" s="164">
        <v>310599</v>
      </c>
      <c r="D25" s="164">
        <f>105157.62+131420.63</f>
        <v>236578.25</v>
      </c>
      <c r="E25" s="128">
        <f t="shared" si="0"/>
        <v>0.7472488858145477</v>
      </c>
      <c r="F25" s="128">
        <f t="shared" si="1"/>
        <v>0.7616838753505324</v>
      </c>
      <c r="G25" s="164">
        <f>D25-'[5]Augusts'!D25</f>
        <v>6121.25</v>
      </c>
      <c r="H25" s="240" t="s">
        <v>296</v>
      </c>
      <c r="I25" s="164">
        <f>ROUND(B25/1000,0)</f>
        <v>317</v>
      </c>
      <c r="J25" s="164">
        <f>ROUND(C25/1000,0)-1</f>
        <v>310</v>
      </c>
      <c r="K25" s="164">
        <f>ROUND(D25/1000,0)</f>
        <v>237</v>
      </c>
      <c r="L25" s="221">
        <f t="shared" si="2"/>
        <v>0.7476340694006309</v>
      </c>
      <c r="M25" s="221">
        <f t="shared" si="3"/>
        <v>0.7645161290322581</v>
      </c>
      <c r="N25" s="164">
        <f>K25-'[5]Augusts'!K25</f>
        <v>6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39" customFormat="1" ht="14.25" customHeight="1">
      <c r="A26" s="28" t="s">
        <v>189</v>
      </c>
      <c r="B26" s="84">
        <f>SUM(B27:B28)</f>
        <v>4477300</v>
      </c>
      <c r="C26" s="84">
        <f>SUM(C27:C28)</f>
        <v>3186082</v>
      </c>
      <c r="D26" s="84">
        <f>SUM(D27:D28)</f>
        <v>3115152.76</v>
      </c>
      <c r="E26" s="117">
        <f t="shared" si="0"/>
        <v>0.6957659214258592</v>
      </c>
      <c r="F26" s="117">
        <f t="shared" si="1"/>
        <v>0.9777377857820356</v>
      </c>
      <c r="G26" s="84">
        <f>SUM(G27:G28)</f>
        <v>380504.75999999995</v>
      </c>
      <c r="H26" s="28" t="s">
        <v>189</v>
      </c>
      <c r="I26" s="180">
        <f>SUM(I27:I28)</f>
        <v>4477</v>
      </c>
      <c r="J26" s="180">
        <f>SUM(J27:J28)</f>
        <v>3187</v>
      </c>
      <c r="K26" s="180">
        <f>SUM(K27:K28)</f>
        <v>3115</v>
      </c>
      <c r="L26" s="220">
        <f t="shared" si="2"/>
        <v>0.6957784230511503</v>
      </c>
      <c r="M26" s="220">
        <f t="shared" si="3"/>
        <v>0.9774082208973957</v>
      </c>
      <c r="N26" s="180">
        <f>SUM(N27:N28)</f>
        <v>381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39" customFormat="1" ht="12.75">
      <c r="A27" s="240" t="s">
        <v>295</v>
      </c>
      <c r="B27" s="164">
        <v>4198960</v>
      </c>
      <c r="C27" s="164">
        <v>2991502</v>
      </c>
      <c r="D27" s="164">
        <f>3115152.77-53397.63-68793-51999.45</f>
        <v>2940962.69</v>
      </c>
      <c r="E27" s="128">
        <f t="shared" si="0"/>
        <v>0.700402644940652</v>
      </c>
      <c r="F27" s="128">
        <f t="shared" si="1"/>
        <v>0.9831057074339244</v>
      </c>
      <c r="G27" s="164">
        <f>D27-'[5]Augusts'!D27</f>
        <v>372785.68999999994</v>
      </c>
      <c r="H27" s="240" t="s">
        <v>295</v>
      </c>
      <c r="I27" s="164">
        <f aca="true" t="shared" si="8" ref="I27:K28">ROUND(B27/1000,0)</f>
        <v>4199</v>
      </c>
      <c r="J27" s="164">
        <f t="shared" si="8"/>
        <v>2992</v>
      </c>
      <c r="K27" s="164">
        <f t="shared" si="8"/>
        <v>2941</v>
      </c>
      <c r="L27" s="221">
        <f t="shared" si="2"/>
        <v>0.7004048582995951</v>
      </c>
      <c r="M27" s="221">
        <f t="shared" si="3"/>
        <v>0.9829545454545454</v>
      </c>
      <c r="N27" s="164">
        <f>K27-'[5]Augusts'!K27</f>
        <v>373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39" customFormat="1" ht="12.75">
      <c r="A28" s="240" t="s">
        <v>296</v>
      </c>
      <c r="B28" s="164">
        <v>278340</v>
      </c>
      <c r="C28" s="164">
        <v>194580</v>
      </c>
      <c r="D28" s="164">
        <f>53397.63+68793+51999.44</f>
        <v>174190.07</v>
      </c>
      <c r="E28" s="128">
        <f t="shared" si="0"/>
        <v>0.625817597183301</v>
      </c>
      <c r="F28" s="128">
        <f t="shared" si="1"/>
        <v>0.8952105560694831</v>
      </c>
      <c r="G28" s="164">
        <f>D28-'[5]Augusts'!D28</f>
        <v>7719.070000000007</v>
      </c>
      <c r="H28" s="240" t="s">
        <v>296</v>
      </c>
      <c r="I28" s="164">
        <f t="shared" si="8"/>
        <v>278</v>
      </c>
      <c r="J28" s="164">
        <f t="shared" si="8"/>
        <v>195</v>
      </c>
      <c r="K28" s="164">
        <f>ROUND(D28/1000,0)</f>
        <v>174</v>
      </c>
      <c r="L28" s="221">
        <f t="shared" si="2"/>
        <v>0.6258992805755396</v>
      </c>
      <c r="M28" s="221">
        <f t="shared" si="3"/>
        <v>0.8923076923076924</v>
      </c>
      <c r="N28" s="164">
        <f>K28-'[5]Augusts'!K28</f>
        <v>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39" customFormat="1" ht="14.25" customHeight="1">
      <c r="A29" s="28" t="s">
        <v>195</v>
      </c>
      <c r="B29" s="84">
        <f>SUM(B30:B31)</f>
        <v>95479287</v>
      </c>
      <c r="C29" s="84">
        <f>SUM(C30:C31)</f>
        <v>70858543</v>
      </c>
      <c r="D29" s="84">
        <f>SUM(D30:D31)</f>
        <v>61723180.77000001</v>
      </c>
      <c r="E29" s="117">
        <f t="shared" si="0"/>
        <v>0.6464562389327437</v>
      </c>
      <c r="F29" s="117">
        <f t="shared" si="1"/>
        <v>0.871076064462686</v>
      </c>
      <c r="G29" s="84">
        <f>SUM(G30:G31)</f>
        <v>8205742.770000013</v>
      </c>
      <c r="H29" s="28" t="s">
        <v>195</v>
      </c>
      <c r="I29" s="180">
        <f>SUM(I30:I31)</f>
        <v>95480</v>
      </c>
      <c r="J29" s="180">
        <f>SUM(J30:J31)</f>
        <v>70858</v>
      </c>
      <c r="K29" s="180">
        <f>SUM(K30:K31)</f>
        <v>61723</v>
      </c>
      <c r="L29" s="220">
        <f t="shared" si="2"/>
        <v>0.6464495182237118</v>
      </c>
      <c r="M29" s="220">
        <f t="shared" si="3"/>
        <v>0.8710801885461062</v>
      </c>
      <c r="N29" s="180">
        <f>SUM(N30:N31)</f>
        <v>8206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39" customFormat="1" ht="12.75">
      <c r="A30" s="240" t="s">
        <v>295</v>
      </c>
      <c r="B30" s="164">
        <v>85311412</v>
      </c>
      <c r="C30" s="164">
        <v>63549257</v>
      </c>
      <c r="D30" s="164">
        <f>61587508.07-279502.66-237947.55-6121841.8+14191.7</f>
        <v>54962407.76000001</v>
      </c>
      <c r="E30" s="128">
        <f t="shared" si="0"/>
        <v>0.6442562193203415</v>
      </c>
      <c r="F30" s="128">
        <f t="shared" si="1"/>
        <v>0.8648788413057293</v>
      </c>
      <c r="G30" s="164">
        <f>D30-'[5]Augusts'!D30</f>
        <v>7927014.760000013</v>
      </c>
      <c r="H30" s="240" t="s">
        <v>295</v>
      </c>
      <c r="I30" s="164">
        <f>ROUND(B30/1000,0)+1</f>
        <v>85312</v>
      </c>
      <c r="J30" s="164">
        <f aca="true" t="shared" si="9" ref="I30:K31">ROUND(C30/1000,0)</f>
        <v>63549</v>
      </c>
      <c r="K30" s="164">
        <f t="shared" si="9"/>
        <v>54962</v>
      </c>
      <c r="L30" s="221">
        <f t="shared" si="2"/>
        <v>0.6442469992498124</v>
      </c>
      <c r="M30" s="221">
        <f t="shared" si="3"/>
        <v>0.8648759225164834</v>
      </c>
      <c r="N30" s="164">
        <f>K30-'[5]Augusts'!K30</f>
        <v>7927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39" customFormat="1" ht="12.75">
      <c r="A31" s="240" t="s">
        <v>296</v>
      </c>
      <c r="B31" s="164">
        <v>10167875</v>
      </c>
      <c r="C31" s="164">
        <v>7309286</v>
      </c>
      <c r="D31" s="164">
        <f>279502.66+237947.55+6121841.8+121481</f>
        <v>6760773.01</v>
      </c>
      <c r="E31" s="128">
        <f t="shared" si="0"/>
        <v>0.6649150397698634</v>
      </c>
      <c r="F31" s="128">
        <f t="shared" si="1"/>
        <v>0.924956693444476</v>
      </c>
      <c r="G31" s="164">
        <f>D31-'[5]Augusts'!D31</f>
        <v>278728.0099999998</v>
      </c>
      <c r="H31" s="240" t="s">
        <v>296</v>
      </c>
      <c r="I31" s="164">
        <f t="shared" si="9"/>
        <v>10168</v>
      </c>
      <c r="J31" s="164">
        <f t="shared" si="9"/>
        <v>7309</v>
      </c>
      <c r="K31" s="164">
        <f t="shared" si="9"/>
        <v>6761</v>
      </c>
      <c r="L31" s="221">
        <f t="shared" si="2"/>
        <v>0.6649291896144768</v>
      </c>
      <c r="M31" s="221">
        <f t="shared" si="3"/>
        <v>0.9250239430838691</v>
      </c>
      <c r="N31" s="164">
        <f>K31-'[5]Augusts'!K31</f>
        <v>279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39" customFormat="1" ht="18" customHeight="1">
      <c r="A32" s="28" t="s">
        <v>302</v>
      </c>
      <c r="B32" s="84">
        <f>SUM(B33:B34)</f>
        <v>97612397</v>
      </c>
      <c r="C32" s="84">
        <f>SUM(C33:C34)</f>
        <v>73349967</v>
      </c>
      <c r="D32" s="84">
        <f>SUM(D33:D34)</f>
        <v>69675797.79999998</v>
      </c>
      <c r="E32" s="117">
        <f t="shared" si="0"/>
        <v>0.7138007050477408</v>
      </c>
      <c r="F32" s="117">
        <f t="shared" si="1"/>
        <v>0.9499090544921442</v>
      </c>
      <c r="G32" s="84">
        <f>SUM(G33:G34)</f>
        <v>8034571.799999987</v>
      </c>
      <c r="H32" s="28" t="s">
        <v>302</v>
      </c>
      <c r="I32" s="180">
        <f>SUM(I33:I34)</f>
        <v>97613</v>
      </c>
      <c r="J32" s="180">
        <f>SUM(J33:J34)</f>
        <v>73350</v>
      </c>
      <c r="K32" s="180">
        <f>SUM(K33:K34)</f>
        <v>69676</v>
      </c>
      <c r="L32" s="220">
        <f t="shared" si="2"/>
        <v>0.7137983670207861</v>
      </c>
      <c r="M32" s="220">
        <f t="shared" si="3"/>
        <v>0.9499113837764145</v>
      </c>
      <c r="N32" s="180">
        <f>SUM(N33:N34)</f>
        <v>8034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39" customFormat="1" ht="12.75">
      <c r="A33" s="240" t="s">
        <v>295</v>
      </c>
      <c r="B33" s="164">
        <v>83788658</v>
      </c>
      <c r="C33" s="164">
        <v>63486341</v>
      </c>
      <c r="D33" s="164">
        <f>69675797.8-1112260.87-23417-391860.67-11186-6045422.23</f>
        <v>62091651.02999999</v>
      </c>
      <c r="E33" s="128">
        <f t="shared" si="0"/>
        <v>0.7410507879240646</v>
      </c>
      <c r="F33" s="128">
        <f t="shared" si="1"/>
        <v>0.9780316529818593</v>
      </c>
      <c r="G33" s="164">
        <f>D33-'[5]Augusts'!D33</f>
        <v>7011927.029999986</v>
      </c>
      <c r="H33" s="240" t="s">
        <v>295</v>
      </c>
      <c r="I33" s="164">
        <f aca="true" t="shared" si="10" ref="I33:K34">ROUND(B33/1000,0)</f>
        <v>83789</v>
      </c>
      <c r="J33" s="164">
        <f t="shared" si="10"/>
        <v>63486</v>
      </c>
      <c r="K33" s="164">
        <f t="shared" si="10"/>
        <v>62092</v>
      </c>
      <c r="L33" s="221">
        <f t="shared" si="2"/>
        <v>0.7410519280573822</v>
      </c>
      <c r="M33" s="221">
        <f t="shared" si="3"/>
        <v>0.9780424030494912</v>
      </c>
      <c r="N33" s="164">
        <f>K33-'[5]Augusts'!K33</f>
        <v>7012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39" customFormat="1" ht="12.75">
      <c r="A34" s="240" t="s">
        <v>296</v>
      </c>
      <c r="B34" s="164">
        <v>13823739</v>
      </c>
      <c r="C34" s="164">
        <v>9863626</v>
      </c>
      <c r="D34" s="164">
        <f>1112260.87+23417+391860.67+11186+6045422.23</f>
        <v>7584146.7700000005</v>
      </c>
      <c r="E34" s="128">
        <f t="shared" si="0"/>
        <v>0.5486320864420255</v>
      </c>
      <c r="F34" s="128">
        <f t="shared" si="1"/>
        <v>0.7689004804115647</v>
      </c>
      <c r="G34" s="164">
        <f>D34-'[5]Augusts'!D34</f>
        <v>1022644.7700000005</v>
      </c>
      <c r="H34" s="240" t="s">
        <v>296</v>
      </c>
      <c r="I34" s="164">
        <f t="shared" si="10"/>
        <v>13824</v>
      </c>
      <c r="J34" s="164">
        <f>ROUND(C34/1000,0)</f>
        <v>9864</v>
      </c>
      <c r="K34" s="164">
        <f>ROUND(D34/1000,0)</f>
        <v>7584</v>
      </c>
      <c r="L34" s="221">
        <f t="shared" si="2"/>
        <v>0.5486111111111112</v>
      </c>
      <c r="M34" s="221">
        <f t="shared" si="3"/>
        <v>0.7688564476885644</v>
      </c>
      <c r="N34" s="164">
        <f>K34-'[5]Augusts'!K34</f>
        <v>1022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39" customFormat="1" ht="12.75" customHeight="1">
      <c r="A35" s="177" t="s">
        <v>205</v>
      </c>
      <c r="B35" s="84">
        <f>SUM(B36:B37)</f>
        <v>61575955</v>
      </c>
      <c r="C35" s="84">
        <f>SUM(C36:C37)</f>
        <v>47450188</v>
      </c>
      <c r="D35" s="84">
        <f>SUM(D36:D37)</f>
        <v>42382945.03</v>
      </c>
      <c r="E35" s="117">
        <f t="shared" si="0"/>
        <v>0.6883034949275249</v>
      </c>
      <c r="F35" s="117">
        <f t="shared" si="1"/>
        <v>0.8932092119424269</v>
      </c>
      <c r="G35" s="84">
        <f>SUM(G36:G37)</f>
        <v>5066604.029999999</v>
      </c>
      <c r="H35" s="177" t="s">
        <v>205</v>
      </c>
      <c r="I35" s="180">
        <f>SUM(I36:I37)</f>
        <v>61576</v>
      </c>
      <c r="J35" s="180">
        <f>SUM(J36:J37)</f>
        <v>47450</v>
      </c>
      <c r="K35" s="180">
        <f>SUM(K36:K37)</f>
        <v>42383</v>
      </c>
      <c r="L35" s="220">
        <f t="shared" si="2"/>
        <v>0.6883038846303755</v>
      </c>
      <c r="M35" s="220">
        <f t="shared" si="3"/>
        <v>0.8932139093782929</v>
      </c>
      <c r="N35" s="180">
        <f>SUM(N36:N37)</f>
        <v>5067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39" customFormat="1" ht="14.25" customHeight="1">
      <c r="A36" s="240" t="s">
        <v>295</v>
      </c>
      <c r="B36" s="164">
        <v>56615699</v>
      </c>
      <c r="C36" s="164">
        <v>42910373</v>
      </c>
      <c r="D36" s="164">
        <f>42358591.52-814830.14-99753.43-1961119.74+24353.51</f>
        <v>39507241.72</v>
      </c>
      <c r="E36" s="128">
        <f t="shared" si="0"/>
        <v>0.6978142532515583</v>
      </c>
      <c r="F36" s="128">
        <f t="shared" si="1"/>
        <v>0.9206921067780044</v>
      </c>
      <c r="G36" s="164">
        <f>D36-'[5]Augusts'!D36</f>
        <v>4190078.719999999</v>
      </c>
      <c r="H36" s="240" t="s">
        <v>295</v>
      </c>
      <c r="I36" s="164">
        <f aca="true" t="shared" si="11" ref="I36:K37">ROUND(B36/1000,0)</f>
        <v>56616</v>
      </c>
      <c r="J36" s="164">
        <f>ROUND(C36/1000,0)</f>
        <v>42910</v>
      </c>
      <c r="K36" s="164">
        <f t="shared" si="11"/>
        <v>39507</v>
      </c>
      <c r="L36" s="221">
        <f t="shared" si="2"/>
        <v>0.6978062738448495</v>
      </c>
      <c r="M36" s="221">
        <f t="shared" si="3"/>
        <v>0.920694476811932</v>
      </c>
      <c r="N36" s="164">
        <f>K36-'[5]Augusts'!K36</f>
        <v>4190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39" customFormat="1" ht="12.75" customHeight="1">
      <c r="A37" s="240" t="s">
        <v>296</v>
      </c>
      <c r="B37" s="164">
        <v>4960256</v>
      </c>
      <c r="C37" s="164">
        <v>4539815</v>
      </c>
      <c r="D37" s="164">
        <f>814830.14+99753.43+1961119.74</f>
        <v>2875703.31</v>
      </c>
      <c r="E37" s="128">
        <f t="shared" si="0"/>
        <v>0.5797489706176455</v>
      </c>
      <c r="F37" s="128">
        <f t="shared" si="1"/>
        <v>0.6334406379995661</v>
      </c>
      <c r="G37" s="164">
        <f>D37-'[5]Augusts'!D37</f>
        <v>876525.31</v>
      </c>
      <c r="H37" s="240" t="s">
        <v>296</v>
      </c>
      <c r="I37" s="164">
        <f>ROUND(B37/1000,0)</f>
        <v>4960</v>
      </c>
      <c r="J37" s="164">
        <f t="shared" si="11"/>
        <v>4540</v>
      </c>
      <c r="K37" s="164">
        <f t="shared" si="11"/>
        <v>2876</v>
      </c>
      <c r="L37" s="221">
        <f t="shared" si="2"/>
        <v>0.5798387096774194</v>
      </c>
      <c r="M37" s="221">
        <f t="shared" si="3"/>
        <v>0.6334801762114537</v>
      </c>
      <c r="N37" s="164">
        <f>K37-'[5]Augusts'!K37</f>
        <v>877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4" ht="15" customHeight="1">
      <c r="A38" s="28" t="s">
        <v>210</v>
      </c>
      <c r="B38" s="84">
        <f>SUM(B39:B40)</f>
        <v>47956645</v>
      </c>
      <c r="C38" s="84">
        <f>SUM(C39:C40)</f>
        <v>34956885</v>
      </c>
      <c r="D38" s="84">
        <f>SUM(D39:D40)</f>
        <v>33349984.200000003</v>
      </c>
      <c r="E38" s="117">
        <f t="shared" si="0"/>
        <v>0.6954194606399177</v>
      </c>
      <c r="F38" s="117">
        <f t="shared" si="1"/>
        <v>0.9540319224667759</v>
      </c>
      <c r="G38" s="84">
        <f>SUM(G39:G40)</f>
        <v>3804058.200000001</v>
      </c>
      <c r="H38" s="28" t="s">
        <v>210</v>
      </c>
      <c r="I38" s="180">
        <f>SUM(I39:I40)</f>
        <v>47956</v>
      </c>
      <c r="J38" s="180">
        <f>SUM(J39:J40)</f>
        <v>34957</v>
      </c>
      <c r="K38" s="180">
        <f>SUM(K39:K40)</f>
        <v>33350</v>
      </c>
      <c r="L38" s="220">
        <f t="shared" si="2"/>
        <v>0.695429143381433</v>
      </c>
      <c r="M38" s="220">
        <f t="shared" si="3"/>
        <v>0.954029235918414</v>
      </c>
      <c r="N38" s="180">
        <f>SUM(N39:N40)</f>
        <v>3804</v>
      </c>
    </row>
    <row r="39" spans="1:14" ht="12.75">
      <c r="A39" s="240" t="s">
        <v>295</v>
      </c>
      <c r="B39" s="164">
        <v>44546304</v>
      </c>
      <c r="C39" s="164">
        <v>31967231</v>
      </c>
      <c r="D39" s="164">
        <f>33349984.2-653885.99-350.5-244.2-288674.45-4955.2-3501.05-1774190.1</f>
        <v>30624182.71</v>
      </c>
      <c r="E39" s="128">
        <f t="shared" si="0"/>
        <v>0.6874685430692522</v>
      </c>
      <c r="F39" s="128">
        <f t="shared" si="1"/>
        <v>0.9579867180238414</v>
      </c>
      <c r="G39" s="164">
        <f>D39-'[5]Augusts'!D39</f>
        <v>3532439.710000001</v>
      </c>
      <c r="H39" s="240" t="s">
        <v>295</v>
      </c>
      <c r="I39" s="164">
        <f aca="true" t="shared" si="12" ref="I39:K40">ROUND(B39/1000,0)</f>
        <v>44546</v>
      </c>
      <c r="J39" s="164">
        <f t="shared" si="12"/>
        <v>31967</v>
      </c>
      <c r="K39" s="164">
        <f t="shared" si="12"/>
        <v>30624</v>
      </c>
      <c r="L39" s="221">
        <f t="shared" si="2"/>
        <v>0.6874691330310241</v>
      </c>
      <c r="M39" s="221">
        <f t="shared" si="3"/>
        <v>0.9579879250477055</v>
      </c>
      <c r="N39" s="164">
        <f>K39-'[5]Augusts'!K39</f>
        <v>3532</v>
      </c>
    </row>
    <row r="40" spans="1:14" ht="12.75">
      <c r="A40" s="240" t="s">
        <v>296</v>
      </c>
      <c r="B40" s="164">
        <v>3410341</v>
      </c>
      <c r="C40" s="164">
        <v>2989654</v>
      </c>
      <c r="D40" s="164">
        <f>653885.99+350.5+244.2+288674.45+4955.2+3501.05+1774190.1</f>
        <v>2725801.49</v>
      </c>
      <c r="E40" s="128">
        <f t="shared" si="0"/>
        <v>0.7992753481250117</v>
      </c>
      <c r="F40" s="128">
        <f t="shared" si="1"/>
        <v>0.9117448005688953</v>
      </c>
      <c r="G40" s="164">
        <f>D40-'[5]Augusts'!D40</f>
        <v>271618.4900000002</v>
      </c>
      <c r="H40" s="240" t="s">
        <v>296</v>
      </c>
      <c r="I40" s="164">
        <f t="shared" si="12"/>
        <v>3410</v>
      </c>
      <c r="J40" s="164">
        <f t="shared" si="12"/>
        <v>2990</v>
      </c>
      <c r="K40" s="164">
        <f t="shared" si="12"/>
        <v>2726</v>
      </c>
      <c r="L40" s="221">
        <f t="shared" si="2"/>
        <v>0.7994134897360704</v>
      </c>
      <c r="M40" s="221">
        <f t="shared" si="3"/>
        <v>0.9117056856187291</v>
      </c>
      <c r="N40" s="164">
        <f>K40-'[5]Augusts'!K40</f>
        <v>272</v>
      </c>
    </row>
    <row r="41" spans="1:14" ht="12.75" customHeight="1">
      <c r="A41" s="28" t="s">
        <v>216</v>
      </c>
      <c r="B41" s="84">
        <f>SUM(B42:B43)</f>
        <v>8153796</v>
      </c>
      <c r="C41" s="84">
        <f>SUM(C42:C43)</f>
        <v>6200342</v>
      </c>
      <c r="D41" s="84">
        <f>SUM(D42:D43)</f>
        <v>5990172.61</v>
      </c>
      <c r="E41" s="117">
        <f t="shared" si="0"/>
        <v>0.7346483294406679</v>
      </c>
      <c r="F41" s="117">
        <f t="shared" si="1"/>
        <v>0.9661035810605286</v>
      </c>
      <c r="G41" s="84">
        <f>SUM(G42:G43)</f>
        <v>681177.6100000003</v>
      </c>
      <c r="H41" s="28" t="s">
        <v>216</v>
      </c>
      <c r="I41" s="180">
        <f>SUM(I42:I43)</f>
        <v>8154</v>
      </c>
      <c r="J41" s="180">
        <f>SUM(J42:J43)</f>
        <v>6201</v>
      </c>
      <c r="K41" s="180">
        <f>SUM(K42:K43)</f>
        <v>5990</v>
      </c>
      <c r="L41" s="220">
        <f t="shared" si="2"/>
        <v>0.7346087809663968</v>
      </c>
      <c r="M41" s="220">
        <f t="shared" si="3"/>
        <v>0.9659732301241735</v>
      </c>
      <c r="N41" s="180">
        <f>SUM(N42:N43)</f>
        <v>681</v>
      </c>
    </row>
    <row r="42" spans="1:14" ht="12.75">
      <c r="A42" s="240" t="s">
        <v>295</v>
      </c>
      <c r="B42" s="164">
        <v>4897796</v>
      </c>
      <c r="C42" s="164">
        <v>3690577</v>
      </c>
      <c r="D42" s="164">
        <f>5990172.61-16578.84-2330761.89</f>
        <v>3642831.8800000004</v>
      </c>
      <c r="E42" s="128">
        <f t="shared" si="0"/>
        <v>0.7437696220912428</v>
      </c>
      <c r="F42" s="128">
        <f t="shared" si="1"/>
        <v>0.9870629660348504</v>
      </c>
      <c r="G42" s="164">
        <f>D42-'[5]Augusts'!D42</f>
        <v>382017.88000000035</v>
      </c>
      <c r="H42" s="240" t="s">
        <v>295</v>
      </c>
      <c r="I42" s="164">
        <f>ROUND(B42/1000,0)</f>
        <v>4898</v>
      </c>
      <c r="J42" s="164">
        <f aca="true" t="shared" si="13" ref="I42:K43">ROUND(C42/1000,0)</f>
        <v>3691</v>
      </c>
      <c r="K42" s="164">
        <f t="shared" si="13"/>
        <v>3643</v>
      </c>
      <c r="L42" s="221">
        <f t="shared" si="2"/>
        <v>0.7437729685585953</v>
      </c>
      <c r="M42" s="221">
        <f t="shared" si="3"/>
        <v>0.9869953942021132</v>
      </c>
      <c r="N42" s="164">
        <f>K42-'[5]Augusts'!K42</f>
        <v>382</v>
      </c>
    </row>
    <row r="43" spans="1:14" ht="12.75">
      <c r="A43" s="240" t="s">
        <v>296</v>
      </c>
      <c r="B43" s="164">
        <v>3256000</v>
      </c>
      <c r="C43" s="164">
        <v>2509765</v>
      </c>
      <c r="D43" s="164">
        <f>16578.84+2330761.89</f>
        <v>2347340.73</v>
      </c>
      <c r="E43" s="128">
        <f t="shared" si="0"/>
        <v>0.7209277426289926</v>
      </c>
      <c r="F43" s="128">
        <f t="shared" si="1"/>
        <v>0.9352830763039567</v>
      </c>
      <c r="G43" s="164">
        <f>D43-'[5]Augusts'!D43</f>
        <v>299159.73</v>
      </c>
      <c r="H43" s="240" t="s">
        <v>296</v>
      </c>
      <c r="I43" s="164">
        <f t="shared" si="13"/>
        <v>3256</v>
      </c>
      <c r="J43" s="164">
        <f t="shared" si="13"/>
        <v>2510</v>
      </c>
      <c r="K43" s="164">
        <f t="shared" si="13"/>
        <v>2347</v>
      </c>
      <c r="L43" s="221">
        <f t="shared" si="2"/>
        <v>0.7208230958230958</v>
      </c>
      <c r="M43" s="221">
        <f t="shared" si="3"/>
        <v>0.9350597609561753</v>
      </c>
      <c r="N43" s="164">
        <f>K43-'[5]Augusts'!K43</f>
        <v>299</v>
      </c>
    </row>
    <row r="44" spans="1:14" ht="15" customHeight="1">
      <c r="A44" s="28" t="s">
        <v>228</v>
      </c>
      <c r="B44" s="84">
        <f>SUM(B45:B46)</f>
        <v>158815191</v>
      </c>
      <c r="C44" s="84">
        <f>SUM(C45:C46)</f>
        <v>120380156</v>
      </c>
      <c r="D44" s="84">
        <f>SUM(D45:D46)</f>
        <v>119118485.10000001</v>
      </c>
      <c r="E44" s="117">
        <f t="shared" si="0"/>
        <v>0.750044654733312</v>
      </c>
      <c r="F44" s="117">
        <f t="shared" si="1"/>
        <v>0.9895192784099732</v>
      </c>
      <c r="G44" s="84">
        <f>SUM(G45:G46)</f>
        <v>14004914.10000001</v>
      </c>
      <c r="H44" s="28" t="s">
        <v>228</v>
      </c>
      <c r="I44" s="180">
        <f>SUM(I45:I46)</f>
        <v>158815</v>
      </c>
      <c r="J44" s="180">
        <f>SUM(J45:J46)</f>
        <v>120380</v>
      </c>
      <c r="K44" s="180">
        <f>SUM(K45:K46)</f>
        <v>119119</v>
      </c>
      <c r="L44" s="220">
        <f t="shared" si="2"/>
        <v>0.7500487989169788</v>
      </c>
      <c r="M44" s="220">
        <f t="shared" si="3"/>
        <v>0.989524838012959</v>
      </c>
      <c r="N44" s="180">
        <f>SUM(N45:N46)</f>
        <v>14005</v>
      </c>
    </row>
    <row r="45" spans="1:14" ht="12.75">
      <c r="A45" s="240" t="s">
        <v>295</v>
      </c>
      <c r="B45" s="164">
        <v>153988269</v>
      </c>
      <c r="C45" s="164">
        <v>116126617</v>
      </c>
      <c r="D45" s="164">
        <f>119108967.1-651061.83-934-306731.49-30000.05-2929487.07</f>
        <v>115190752.66000001</v>
      </c>
      <c r="E45" s="128">
        <f t="shared" si="0"/>
        <v>0.7480488832561655</v>
      </c>
      <c r="F45" s="128">
        <f t="shared" si="1"/>
        <v>0.9919410005718156</v>
      </c>
      <c r="G45" s="164">
        <f>D45-'[5]Augusts'!D45</f>
        <v>12741078.660000011</v>
      </c>
      <c r="H45" s="240" t="s">
        <v>295</v>
      </c>
      <c r="I45" s="164">
        <f aca="true" t="shared" si="14" ref="I45:K46">ROUND(B45/1000,0)</f>
        <v>153988</v>
      </c>
      <c r="J45" s="164">
        <f t="shared" si="14"/>
        <v>116127</v>
      </c>
      <c r="K45" s="164">
        <f t="shared" si="14"/>
        <v>115191</v>
      </c>
      <c r="L45" s="221">
        <f t="shared" si="2"/>
        <v>0.7480517962438632</v>
      </c>
      <c r="M45" s="221">
        <f t="shared" si="3"/>
        <v>0.9919398589475316</v>
      </c>
      <c r="N45" s="164">
        <f>K45-'[5]Augusts'!K45</f>
        <v>12741</v>
      </c>
    </row>
    <row r="46" spans="1:14" ht="12.75">
      <c r="A46" s="240" t="s">
        <v>296</v>
      </c>
      <c r="B46" s="164">
        <v>4826922</v>
      </c>
      <c r="C46" s="164">
        <v>4253539</v>
      </c>
      <c r="D46" s="164">
        <f>651061.83+934+306731.49+30000.05+2929487.07+9518</f>
        <v>3927732.44</v>
      </c>
      <c r="E46" s="128">
        <f t="shared" si="0"/>
        <v>0.8137136750914972</v>
      </c>
      <c r="F46" s="128">
        <f t="shared" si="1"/>
        <v>0.9234034153677678</v>
      </c>
      <c r="G46" s="164">
        <f>D46-'[5]Augusts'!D46</f>
        <v>1263835.44</v>
      </c>
      <c r="H46" s="240" t="s">
        <v>296</v>
      </c>
      <c r="I46" s="164">
        <f t="shared" si="14"/>
        <v>4827</v>
      </c>
      <c r="J46" s="164">
        <f>ROUND(C46/1000,0)-1</f>
        <v>4253</v>
      </c>
      <c r="K46" s="164">
        <f t="shared" si="14"/>
        <v>3928</v>
      </c>
      <c r="L46" s="221">
        <f t="shared" si="2"/>
        <v>0.8137559560803812</v>
      </c>
      <c r="M46" s="221">
        <f t="shared" si="3"/>
        <v>0.9235833529273454</v>
      </c>
      <c r="N46" s="164">
        <f>K46-'[5]Augusts'!K46</f>
        <v>1264</v>
      </c>
    </row>
    <row r="47" spans="1:14" ht="15.75" customHeight="1">
      <c r="A47" s="28" t="s">
        <v>303</v>
      </c>
      <c r="B47" s="84">
        <f>SUM(B48:B49)</f>
        <v>13929746</v>
      </c>
      <c r="C47" s="84">
        <f>SUM(C48:C49)</f>
        <v>9962751</v>
      </c>
      <c r="D47" s="84">
        <f>SUM(D48:D49)</f>
        <v>9035058.68</v>
      </c>
      <c r="E47" s="117">
        <f t="shared" si="0"/>
        <v>0.6486161829512181</v>
      </c>
      <c r="F47" s="117">
        <f t="shared" si="1"/>
        <v>0.906883919913285</v>
      </c>
      <c r="G47" s="84">
        <f>SUM(G48:G49)</f>
        <v>1067621.6799999997</v>
      </c>
      <c r="H47" s="28" t="s">
        <v>303</v>
      </c>
      <c r="I47" s="180">
        <f>SUM(I48:I49)</f>
        <v>13929</v>
      </c>
      <c r="J47" s="180">
        <f>SUM(J48:J49)</f>
        <v>9963</v>
      </c>
      <c r="K47" s="180">
        <f>SUM(K48:K49)</f>
        <v>9035</v>
      </c>
      <c r="L47" s="220">
        <f t="shared" si="2"/>
        <v>0.6486467083064111</v>
      </c>
      <c r="M47" s="220">
        <f t="shared" si="3"/>
        <v>0.9068553648499448</v>
      </c>
      <c r="N47" s="180">
        <f>SUM(N48:N49)</f>
        <v>1067</v>
      </c>
    </row>
    <row r="48" spans="1:14" ht="12.75">
      <c r="A48" s="240" t="s">
        <v>295</v>
      </c>
      <c r="B48" s="164">
        <v>12857343</v>
      </c>
      <c r="C48" s="164">
        <v>9170074</v>
      </c>
      <c r="D48" s="164">
        <f>9007404.73-226430.96-20000-11377.44-368492.44+27653.95</f>
        <v>8408757.84</v>
      </c>
      <c r="E48" s="128">
        <f t="shared" si="0"/>
        <v>0.6540043179994498</v>
      </c>
      <c r="F48" s="128">
        <f t="shared" si="1"/>
        <v>0.9169781879622781</v>
      </c>
      <c r="G48" s="164">
        <f>D48-'[5]Augusts'!D48</f>
        <v>961335.8399999999</v>
      </c>
      <c r="H48" s="240" t="s">
        <v>295</v>
      </c>
      <c r="I48" s="164">
        <f aca="true" t="shared" si="15" ref="I48:K49">ROUND(B48/1000,0)</f>
        <v>12857</v>
      </c>
      <c r="J48" s="164">
        <f t="shared" si="15"/>
        <v>9170</v>
      </c>
      <c r="K48" s="164">
        <f>ROUND(D48/1000,0)</f>
        <v>8409</v>
      </c>
      <c r="L48" s="221">
        <f t="shared" si="2"/>
        <v>0.6540406004511161</v>
      </c>
      <c r="M48" s="221">
        <f t="shared" si="3"/>
        <v>0.9170119956379499</v>
      </c>
      <c r="N48" s="164">
        <f>K48-'[5]Augusts'!K48</f>
        <v>961</v>
      </c>
    </row>
    <row r="49" spans="1:14" ht="16.5" customHeight="1">
      <c r="A49" s="240" t="s">
        <v>296</v>
      </c>
      <c r="B49" s="164">
        <v>1072403</v>
      </c>
      <c r="C49" s="164">
        <v>792677</v>
      </c>
      <c r="D49" s="164">
        <f>226430.96+20000+11377.44+368492.44</f>
        <v>626300.84</v>
      </c>
      <c r="E49" s="128">
        <f t="shared" si="0"/>
        <v>0.5840163073023854</v>
      </c>
      <c r="F49" s="128">
        <f t="shared" si="1"/>
        <v>0.7901085057343659</v>
      </c>
      <c r="G49" s="164">
        <f>D49-'[5]Augusts'!D49</f>
        <v>106285.83999999997</v>
      </c>
      <c r="H49" s="240" t="s">
        <v>296</v>
      </c>
      <c r="I49" s="164">
        <f t="shared" si="15"/>
        <v>1072</v>
      </c>
      <c r="J49" s="164">
        <f t="shared" si="15"/>
        <v>793</v>
      </c>
      <c r="K49" s="164">
        <f t="shared" si="15"/>
        <v>626</v>
      </c>
      <c r="L49" s="221">
        <f t="shared" si="2"/>
        <v>0.5839552238805971</v>
      </c>
      <c r="M49" s="221">
        <f t="shared" si="3"/>
        <v>0.7894073139974779</v>
      </c>
      <c r="N49" s="164">
        <f>K49-'[5]Augusts'!K49</f>
        <v>106</v>
      </c>
    </row>
    <row r="50" spans="1:14" ht="69.75" customHeight="1" hidden="1">
      <c r="A50" s="10" t="s">
        <v>7</v>
      </c>
      <c r="B50" s="10" t="s">
        <v>70</v>
      </c>
      <c r="C50" s="10" t="s">
        <v>290</v>
      </c>
      <c r="D50" s="10" t="s">
        <v>71</v>
      </c>
      <c r="E50" s="10" t="s">
        <v>291</v>
      </c>
      <c r="F50" s="10" t="s">
        <v>292</v>
      </c>
      <c r="G50" s="10" t="s">
        <v>304</v>
      </c>
      <c r="H50" s="10" t="s">
        <v>7</v>
      </c>
      <c r="I50" s="10" t="s">
        <v>70</v>
      </c>
      <c r="J50" s="10" t="s">
        <v>290</v>
      </c>
      <c r="K50" s="10" t="s">
        <v>71</v>
      </c>
      <c r="L50" s="10" t="s">
        <v>291</v>
      </c>
      <c r="M50" s="10" t="s">
        <v>292</v>
      </c>
      <c r="N50" s="10" t="s">
        <v>304</v>
      </c>
    </row>
    <row r="51" spans="1:14" ht="12.75" hidden="1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96">
        <v>7</v>
      </c>
      <c r="H51" s="10">
        <v>1</v>
      </c>
      <c r="I51" s="10">
        <v>2</v>
      </c>
      <c r="J51" s="10">
        <v>3</v>
      </c>
      <c r="K51" s="10">
        <v>4</v>
      </c>
      <c r="L51" s="10">
        <v>5</v>
      </c>
      <c r="M51" s="10">
        <v>6</v>
      </c>
      <c r="N51" s="196">
        <v>7</v>
      </c>
    </row>
    <row r="52" spans="1:14" ht="29.25" customHeight="1">
      <c r="A52" s="177" t="s">
        <v>243</v>
      </c>
      <c r="B52" s="84">
        <f>SUM(B53:B54)</f>
        <v>8048422</v>
      </c>
      <c r="C52" s="84">
        <f>SUM(C53:C54)</f>
        <v>6303542</v>
      </c>
      <c r="D52" s="84">
        <f>SUM(D53:D54)</f>
        <v>5706260.89</v>
      </c>
      <c r="E52" s="117">
        <f t="shared" si="0"/>
        <v>0.7089912643745568</v>
      </c>
      <c r="F52" s="117">
        <f t="shared" si="1"/>
        <v>0.905246746987646</v>
      </c>
      <c r="G52" s="84">
        <f>SUM(G53:G54)</f>
        <v>636004.8899999995</v>
      </c>
      <c r="H52" s="177" t="s">
        <v>243</v>
      </c>
      <c r="I52" s="180">
        <f>SUM(I53:I54)</f>
        <v>8049</v>
      </c>
      <c r="J52" s="180">
        <f>SUM(J53:J54)</f>
        <v>6304</v>
      </c>
      <c r="K52" s="180">
        <f>SUM(K53:K54)</f>
        <v>5706</v>
      </c>
      <c r="L52" s="220">
        <f aca="true" t="shared" si="16" ref="L52:L95">IF(ISERROR(ROUND(K52,0)/ROUND(I52,0))," ",(ROUND(K52,)/ROUND(I52,)))</f>
        <v>0.7089079388743943</v>
      </c>
      <c r="M52" s="220">
        <f aca="true" t="shared" si="17" ref="M52:M95">IF(ISERROR(ROUND(K52,0)/ROUND(J52,0))," ",(ROUND(K52,)/ROUND(J52,)))</f>
        <v>0.9051395939086294</v>
      </c>
      <c r="N52" s="180">
        <f>SUM(N53:N54)</f>
        <v>636</v>
      </c>
    </row>
    <row r="53" spans="1:14" ht="12.75">
      <c r="A53" s="240" t="s">
        <v>295</v>
      </c>
      <c r="B53" s="164">
        <v>6809854</v>
      </c>
      <c r="C53" s="164">
        <v>5150546</v>
      </c>
      <c r="D53" s="164">
        <f>5706260.89-148053.17-873731.28</f>
        <v>4684476.4399999995</v>
      </c>
      <c r="E53" s="117">
        <f t="shared" si="0"/>
        <v>0.6878967507967131</v>
      </c>
      <c r="F53" s="117">
        <f t="shared" si="1"/>
        <v>0.9095106499388608</v>
      </c>
      <c r="G53" s="164">
        <f>D53-'[5]Augusts'!D53</f>
        <v>599179.4399999995</v>
      </c>
      <c r="H53" s="240" t="s">
        <v>295</v>
      </c>
      <c r="I53" s="164">
        <f aca="true" t="shared" si="18" ref="I53:K54">ROUND(B53/1000,0)</f>
        <v>6810</v>
      </c>
      <c r="J53" s="164">
        <f>ROUND(C53/1000,0)</f>
        <v>5151</v>
      </c>
      <c r="K53" s="164">
        <f>ROUND(D53/1000,0)</f>
        <v>4684</v>
      </c>
      <c r="L53" s="221">
        <f t="shared" si="16"/>
        <v>0.6878120411160059</v>
      </c>
      <c r="M53" s="221">
        <f t="shared" si="17"/>
        <v>0.9093379926227917</v>
      </c>
      <c r="N53" s="164">
        <f>K53-'[5]Augusts'!K53</f>
        <v>599</v>
      </c>
    </row>
    <row r="54" spans="1:14" ht="12.75" customHeight="1">
      <c r="A54" s="139" t="s">
        <v>296</v>
      </c>
      <c r="B54" s="164">
        <v>1238568</v>
      </c>
      <c r="C54" s="164">
        <v>1152996</v>
      </c>
      <c r="D54" s="164">
        <f>148053.17+873731.28</f>
        <v>1021784.4500000001</v>
      </c>
      <c r="E54" s="117">
        <f t="shared" si="0"/>
        <v>0.8249724278360171</v>
      </c>
      <c r="F54" s="117">
        <f t="shared" si="1"/>
        <v>0.8861994751065919</v>
      </c>
      <c r="G54" s="164">
        <f>D54-'[5]Augusts'!D54</f>
        <v>36825.45000000007</v>
      </c>
      <c r="H54" s="139" t="s">
        <v>296</v>
      </c>
      <c r="I54" s="164">
        <f t="shared" si="18"/>
        <v>1239</v>
      </c>
      <c r="J54" s="164">
        <f t="shared" si="18"/>
        <v>1153</v>
      </c>
      <c r="K54" s="164">
        <f t="shared" si="18"/>
        <v>1022</v>
      </c>
      <c r="L54" s="221">
        <f t="shared" si="16"/>
        <v>0.8248587570621468</v>
      </c>
      <c r="M54" s="221">
        <f t="shared" si="17"/>
        <v>0.8863833477883781</v>
      </c>
      <c r="N54" s="164">
        <f>K54-'[5]Augusts'!K54</f>
        <v>37</v>
      </c>
    </row>
    <row r="55" spans="1:14" ht="13.5" customHeight="1">
      <c r="A55" s="28" t="s">
        <v>248</v>
      </c>
      <c r="B55" s="84">
        <f>SUM(B56:B57)</f>
        <v>16545997</v>
      </c>
      <c r="C55" s="84">
        <f>SUM(C56:C57)</f>
        <v>12637640</v>
      </c>
      <c r="D55" s="84">
        <f>SUM(D56:D57)</f>
        <v>12098949.319999998</v>
      </c>
      <c r="E55" s="117">
        <f t="shared" si="0"/>
        <v>0.7312312047439631</v>
      </c>
      <c r="F55" s="117">
        <f t="shared" si="1"/>
        <v>0.9573741078239291</v>
      </c>
      <c r="G55" s="84">
        <f>SUM(G56:G57)</f>
        <v>1118700.3199999991</v>
      </c>
      <c r="H55" s="28" t="s">
        <v>248</v>
      </c>
      <c r="I55" s="180">
        <f>SUM(I56:I57)</f>
        <v>16546</v>
      </c>
      <c r="J55" s="180">
        <f>SUM(J56:J57)</f>
        <v>12637</v>
      </c>
      <c r="K55" s="180">
        <f>SUM(K56:K57)</f>
        <v>12099</v>
      </c>
      <c r="L55" s="220">
        <f t="shared" si="16"/>
        <v>0.7312341351384021</v>
      </c>
      <c r="M55" s="220">
        <f t="shared" si="17"/>
        <v>0.957426604415605</v>
      </c>
      <c r="N55" s="180">
        <f>SUM(N56:N57)</f>
        <v>1118</v>
      </c>
    </row>
    <row r="56" spans="1:14" ht="12.75">
      <c r="A56" s="240" t="s">
        <v>295</v>
      </c>
      <c r="B56" s="164">
        <v>14168268</v>
      </c>
      <c r="C56" s="164">
        <v>10774436</v>
      </c>
      <c r="D56" s="164">
        <f>12098760.97-46798.14-33830.82-364866-50000-1272405.57+188.35</f>
        <v>10331048.79</v>
      </c>
      <c r="E56" s="128">
        <f t="shared" si="0"/>
        <v>0.7291680810950216</v>
      </c>
      <c r="F56" s="128">
        <f t="shared" si="1"/>
        <v>0.9588482209184777</v>
      </c>
      <c r="G56" s="164">
        <f>D56-'[5]Augusts'!D56</f>
        <v>859193.7899999991</v>
      </c>
      <c r="H56" s="240" t="s">
        <v>295</v>
      </c>
      <c r="I56" s="164">
        <f aca="true" t="shared" si="19" ref="I56:K57">ROUND(B56/1000,0)</f>
        <v>14168</v>
      </c>
      <c r="J56" s="164">
        <f>ROUND(C56/1000,0)</f>
        <v>10774</v>
      </c>
      <c r="K56" s="164">
        <f t="shared" si="19"/>
        <v>10331</v>
      </c>
      <c r="L56" s="221">
        <f t="shared" si="16"/>
        <v>0.7291784302653868</v>
      </c>
      <c r="M56" s="221">
        <f t="shared" si="17"/>
        <v>0.9588824948951179</v>
      </c>
      <c r="N56" s="164">
        <f>K56-'[5]Augusts'!K56</f>
        <v>859</v>
      </c>
    </row>
    <row r="57" spans="1:14" ht="12.75">
      <c r="A57" s="240" t="s">
        <v>296</v>
      </c>
      <c r="B57" s="164">
        <v>2377729</v>
      </c>
      <c r="C57" s="164">
        <v>1863204</v>
      </c>
      <c r="D57" s="164">
        <f>46798.14+33830.82+364866+50000+1272405.57</f>
        <v>1767900.53</v>
      </c>
      <c r="E57" s="128">
        <f t="shared" si="0"/>
        <v>0.7435248213736722</v>
      </c>
      <c r="F57" s="128">
        <f t="shared" si="1"/>
        <v>0.9488496858100348</v>
      </c>
      <c r="G57" s="164">
        <f>D57-'[5]Augusts'!D57</f>
        <v>259506.53000000003</v>
      </c>
      <c r="H57" s="240" t="s">
        <v>296</v>
      </c>
      <c r="I57" s="164">
        <f t="shared" si="19"/>
        <v>2378</v>
      </c>
      <c r="J57" s="164">
        <f>ROUND(C57/1000,0)</f>
        <v>1863</v>
      </c>
      <c r="K57" s="164">
        <f>ROUND(D57/1000,0)</f>
        <v>1768</v>
      </c>
      <c r="L57" s="221">
        <f t="shared" si="16"/>
        <v>0.7434819175777965</v>
      </c>
      <c r="M57" s="221">
        <f t="shared" si="17"/>
        <v>0.9490069779924852</v>
      </c>
      <c r="N57" s="164">
        <f>K57-'[5]Augusts'!K57</f>
        <v>259</v>
      </c>
    </row>
    <row r="58" spans="1:14" ht="12.75">
      <c r="A58" s="28" t="s">
        <v>305</v>
      </c>
      <c r="B58" s="84">
        <f>SUM(B59:B60)</f>
        <v>13854081</v>
      </c>
      <c r="C58" s="84">
        <f>SUM(C59:C60)</f>
        <v>10890415</v>
      </c>
      <c r="D58" s="84">
        <f>SUM(D59:D60)</f>
        <v>9747098.77</v>
      </c>
      <c r="E58" s="117">
        <f t="shared" si="0"/>
        <v>0.7035543368051623</v>
      </c>
      <c r="F58" s="117">
        <f t="shared" si="1"/>
        <v>0.8950162845033912</v>
      </c>
      <c r="G58" s="84">
        <f>SUM(G59:G60)</f>
        <v>1091387.769999999</v>
      </c>
      <c r="H58" s="28" t="s">
        <v>305</v>
      </c>
      <c r="I58" s="180">
        <f>SUM(I59:I60)</f>
        <v>13854</v>
      </c>
      <c r="J58" s="180">
        <f>SUM(J59:J60)</f>
        <v>10890</v>
      </c>
      <c r="K58" s="180">
        <f>SUM(K59:K60)</f>
        <v>9747</v>
      </c>
      <c r="L58" s="220">
        <f t="shared" si="16"/>
        <v>0.7035513209181464</v>
      </c>
      <c r="M58" s="220">
        <f t="shared" si="17"/>
        <v>0.8950413223140495</v>
      </c>
      <c r="N58" s="180">
        <f>SUM(N59:N60)</f>
        <v>1092</v>
      </c>
    </row>
    <row r="59" spans="1:14" ht="12.75">
      <c r="A59" s="240" t="s">
        <v>295</v>
      </c>
      <c r="B59" s="164">
        <v>12220283</v>
      </c>
      <c r="C59" s="164">
        <v>9407387</v>
      </c>
      <c r="D59" s="164">
        <f>9747098.77-557423.26-36003.3-470000</f>
        <v>8683672.209999999</v>
      </c>
      <c r="E59" s="128">
        <f t="shared" si="0"/>
        <v>0.710595017316702</v>
      </c>
      <c r="F59" s="128">
        <f t="shared" si="1"/>
        <v>0.923069520792543</v>
      </c>
      <c r="G59" s="164">
        <f>D59-'[5]Augusts'!D59</f>
        <v>1008290.209999999</v>
      </c>
      <c r="H59" s="240" t="s">
        <v>295</v>
      </c>
      <c r="I59" s="164">
        <f aca="true" t="shared" si="20" ref="I59:K60">ROUND(B59/1000,0)</f>
        <v>12220</v>
      </c>
      <c r="J59" s="164">
        <f t="shared" si="20"/>
        <v>9407</v>
      </c>
      <c r="K59" s="164">
        <f t="shared" si="20"/>
        <v>8684</v>
      </c>
      <c r="L59" s="221">
        <f t="shared" si="16"/>
        <v>0.7106382978723405</v>
      </c>
      <c r="M59" s="221">
        <f t="shared" si="17"/>
        <v>0.9231423408100351</v>
      </c>
      <c r="N59" s="164">
        <f>K59-'[5]Augusts'!K59</f>
        <v>1009</v>
      </c>
    </row>
    <row r="60" spans="1:14" ht="12.75">
      <c r="A60" s="240" t="s">
        <v>296</v>
      </c>
      <c r="B60" s="164">
        <v>1633798</v>
      </c>
      <c r="C60" s="164">
        <v>1483028</v>
      </c>
      <c r="D60" s="164">
        <f>557423.26+36003.3+470000</f>
        <v>1063426.56</v>
      </c>
      <c r="E60" s="128">
        <f t="shared" si="0"/>
        <v>0.6508923134928554</v>
      </c>
      <c r="F60" s="128">
        <f t="shared" si="1"/>
        <v>0.717064384489032</v>
      </c>
      <c r="G60" s="164">
        <f>D60-'[5]Augusts'!D60</f>
        <v>83097.56000000006</v>
      </c>
      <c r="H60" s="240" t="s">
        <v>296</v>
      </c>
      <c r="I60" s="164">
        <f t="shared" si="20"/>
        <v>1634</v>
      </c>
      <c r="J60" s="164">
        <f t="shared" si="20"/>
        <v>1483</v>
      </c>
      <c r="K60" s="164">
        <f t="shared" si="20"/>
        <v>1063</v>
      </c>
      <c r="L60" s="221">
        <f t="shared" si="16"/>
        <v>0.6505507955936353</v>
      </c>
      <c r="M60" s="221">
        <f t="shared" si="17"/>
        <v>0.7167902899527984</v>
      </c>
      <c r="N60" s="164">
        <f>K60-'[5]Augusts'!K60</f>
        <v>83</v>
      </c>
    </row>
    <row r="61" spans="1:14" ht="12.75">
      <c r="A61" s="28" t="s">
        <v>306</v>
      </c>
      <c r="B61" s="84">
        <f>SUM(B62:B63)</f>
        <v>1254628</v>
      </c>
      <c r="C61" s="84">
        <f>SUM(C62:C63)</f>
        <v>946898</v>
      </c>
      <c r="D61" s="84">
        <f>SUM(D62:D63)</f>
        <v>872584.75</v>
      </c>
      <c r="E61" s="117">
        <f t="shared" si="0"/>
        <v>0.695492807429772</v>
      </c>
      <c r="F61" s="117">
        <f t="shared" si="1"/>
        <v>0.9215192660666724</v>
      </c>
      <c r="G61" s="84">
        <f>SUM(G62:G63)</f>
        <v>77144.75</v>
      </c>
      <c r="H61" s="28" t="s">
        <v>306</v>
      </c>
      <c r="I61" s="180">
        <f>SUM(I62:I63)</f>
        <v>1255</v>
      </c>
      <c r="J61" s="180">
        <f>SUM(J62:J63)</f>
        <v>947</v>
      </c>
      <c r="K61" s="180">
        <f>SUM(K62:K63)</f>
        <v>873</v>
      </c>
      <c r="L61" s="220">
        <f t="shared" si="16"/>
        <v>0.6956175298804781</v>
      </c>
      <c r="M61" s="220">
        <f t="shared" si="17"/>
        <v>0.9218585005279831</v>
      </c>
      <c r="N61" s="180">
        <f>SUM(N62:N63)</f>
        <v>78</v>
      </c>
    </row>
    <row r="62" spans="1:14" ht="12.75">
      <c r="A62" s="240" t="s">
        <v>295</v>
      </c>
      <c r="B62" s="164">
        <v>1212470</v>
      </c>
      <c r="C62" s="164">
        <v>904740</v>
      </c>
      <c r="D62" s="164">
        <f>872584.76-38973.01</f>
        <v>833611.75</v>
      </c>
      <c r="E62" s="128">
        <f t="shared" si="0"/>
        <v>0.6875318564583042</v>
      </c>
      <c r="F62" s="128">
        <f t="shared" si="1"/>
        <v>0.9213826624223533</v>
      </c>
      <c r="G62" s="164">
        <f>D62-'[5]Augusts'!D62</f>
        <v>70560.75</v>
      </c>
      <c r="H62" s="240" t="s">
        <v>295</v>
      </c>
      <c r="I62" s="164">
        <f>ROUND(B62/1000,0)+1</f>
        <v>1213</v>
      </c>
      <c r="J62" s="164">
        <f>ROUND(C62/1000,0)</f>
        <v>905</v>
      </c>
      <c r="K62" s="164">
        <f aca="true" t="shared" si="21" ref="I62:K63">ROUND(D62/1000,0)</f>
        <v>834</v>
      </c>
      <c r="L62" s="221">
        <f t="shared" si="16"/>
        <v>0.6875515251442704</v>
      </c>
      <c r="M62" s="221">
        <f t="shared" si="17"/>
        <v>0.9215469613259668</v>
      </c>
      <c r="N62" s="164">
        <f>K62-'[5]Augusts'!K62</f>
        <v>71</v>
      </c>
    </row>
    <row r="63" spans="1:14" ht="12.75">
      <c r="A63" s="240" t="s">
        <v>296</v>
      </c>
      <c r="B63" s="164">
        <v>42158</v>
      </c>
      <c r="C63" s="164">
        <v>42158</v>
      </c>
      <c r="D63" s="164">
        <v>38973</v>
      </c>
      <c r="E63" s="128">
        <f t="shared" si="0"/>
        <v>0.9244508752787134</v>
      </c>
      <c r="F63" s="128">
        <f t="shared" si="1"/>
        <v>0.9244508752787134</v>
      </c>
      <c r="G63" s="164">
        <f>D63-'[5]Augusts'!D63</f>
        <v>6584</v>
      </c>
      <c r="H63" s="240" t="s">
        <v>296</v>
      </c>
      <c r="I63" s="164">
        <f t="shared" si="21"/>
        <v>42</v>
      </c>
      <c r="J63" s="164">
        <f t="shared" si="21"/>
        <v>42</v>
      </c>
      <c r="K63" s="164">
        <f t="shared" si="21"/>
        <v>39</v>
      </c>
      <c r="L63" s="221">
        <f t="shared" si="16"/>
        <v>0.9285714285714286</v>
      </c>
      <c r="M63" s="221">
        <f t="shared" si="17"/>
        <v>0.9285714285714286</v>
      </c>
      <c r="N63" s="164">
        <f>K63-'[5]Augusts'!K63</f>
        <v>7</v>
      </c>
    </row>
    <row r="64" spans="1:14" ht="12.75">
      <c r="A64" s="28" t="s">
        <v>307</v>
      </c>
      <c r="B64" s="84">
        <f>SUM(B65:B66)</f>
        <v>741295</v>
      </c>
      <c r="C64" s="84">
        <f>SUM(C65:C66)</f>
        <v>560499</v>
      </c>
      <c r="D64" s="84">
        <f>SUM(D65:D66)</f>
        <v>554483.8300000001</v>
      </c>
      <c r="E64" s="117">
        <f t="shared" si="0"/>
        <v>0.7479934843753163</v>
      </c>
      <c r="F64" s="117">
        <f t="shared" si="1"/>
        <v>0.9892681878112184</v>
      </c>
      <c r="G64" s="84">
        <f>SUM(G65:G66)</f>
        <v>54842.830000000075</v>
      </c>
      <c r="H64" s="28" t="s">
        <v>307</v>
      </c>
      <c r="I64" s="180">
        <f>SUM(I65:I66)</f>
        <v>741</v>
      </c>
      <c r="J64" s="180">
        <f>SUM(J65:J66)</f>
        <v>560</v>
      </c>
      <c r="K64" s="180">
        <f>SUM(K65:K66)</f>
        <v>554</v>
      </c>
      <c r="L64" s="220">
        <f t="shared" si="16"/>
        <v>0.747638326585695</v>
      </c>
      <c r="M64" s="220">
        <f t="shared" si="17"/>
        <v>0.9892857142857143</v>
      </c>
      <c r="N64" s="180">
        <f>SUM(N65:N66)</f>
        <v>54</v>
      </c>
    </row>
    <row r="65" spans="1:14" ht="12.75">
      <c r="A65" s="240" t="s">
        <v>295</v>
      </c>
      <c r="B65" s="164">
        <v>737095</v>
      </c>
      <c r="C65" s="164">
        <v>556299</v>
      </c>
      <c r="D65" s="164">
        <f>554484.27-4198.44</f>
        <v>550285.8300000001</v>
      </c>
      <c r="E65" s="128">
        <f t="shared" si="0"/>
        <v>0.7465602534273059</v>
      </c>
      <c r="F65" s="128">
        <f t="shared" si="1"/>
        <v>0.9891907589264048</v>
      </c>
      <c r="G65" s="164">
        <f>D65-'[5]Augusts'!D65</f>
        <v>50644.830000000075</v>
      </c>
      <c r="H65" s="240" t="s">
        <v>295</v>
      </c>
      <c r="I65" s="164">
        <f aca="true" t="shared" si="22" ref="I65:K66">ROUND(B65/1000,0)</f>
        <v>737</v>
      </c>
      <c r="J65" s="164">
        <f t="shared" si="22"/>
        <v>556</v>
      </c>
      <c r="K65" s="164">
        <f t="shared" si="22"/>
        <v>550</v>
      </c>
      <c r="L65" s="221">
        <f t="shared" si="16"/>
        <v>0.746268656716418</v>
      </c>
      <c r="M65" s="221">
        <f t="shared" si="17"/>
        <v>0.9892086330935251</v>
      </c>
      <c r="N65" s="164">
        <f>K65-'[5]Augusts'!K65</f>
        <v>50</v>
      </c>
    </row>
    <row r="66" spans="1:14" ht="15" customHeight="1">
      <c r="A66" s="240" t="s">
        <v>296</v>
      </c>
      <c r="B66" s="164">
        <v>4200</v>
      </c>
      <c r="C66" s="164">
        <v>4200</v>
      </c>
      <c r="D66" s="164">
        <v>4198</v>
      </c>
      <c r="E66" s="128">
        <f t="shared" si="0"/>
        <v>0.9995238095238095</v>
      </c>
      <c r="F66" s="128">
        <f t="shared" si="1"/>
        <v>0.9995238095238095</v>
      </c>
      <c r="G66" s="164">
        <f>D66-'[5]Augusts'!D66</f>
        <v>4198</v>
      </c>
      <c r="H66" s="240" t="s">
        <v>296</v>
      </c>
      <c r="I66" s="164">
        <f t="shared" si="22"/>
        <v>4</v>
      </c>
      <c r="J66" s="164">
        <f t="shared" si="22"/>
        <v>4</v>
      </c>
      <c r="K66" s="164">
        <f t="shared" si="22"/>
        <v>4</v>
      </c>
      <c r="L66" s="221">
        <f t="shared" si="16"/>
        <v>1</v>
      </c>
      <c r="M66" s="221">
        <f t="shared" si="17"/>
        <v>1</v>
      </c>
      <c r="N66" s="164">
        <f>K66-'[5]Augusts'!K66</f>
        <v>4</v>
      </c>
    </row>
    <row r="67" spans="1:14" ht="12.75">
      <c r="A67" s="28" t="s">
        <v>308</v>
      </c>
      <c r="B67" s="84">
        <f>SUM(B68:B69)</f>
        <v>348641</v>
      </c>
      <c r="C67" s="84">
        <f>SUM(C68:C69)</f>
        <v>272125</v>
      </c>
      <c r="D67" s="84">
        <f>SUM(D68:D69)</f>
        <v>266480.2</v>
      </c>
      <c r="E67" s="117">
        <f t="shared" si="0"/>
        <v>0.7643398223387382</v>
      </c>
      <c r="F67" s="117">
        <f t="shared" si="1"/>
        <v>0.9792565916398714</v>
      </c>
      <c r="G67" s="84">
        <f>SUM(G68:G69)</f>
        <v>41597.2</v>
      </c>
      <c r="H67" s="28" t="s">
        <v>308</v>
      </c>
      <c r="I67" s="180">
        <f>SUM(I68:I69)</f>
        <v>349</v>
      </c>
      <c r="J67" s="180">
        <f>SUM(J68:J69)</f>
        <v>272</v>
      </c>
      <c r="K67" s="180">
        <f>SUM(K68:K69)</f>
        <v>266</v>
      </c>
      <c r="L67" s="220">
        <f t="shared" si="16"/>
        <v>0.7621776504297995</v>
      </c>
      <c r="M67" s="220">
        <f t="shared" si="17"/>
        <v>0.9779411764705882</v>
      </c>
      <c r="N67" s="180">
        <f>SUM(N68:N69)</f>
        <v>41</v>
      </c>
    </row>
    <row r="68" spans="1:14" ht="12.75">
      <c r="A68" s="240" t="s">
        <v>295</v>
      </c>
      <c r="B68" s="164">
        <v>305141</v>
      </c>
      <c r="C68" s="164">
        <v>228625</v>
      </c>
      <c r="D68" s="164">
        <f>266480.2-34589.81-8503.17</f>
        <v>223387.22</v>
      </c>
      <c r="E68" s="128">
        <f t="shared" si="0"/>
        <v>0.7320786783814696</v>
      </c>
      <c r="F68" s="128">
        <f t="shared" si="1"/>
        <v>0.9770900820120284</v>
      </c>
      <c r="G68" s="164">
        <f>D68-'[5]Augusts'!D68</f>
        <v>29310.22</v>
      </c>
      <c r="H68" s="240" t="s">
        <v>295</v>
      </c>
      <c r="I68" s="164">
        <f aca="true" t="shared" si="23" ref="I68:K69">ROUND(B68/1000,0)</f>
        <v>305</v>
      </c>
      <c r="J68" s="164">
        <f t="shared" si="23"/>
        <v>229</v>
      </c>
      <c r="K68" s="164">
        <f t="shared" si="23"/>
        <v>223</v>
      </c>
      <c r="L68" s="221">
        <f t="shared" si="16"/>
        <v>0.7311475409836066</v>
      </c>
      <c r="M68" s="221">
        <f t="shared" si="17"/>
        <v>0.9737991266375546</v>
      </c>
      <c r="N68" s="164">
        <f>K68-'[5]Augusts'!K68</f>
        <v>29</v>
      </c>
    </row>
    <row r="69" spans="1:14" ht="12.75">
      <c r="A69" s="240" t="s">
        <v>296</v>
      </c>
      <c r="B69" s="164">
        <v>43500</v>
      </c>
      <c r="C69" s="164">
        <v>43500</v>
      </c>
      <c r="D69" s="164">
        <f>8503.17+34589.81</f>
        <v>43092.979999999996</v>
      </c>
      <c r="E69" s="128">
        <f t="shared" si="0"/>
        <v>0.9906432183908045</v>
      </c>
      <c r="F69" s="128">
        <f t="shared" si="1"/>
        <v>0.9906432183908045</v>
      </c>
      <c r="G69" s="164">
        <f>D69-'[5]Augusts'!D69</f>
        <v>12286.979999999996</v>
      </c>
      <c r="H69" s="240" t="s">
        <v>296</v>
      </c>
      <c r="I69" s="164">
        <f t="shared" si="23"/>
        <v>44</v>
      </c>
      <c r="J69" s="164">
        <f>ROUND(C69/1000,0)-1</f>
        <v>43</v>
      </c>
      <c r="K69" s="164">
        <f t="shared" si="23"/>
        <v>43</v>
      </c>
      <c r="L69" s="221">
        <f t="shared" si="16"/>
        <v>0.9772727272727273</v>
      </c>
      <c r="M69" s="221">
        <f t="shared" si="17"/>
        <v>1</v>
      </c>
      <c r="N69" s="164">
        <f>K69-'[5]Augusts'!K69</f>
        <v>12</v>
      </c>
    </row>
    <row r="70" spans="1:14" ht="12.75">
      <c r="A70" s="28" t="s">
        <v>309</v>
      </c>
      <c r="B70" s="84">
        <f>SUM(B71:B72)</f>
        <v>6453639</v>
      </c>
      <c r="C70" s="84">
        <f>SUM(C71:C72)</f>
        <v>4999822</v>
      </c>
      <c r="D70" s="84">
        <f>SUM(D71:D72)</f>
        <v>4911457.56</v>
      </c>
      <c r="E70" s="117">
        <f t="shared" si="0"/>
        <v>0.7610369219598431</v>
      </c>
      <c r="F70" s="117">
        <f t="shared" si="1"/>
        <v>0.9823264828227884</v>
      </c>
      <c r="G70" s="84">
        <f>SUM(G71:G72)</f>
        <v>484470.5599999999</v>
      </c>
      <c r="H70" s="28" t="s">
        <v>309</v>
      </c>
      <c r="I70" s="180">
        <f>SUM(I71:I72)</f>
        <v>6453</v>
      </c>
      <c r="J70" s="180">
        <f>SUM(J71:J72)</f>
        <v>5000</v>
      </c>
      <c r="K70" s="180">
        <f>SUM(K71:K72)</f>
        <v>4911</v>
      </c>
      <c r="L70" s="220">
        <f t="shared" si="16"/>
        <v>0.7610413761041376</v>
      </c>
      <c r="M70" s="220">
        <f t="shared" si="17"/>
        <v>0.9822</v>
      </c>
      <c r="N70" s="180">
        <f>SUM(N71:N72)</f>
        <v>484</v>
      </c>
    </row>
    <row r="71" spans="1:14" ht="12.75">
      <c r="A71" s="240" t="s">
        <v>295</v>
      </c>
      <c r="B71" s="164">
        <v>5920337</v>
      </c>
      <c r="C71" s="164">
        <v>4551762</v>
      </c>
      <c r="D71" s="164">
        <f>4911457.56-136853.51-274662.67</f>
        <v>4499941.38</v>
      </c>
      <c r="E71" s="128">
        <f t="shared" si="0"/>
        <v>0.7600819649286856</v>
      </c>
      <c r="F71" s="128">
        <f t="shared" si="1"/>
        <v>0.9886152615185064</v>
      </c>
      <c r="G71" s="164">
        <f>D71-'[5]Augusts'!D71</f>
        <v>458740.3799999999</v>
      </c>
      <c r="H71" s="240" t="s">
        <v>295</v>
      </c>
      <c r="I71" s="164">
        <f aca="true" t="shared" si="24" ref="I71:K72">ROUND(B71/1000,0)</f>
        <v>5920</v>
      </c>
      <c r="J71" s="164">
        <f t="shared" si="24"/>
        <v>4552</v>
      </c>
      <c r="K71" s="164">
        <f t="shared" si="24"/>
        <v>4500</v>
      </c>
      <c r="L71" s="221">
        <f t="shared" si="16"/>
        <v>0.7601351351351351</v>
      </c>
      <c r="M71" s="221">
        <f t="shared" si="17"/>
        <v>0.9885764499121266</v>
      </c>
      <c r="N71" s="164">
        <f>K71-'[5]Augusts'!K71</f>
        <v>459</v>
      </c>
    </row>
    <row r="72" spans="1:14" ht="12.75">
      <c r="A72" s="240" t="s">
        <v>296</v>
      </c>
      <c r="B72" s="164">
        <v>533302</v>
      </c>
      <c r="C72" s="164">
        <v>448060</v>
      </c>
      <c r="D72" s="164">
        <f>136853.51+274662.67</f>
        <v>411516.18</v>
      </c>
      <c r="E72" s="128">
        <f t="shared" si="0"/>
        <v>0.7716381712425605</v>
      </c>
      <c r="F72" s="128">
        <f t="shared" si="1"/>
        <v>0.9184398964424407</v>
      </c>
      <c r="G72" s="164">
        <f>D72-'[5]Augusts'!D72</f>
        <v>25730.179999999993</v>
      </c>
      <c r="H72" s="240" t="s">
        <v>296</v>
      </c>
      <c r="I72" s="164">
        <f t="shared" si="24"/>
        <v>533</v>
      </c>
      <c r="J72" s="164">
        <f t="shared" si="24"/>
        <v>448</v>
      </c>
      <c r="K72" s="164">
        <f>ROUND(D72/1000,0)-1</f>
        <v>411</v>
      </c>
      <c r="L72" s="221">
        <f t="shared" si="16"/>
        <v>0.7711069418386491</v>
      </c>
      <c r="M72" s="221">
        <f t="shared" si="17"/>
        <v>0.9174107142857143</v>
      </c>
      <c r="N72" s="164">
        <f>K72-'[5]Augusts'!K72</f>
        <v>25</v>
      </c>
    </row>
    <row r="73" spans="1:14" ht="12.75" customHeight="1">
      <c r="A73" s="241" t="s">
        <v>310</v>
      </c>
      <c r="B73" s="84">
        <f>SUM(B74:B75)</f>
        <v>75545</v>
      </c>
      <c r="C73" s="84">
        <f>SUM(C74:C75)</f>
        <v>58210</v>
      </c>
      <c r="D73" s="84">
        <f>SUM(D74:D75)</f>
        <v>54675.66</v>
      </c>
      <c r="E73" s="117">
        <f aca="true" t="shared" si="25" ref="E73:E95">IF(ISERROR(D73/B73)," ",(D73/B73))</f>
        <v>0.7237495532464094</v>
      </c>
      <c r="F73" s="117">
        <f aca="true" t="shared" si="26" ref="F73:F90">IF(ISERROR(D73/C73)," ",(D73/C73))</f>
        <v>0.9392829410754167</v>
      </c>
      <c r="G73" s="84">
        <f>SUM(G74:G75)</f>
        <v>4177.6600000000035</v>
      </c>
      <c r="H73" s="241" t="s">
        <v>310</v>
      </c>
      <c r="I73" s="180">
        <f>SUM(I74:I75)</f>
        <v>76</v>
      </c>
      <c r="J73" s="180">
        <f>SUM(J74:J75)</f>
        <v>59</v>
      </c>
      <c r="K73" s="180">
        <f>SUM(K74:K75)</f>
        <v>54</v>
      </c>
      <c r="L73" s="220">
        <f t="shared" si="16"/>
        <v>0.7105263157894737</v>
      </c>
      <c r="M73" s="220">
        <f t="shared" si="17"/>
        <v>0.9152542372881356</v>
      </c>
      <c r="N73" s="180">
        <f>SUM(N74:N75)</f>
        <v>4</v>
      </c>
    </row>
    <row r="74" spans="1:14" ht="12.75">
      <c r="A74" s="240" t="s">
        <v>295</v>
      </c>
      <c r="B74" s="164">
        <v>73045</v>
      </c>
      <c r="C74" s="164">
        <v>55710</v>
      </c>
      <c r="D74" s="164">
        <f>54675.62-2411.96</f>
        <v>52263.66</v>
      </c>
      <c r="E74" s="128">
        <f t="shared" si="25"/>
        <v>0.7154994866178384</v>
      </c>
      <c r="F74" s="128">
        <f t="shared" si="26"/>
        <v>0.9381378567582123</v>
      </c>
      <c r="G74" s="164">
        <f>D74-'[5]Augusts'!D74</f>
        <v>4177.6600000000035</v>
      </c>
      <c r="H74" s="240" t="s">
        <v>295</v>
      </c>
      <c r="I74" s="164">
        <f aca="true" t="shared" si="27" ref="I74:K75">ROUND(B74/1000,0)</f>
        <v>73</v>
      </c>
      <c r="J74" s="164">
        <f t="shared" si="27"/>
        <v>56</v>
      </c>
      <c r="K74" s="164">
        <f t="shared" si="27"/>
        <v>52</v>
      </c>
      <c r="L74" s="221">
        <f t="shared" si="16"/>
        <v>0.7123287671232876</v>
      </c>
      <c r="M74" s="221">
        <f t="shared" si="17"/>
        <v>0.9285714285714286</v>
      </c>
      <c r="N74" s="164">
        <f>K74-'[5]Augusts'!K74</f>
        <v>4</v>
      </c>
    </row>
    <row r="75" spans="1:14" ht="12.75">
      <c r="A75" s="240" t="s">
        <v>296</v>
      </c>
      <c r="B75" s="164">
        <v>2500</v>
      </c>
      <c r="C75" s="164">
        <v>2500</v>
      </c>
      <c r="D75" s="164">
        <v>2412</v>
      </c>
      <c r="E75" s="128">
        <f t="shared" si="25"/>
        <v>0.9648</v>
      </c>
      <c r="F75" s="128">
        <f t="shared" si="26"/>
        <v>0.9648</v>
      </c>
      <c r="G75" s="164">
        <f>D75-'[5]Augusts'!D75</f>
        <v>0</v>
      </c>
      <c r="H75" s="240" t="s">
        <v>296</v>
      </c>
      <c r="I75" s="164">
        <f t="shared" si="27"/>
        <v>3</v>
      </c>
      <c r="J75" s="164">
        <f t="shared" si="27"/>
        <v>3</v>
      </c>
      <c r="K75" s="164">
        <f t="shared" si="27"/>
        <v>2</v>
      </c>
      <c r="L75" s="221">
        <f t="shared" si="16"/>
        <v>0.6666666666666666</v>
      </c>
      <c r="M75" s="221">
        <f t="shared" si="17"/>
        <v>0.6666666666666666</v>
      </c>
      <c r="N75" s="164">
        <f>K75-'[5]Augusts'!K75</f>
        <v>0</v>
      </c>
    </row>
    <row r="76" spans="1:14" ht="13.5" customHeight="1">
      <c r="A76" s="177" t="s">
        <v>311</v>
      </c>
      <c r="B76" s="84">
        <f>SUM(B77)</f>
        <v>50953</v>
      </c>
      <c r="C76" s="84">
        <f>SUM(C77)</f>
        <v>38400</v>
      </c>
      <c r="D76" s="84">
        <f>SUM(D77)</f>
        <v>35579</v>
      </c>
      <c r="E76" s="117">
        <f t="shared" si="25"/>
        <v>0.6982709555865209</v>
      </c>
      <c r="F76" s="117">
        <f t="shared" si="26"/>
        <v>0.9265364583333333</v>
      </c>
      <c r="G76" s="84">
        <f>SUM(G77)</f>
        <v>4466</v>
      </c>
      <c r="H76" s="177" t="s">
        <v>311</v>
      </c>
      <c r="I76" s="180">
        <f>SUM(I77)</f>
        <v>51</v>
      </c>
      <c r="J76" s="180">
        <f>SUM(J77)</f>
        <v>38</v>
      </c>
      <c r="K76" s="180">
        <f>SUM(K77)</f>
        <v>36</v>
      </c>
      <c r="L76" s="220">
        <f t="shared" si="16"/>
        <v>0.7058823529411765</v>
      </c>
      <c r="M76" s="220">
        <f t="shared" si="17"/>
        <v>0.9473684210526315</v>
      </c>
      <c r="N76" s="180">
        <f>SUM(N77)</f>
        <v>5</v>
      </c>
    </row>
    <row r="77" spans="1:14" ht="12.75">
      <c r="A77" s="240" t="s">
        <v>295</v>
      </c>
      <c r="B77" s="164">
        <v>50953</v>
      </c>
      <c r="C77" s="164">
        <v>38400</v>
      </c>
      <c r="D77" s="164">
        <v>35579</v>
      </c>
      <c r="E77" s="128">
        <f t="shared" si="25"/>
        <v>0.6982709555865209</v>
      </c>
      <c r="F77" s="128">
        <f t="shared" si="26"/>
        <v>0.9265364583333333</v>
      </c>
      <c r="G77" s="164">
        <f>D77-'[5]Augusts'!D77</f>
        <v>4466</v>
      </c>
      <c r="H77" s="240" t="s">
        <v>295</v>
      </c>
      <c r="I77" s="164">
        <f>ROUND(B77/1000,0)</f>
        <v>51</v>
      </c>
      <c r="J77" s="164">
        <f>ROUND(C77/1000,0)</f>
        <v>38</v>
      </c>
      <c r="K77" s="164">
        <f>ROUND(D77/1000,0)</f>
        <v>36</v>
      </c>
      <c r="L77" s="221">
        <f t="shared" si="16"/>
        <v>0.7058823529411765</v>
      </c>
      <c r="M77" s="221">
        <f t="shared" si="17"/>
        <v>0.9473684210526315</v>
      </c>
      <c r="N77" s="164">
        <f>K77-'[5]Augusts'!K77</f>
        <v>5</v>
      </c>
    </row>
    <row r="78" spans="1:14" ht="27" customHeight="1">
      <c r="A78" s="177" t="s">
        <v>312</v>
      </c>
      <c r="B78" s="84">
        <f>SUM(B79)</f>
        <v>781672</v>
      </c>
      <c r="C78" s="84">
        <f>SUM(C79)</f>
        <v>589940</v>
      </c>
      <c r="D78" s="84">
        <f>SUM(D79)</f>
        <v>589940</v>
      </c>
      <c r="E78" s="117">
        <f t="shared" si="25"/>
        <v>0.7547155328577716</v>
      </c>
      <c r="F78" s="117">
        <f t="shared" si="26"/>
        <v>1</v>
      </c>
      <c r="G78" s="84">
        <f>SUM(G79)</f>
        <v>68796</v>
      </c>
      <c r="H78" s="177" t="s">
        <v>312</v>
      </c>
      <c r="I78" s="180">
        <f>SUM(I79)</f>
        <v>782</v>
      </c>
      <c r="J78" s="180">
        <f>SUM(J79)</f>
        <v>590</v>
      </c>
      <c r="K78" s="180">
        <f>SUM(K79)</f>
        <v>590</v>
      </c>
      <c r="L78" s="220">
        <f t="shared" si="16"/>
        <v>0.7544757033248082</v>
      </c>
      <c r="M78" s="220">
        <f t="shared" si="17"/>
        <v>1</v>
      </c>
      <c r="N78" s="180">
        <f>SUM(N79)</f>
        <v>69</v>
      </c>
    </row>
    <row r="79" spans="1:14" ht="12.75">
      <c r="A79" s="240" t="s">
        <v>295</v>
      </c>
      <c r="B79" s="164">
        <v>781672</v>
      </c>
      <c r="C79" s="164">
        <v>589940</v>
      </c>
      <c r="D79" s="164">
        <v>589940</v>
      </c>
      <c r="E79" s="128">
        <f t="shared" si="25"/>
        <v>0.7547155328577716</v>
      </c>
      <c r="F79" s="128">
        <f t="shared" si="26"/>
        <v>1</v>
      </c>
      <c r="G79" s="164">
        <f>D79-'[5]Augusts'!D79</f>
        <v>68796</v>
      </c>
      <c r="H79" s="240" t="s">
        <v>295</v>
      </c>
      <c r="I79" s="164">
        <f>ROUND(B79/1000,0)</f>
        <v>782</v>
      </c>
      <c r="J79" s="164">
        <f>ROUND(C79/1000,0)</f>
        <v>590</v>
      </c>
      <c r="K79" s="164">
        <f>ROUND(D79/1000,0)</f>
        <v>590</v>
      </c>
      <c r="L79" s="221">
        <f t="shared" si="16"/>
        <v>0.7544757033248082</v>
      </c>
      <c r="M79" s="221">
        <f t="shared" si="17"/>
        <v>1</v>
      </c>
      <c r="N79" s="164">
        <f>K79-'[5]Augusts'!K79</f>
        <v>69</v>
      </c>
    </row>
    <row r="80" spans="1:14" ht="12.75">
      <c r="A80" s="28" t="s">
        <v>251</v>
      </c>
      <c r="B80" s="84">
        <f>SUM(B81:B82)</f>
        <v>6486604</v>
      </c>
      <c r="C80" s="84">
        <f>SUM(C81:C82)</f>
        <v>4871648</v>
      </c>
      <c r="D80" s="84">
        <f>SUM(D81:D82)</f>
        <v>4868609.18</v>
      </c>
      <c r="E80" s="117">
        <f t="shared" si="25"/>
        <v>0.7505636508718583</v>
      </c>
      <c r="F80" s="117">
        <f t="shared" si="26"/>
        <v>0.9993762234053034</v>
      </c>
      <c r="G80" s="84">
        <f>SUM(G81:G82)</f>
        <v>546640.1799999997</v>
      </c>
      <c r="H80" s="28" t="s">
        <v>251</v>
      </c>
      <c r="I80" s="180">
        <f>SUM(I81:I82)</f>
        <v>6486</v>
      </c>
      <c r="J80" s="180">
        <f>SUM(J81:J82)</f>
        <v>4872</v>
      </c>
      <c r="K80" s="180">
        <f>SUM(K81:K82)</f>
        <v>4868</v>
      </c>
      <c r="L80" s="220">
        <f t="shared" si="16"/>
        <v>0.7505396238051187</v>
      </c>
      <c r="M80" s="220">
        <f t="shared" si="17"/>
        <v>0.9991789819376026</v>
      </c>
      <c r="N80" s="180">
        <f>SUM(N81:N82)</f>
        <v>546</v>
      </c>
    </row>
    <row r="81" spans="1:14" ht="12.75">
      <c r="A81" s="240" t="s">
        <v>295</v>
      </c>
      <c r="B81" s="164">
        <v>6481104</v>
      </c>
      <c r="C81" s="164">
        <v>4866148</v>
      </c>
      <c r="D81" s="164">
        <f>4868609.18-4338</f>
        <v>4864271.18</v>
      </c>
      <c r="E81" s="128">
        <f t="shared" si="25"/>
        <v>0.7505312644265545</v>
      </c>
      <c r="F81" s="128">
        <f t="shared" si="26"/>
        <v>0.9996143109498519</v>
      </c>
      <c r="G81" s="164">
        <f>D81-'[5]Augusts'!D81</f>
        <v>546640.1799999997</v>
      </c>
      <c r="H81" s="240" t="s">
        <v>295</v>
      </c>
      <c r="I81" s="164">
        <f aca="true" t="shared" si="28" ref="I81:K82">ROUND(B81/1000,0)</f>
        <v>6481</v>
      </c>
      <c r="J81" s="164">
        <f t="shared" si="28"/>
        <v>4866</v>
      </c>
      <c r="K81" s="164">
        <f t="shared" si="28"/>
        <v>4864</v>
      </c>
      <c r="L81" s="221">
        <f t="shared" si="16"/>
        <v>0.7505014658231755</v>
      </c>
      <c r="M81" s="221">
        <f t="shared" si="17"/>
        <v>0.9995889847924373</v>
      </c>
      <c r="N81" s="164">
        <f>K81-'[5]Augusts'!K81</f>
        <v>546</v>
      </c>
    </row>
    <row r="82" spans="1:14" ht="12.75">
      <c r="A82" s="240" t="s">
        <v>296</v>
      </c>
      <c r="B82" s="164">
        <v>5500</v>
      </c>
      <c r="C82" s="164">
        <v>5500</v>
      </c>
      <c r="D82" s="164">
        <v>4338</v>
      </c>
      <c r="E82" s="128">
        <f t="shared" si="25"/>
        <v>0.7887272727272727</v>
      </c>
      <c r="F82" s="128">
        <f t="shared" si="26"/>
        <v>0.7887272727272727</v>
      </c>
      <c r="G82" s="164">
        <f>D82-'[5]Augusts'!D82</f>
        <v>0</v>
      </c>
      <c r="H82" s="240" t="s">
        <v>296</v>
      </c>
      <c r="I82" s="164">
        <f>ROUND(B82/1000,0)-1</f>
        <v>5</v>
      </c>
      <c r="J82" s="164">
        <f t="shared" si="28"/>
        <v>6</v>
      </c>
      <c r="K82" s="164">
        <f t="shared" si="28"/>
        <v>4</v>
      </c>
      <c r="L82" s="221">
        <f t="shared" si="16"/>
        <v>0.8</v>
      </c>
      <c r="M82" s="221">
        <f t="shared" si="17"/>
        <v>0.6666666666666666</v>
      </c>
      <c r="N82" s="164">
        <f>K82-'[5]Augusts'!K82</f>
        <v>0</v>
      </c>
    </row>
    <row r="83" spans="1:14" ht="13.5" customHeight="1">
      <c r="A83" s="177" t="s">
        <v>313</v>
      </c>
      <c r="B83" s="84">
        <f>SUM(B84)</f>
        <v>97907</v>
      </c>
      <c r="C83" s="84">
        <f>SUM(C84)</f>
        <v>65888</v>
      </c>
      <c r="D83" s="84">
        <f>SUM(D84)</f>
        <v>65888</v>
      </c>
      <c r="E83" s="117">
        <f t="shared" si="25"/>
        <v>0.6729651608158763</v>
      </c>
      <c r="F83" s="117">
        <f t="shared" si="26"/>
        <v>1</v>
      </c>
      <c r="G83" s="84">
        <f>SUM(G84)</f>
        <v>8331</v>
      </c>
      <c r="H83" s="177" t="s">
        <v>313</v>
      </c>
      <c r="I83" s="180">
        <f>SUM(I84)</f>
        <v>98</v>
      </c>
      <c r="J83" s="180">
        <f>SUM(J84)</f>
        <v>66</v>
      </c>
      <c r="K83" s="180">
        <f>SUM(K84)</f>
        <v>66</v>
      </c>
      <c r="L83" s="220">
        <f t="shared" si="16"/>
        <v>0.673469387755102</v>
      </c>
      <c r="M83" s="220">
        <f t="shared" si="17"/>
        <v>1</v>
      </c>
      <c r="N83" s="180">
        <f>SUM(N84)</f>
        <v>9</v>
      </c>
    </row>
    <row r="84" spans="1:14" ht="12.75">
      <c r="A84" s="240" t="s">
        <v>295</v>
      </c>
      <c r="B84" s="164">
        <v>97907</v>
      </c>
      <c r="C84" s="164">
        <v>65888</v>
      </c>
      <c r="D84" s="164">
        <v>65888</v>
      </c>
      <c r="E84" s="128">
        <f t="shared" si="25"/>
        <v>0.6729651608158763</v>
      </c>
      <c r="F84" s="128">
        <f t="shared" si="26"/>
        <v>1</v>
      </c>
      <c r="G84" s="164">
        <f>D84-'[5]Augusts'!D84</f>
        <v>8331</v>
      </c>
      <c r="H84" s="240" t="s">
        <v>295</v>
      </c>
      <c r="I84" s="164">
        <f>ROUND(B84/1000,0)</f>
        <v>98</v>
      </c>
      <c r="J84" s="164">
        <f>ROUND(C84/1000,0)</f>
        <v>66</v>
      </c>
      <c r="K84" s="164">
        <f>ROUND(D84/1000,0)</f>
        <v>66</v>
      </c>
      <c r="L84" s="221">
        <f t="shared" si="16"/>
        <v>0.673469387755102</v>
      </c>
      <c r="M84" s="221">
        <f t="shared" si="17"/>
        <v>1</v>
      </c>
      <c r="N84" s="164">
        <f>K84-'[5]Augusts'!K84</f>
        <v>9</v>
      </c>
    </row>
    <row r="85" spans="1:14" ht="39.75" customHeight="1">
      <c r="A85" s="135" t="s">
        <v>314</v>
      </c>
      <c r="B85" s="84">
        <f>SUM(B86:B87)</f>
        <v>616209</v>
      </c>
      <c r="C85" s="84">
        <f>SUM(C86:C87)</f>
        <v>437726</v>
      </c>
      <c r="D85" s="84">
        <f>SUM(D86:D87)</f>
        <v>418203.16</v>
      </c>
      <c r="E85" s="117">
        <f t="shared" si="25"/>
        <v>0.6786709704012761</v>
      </c>
      <c r="F85" s="117">
        <f t="shared" si="26"/>
        <v>0.9553994051073045</v>
      </c>
      <c r="G85" s="84">
        <f>SUM(G86:G87)</f>
        <v>60303.159999999974</v>
      </c>
      <c r="H85" s="135" t="s">
        <v>314</v>
      </c>
      <c r="I85" s="180">
        <f>SUM(I86:I87)</f>
        <v>616</v>
      </c>
      <c r="J85" s="180">
        <f>SUM(J86:J87)</f>
        <v>437</v>
      </c>
      <c r="K85" s="180">
        <f>SUM(K86:K87)</f>
        <v>419</v>
      </c>
      <c r="L85" s="220">
        <f t="shared" si="16"/>
        <v>0.6801948051948052</v>
      </c>
      <c r="M85" s="220">
        <f t="shared" si="17"/>
        <v>0.9588100686498856</v>
      </c>
      <c r="N85" s="180">
        <f>SUM(N86:N87)</f>
        <v>61</v>
      </c>
    </row>
    <row r="86" spans="1:14" ht="12.75">
      <c r="A86" s="240" t="s">
        <v>295</v>
      </c>
      <c r="B86" s="164">
        <v>607740</v>
      </c>
      <c r="C86" s="164">
        <v>429257</v>
      </c>
      <c r="D86" s="164">
        <f>418203.12-5648.96</f>
        <v>412554.16</v>
      </c>
      <c r="E86" s="117">
        <f t="shared" si="25"/>
        <v>0.6788333168789284</v>
      </c>
      <c r="F86" s="117">
        <f t="shared" si="26"/>
        <v>0.9610889513741184</v>
      </c>
      <c r="G86" s="164">
        <f>D86-'[5]Augusts'!D86</f>
        <v>60303.159999999974</v>
      </c>
      <c r="H86" s="240" t="s">
        <v>295</v>
      </c>
      <c r="I86" s="164">
        <f aca="true" t="shared" si="29" ref="I86:K87">ROUND(B86/1000,0)</f>
        <v>608</v>
      </c>
      <c r="J86" s="164">
        <f t="shared" si="29"/>
        <v>429</v>
      </c>
      <c r="K86" s="164">
        <f t="shared" si="29"/>
        <v>413</v>
      </c>
      <c r="L86" s="221">
        <f t="shared" si="16"/>
        <v>0.6792763157894737</v>
      </c>
      <c r="M86" s="221">
        <f t="shared" si="17"/>
        <v>0.9627039627039627</v>
      </c>
      <c r="N86" s="164">
        <f>K86-'[5]Augusts'!K86</f>
        <v>61</v>
      </c>
    </row>
    <row r="87" spans="1:14" ht="12.75">
      <c r="A87" s="240" t="s">
        <v>296</v>
      </c>
      <c r="B87" s="164">
        <v>8469</v>
      </c>
      <c r="C87" s="164">
        <v>8469</v>
      </c>
      <c r="D87" s="164">
        <v>5649</v>
      </c>
      <c r="E87" s="117">
        <f t="shared" si="25"/>
        <v>0.6670208997520368</v>
      </c>
      <c r="F87" s="117">
        <f t="shared" si="26"/>
        <v>0.6670208997520368</v>
      </c>
      <c r="G87" s="164">
        <f>D87-'[5]Augusts'!D87</f>
        <v>0</v>
      </c>
      <c r="H87" s="240" t="s">
        <v>296</v>
      </c>
      <c r="I87" s="164">
        <f t="shared" si="29"/>
        <v>8</v>
      </c>
      <c r="J87" s="164">
        <f t="shared" si="29"/>
        <v>8</v>
      </c>
      <c r="K87" s="164">
        <f t="shared" si="29"/>
        <v>6</v>
      </c>
      <c r="L87" s="221">
        <f t="shared" si="16"/>
        <v>0.75</v>
      </c>
      <c r="M87" s="221">
        <f t="shared" si="17"/>
        <v>0.75</v>
      </c>
      <c r="N87" s="164">
        <f>K87-'[5]Augusts'!K87</f>
        <v>0</v>
      </c>
    </row>
    <row r="88" spans="1:14" ht="51">
      <c r="A88" s="135" t="s">
        <v>315</v>
      </c>
      <c r="B88" s="84">
        <f>SUM(B89:B90)</f>
        <v>535443</v>
      </c>
      <c r="C88" s="84">
        <f>SUM(C89:C90)</f>
        <v>264200</v>
      </c>
      <c r="D88" s="84">
        <f>SUM(D89:D90)</f>
        <v>187352.13</v>
      </c>
      <c r="E88" s="117">
        <f t="shared" si="25"/>
        <v>0.3499011659504373</v>
      </c>
      <c r="F88" s="117">
        <f t="shared" si="26"/>
        <v>0.7091299394398184</v>
      </c>
      <c r="G88" s="84">
        <f>SUM(G89:G90)</f>
        <v>187352.13</v>
      </c>
      <c r="H88" s="135" t="s">
        <v>315</v>
      </c>
      <c r="I88" s="180">
        <f>SUM(I89:I90)</f>
        <v>536</v>
      </c>
      <c r="J88" s="180">
        <f>SUM(J89:J90)</f>
        <v>265</v>
      </c>
      <c r="K88" s="180">
        <f>SUM(K89:K90)</f>
        <v>187</v>
      </c>
      <c r="L88" s="220">
        <f t="shared" si="16"/>
        <v>0.34888059701492535</v>
      </c>
      <c r="M88" s="220">
        <f t="shared" si="17"/>
        <v>0.7056603773584905</v>
      </c>
      <c r="N88" s="180">
        <f>SUM(N89:N90)</f>
        <v>187</v>
      </c>
    </row>
    <row r="89" spans="1:14" ht="12.75">
      <c r="A89" s="240" t="s">
        <v>295</v>
      </c>
      <c r="B89" s="164">
        <v>501789</v>
      </c>
      <c r="C89" s="164">
        <v>239671</v>
      </c>
      <c r="D89" s="164">
        <f>187351.69-9356.56</f>
        <v>177995.13</v>
      </c>
      <c r="E89" s="117">
        <f t="shared" si="25"/>
        <v>0.35472106801862935</v>
      </c>
      <c r="F89" s="117">
        <f t="shared" si="26"/>
        <v>0.7426644441755573</v>
      </c>
      <c r="G89" s="164">
        <f>D89-'[5]Augusts'!D89</f>
        <v>177995.13</v>
      </c>
      <c r="H89" s="240" t="s">
        <v>295</v>
      </c>
      <c r="I89" s="164">
        <f aca="true" t="shared" si="30" ref="I89:K90">ROUND(B89/1000,0)</f>
        <v>502</v>
      </c>
      <c r="J89" s="164">
        <f t="shared" si="30"/>
        <v>240</v>
      </c>
      <c r="K89" s="164">
        <f t="shared" si="30"/>
        <v>178</v>
      </c>
      <c r="L89" s="221">
        <f t="shared" si="16"/>
        <v>0.3545816733067729</v>
      </c>
      <c r="M89" s="221">
        <f t="shared" si="17"/>
        <v>0.7416666666666667</v>
      </c>
      <c r="N89" s="164">
        <f>K89-'[5]Augusts'!K89</f>
        <v>178</v>
      </c>
    </row>
    <row r="90" spans="1:14" ht="12.75">
      <c r="A90" s="240" t="s">
        <v>296</v>
      </c>
      <c r="B90" s="164">
        <v>33654</v>
      </c>
      <c r="C90" s="164">
        <v>24529</v>
      </c>
      <c r="D90" s="164">
        <v>9357</v>
      </c>
      <c r="E90" s="117">
        <f t="shared" si="25"/>
        <v>0.27803530041005525</v>
      </c>
      <c r="F90" s="117">
        <f t="shared" si="26"/>
        <v>0.38146683517469115</v>
      </c>
      <c r="G90" s="164">
        <f>D90-'[5]Augusts'!D90</f>
        <v>9357</v>
      </c>
      <c r="H90" s="240" t="s">
        <v>296</v>
      </c>
      <c r="I90" s="164">
        <f t="shared" si="30"/>
        <v>34</v>
      </c>
      <c r="J90" s="164">
        <f t="shared" si="30"/>
        <v>25</v>
      </c>
      <c r="K90" s="164">
        <f t="shared" si="30"/>
        <v>9</v>
      </c>
      <c r="L90" s="221">
        <f t="shared" si="16"/>
        <v>0.2647058823529412</v>
      </c>
      <c r="M90" s="221">
        <f t="shared" si="17"/>
        <v>0.36</v>
      </c>
      <c r="N90" s="164">
        <f>K90-'[5]Augusts'!K90</f>
        <v>9</v>
      </c>
    </row>
    <row r="91" spans="1:14" ht="12.75" customHeight="1">
      <c r="A91" s="177" t="s">
        <v>316</v>
      </c>
      <c r="B91" s="84">
        <f>SUM(B92:B93)</f>
        <v>92888374</v>
      </c>
      <c r="C91" s="84">
        <f>SUM(C92:C93)</f>
        <v>69796235</v>
      </c>
      <c r="D91" s="84">
        <f>SUM(D92:D93)</f>
        <v>69686535</v>
      </c>
      <c r="E91" s="117">
        <f t="shared" si="25"/>
        <v>0.7502180520459967</v>
      </c>
      <c r="F91" s="117">
        <f>IF(ISERROR(D91/C91)," ",(D91/C91))</f>
        <v>0.998428281983978</v>
      </c>
      <c r="G91" s="84">
        <f>SUM(G92:G93)</f>
        <v>6605443</v>
      </c>
      <c r="H91" s="177" t="s">
        <v>316</v>
      </c>
      <c r="I91" s="180">
        <f>SUM(I92:I93)</f>
        <v>92888</v>
      </c>
      <c r="J91" s="180">
        <f>SUM(J92:J93)</f>
        <v>69796</v>
      </c>
      <c r="K91" s="180">
        <f>SUM(K92:K93)</f>
        <v>69687</v>
      </c>
      <c r="L91" s="220">
        <f t="shared" si="16"/>
        <v>0.7502260787184566</v>
      </c>
      <c r="M91" s="220">
        <f t="shared" si="17"/>
        <v>0.9984383059201101</v>
      </c>
      <c r="N91" s="180">
        <f>SUM(N92:N93)</f>
        <v>6606</v>
      </c>
    </row>
    <row r="92" spans="1:14" ht="12.75">
      <c r="A92" s="240" t="s">
        <v>295</v>
      </c>
      <c r="B92" s="164">
        <v>83765374</v>
      </c>
      <c r="C92" s="164">
        <v>62646235</v>
      </c>
      <c r="D92" s="164">
        <v>62536535</v>
      </c>
      <c r="E92" s="128">
        <f t="shared" si="25"/>
        <v>0.7465678479511116</v>
      </c>
      <c r="F92" s="128">
        <f>IF(ISERROR(D92/C92)," ",(D92/C92))</f>
        <v>0.99824889716038</v>
      </c>
      <c r="G92" s="164">
        <f>D92-'[5]Augusts'!D92</f>
        <v>5585443</v>
      </c>
      <c r="H92" s="240" t="s">
        <v>295</v>
      </c>
      <c r="I92" s="164">
        <f aca="true" t="shared" si="31" ref="I92:K93">ROUND(B92/1000,0)</f>
        <v>83765</v>
      </c>
      <c r="J92" s="164">
        <f t="shared" si="31"/>
        <v>62646</v>
      </c>
      <c r="K92" s="164">
        <f t="shared" si="31"/>
        <v>62537</v>
      </c>
      <c r="L92" s="221">
        <f t="shared" si="16"/>
        <v>0.7465767325255178</v>
      </c>
      <c r="M92" s="221">
        <f t="shared" si="17"/>
        <v>0.9982600644893529</v>
      </c>
      <c r="N92" s="164">
        <f>K92-'[5]Augusts'!K92</f>
        <v>5586</v>
      </c>
    </row>
    <row r="93" spans="1:14" ht="12.75">
      <c r="A93" s="240" t="s">
        <v>296</v>
      </c>
      <c r="B93" s="164">
        <v>9123000</v>
      </c>
      <c r="C93" s="164">
        <v>7150000</v>
      </c>
      <c r="D93" s="164">
        <v>7150000</v>
      </c>
      <c r="E93" s="128">
        <f t="shared" si="25"/>
        <v>0.7837334210237861</v>
      </c>
      <c r="F93" s="128">
        <f>IF(ISERROR(D93/C93)," ",(D93/C93))</f>
        <v>1</v>
      </c>
      <c r="G93" s="164">
        <f>D93-'[5]Augusts'!D93</f>
        <v>1020000</v>
      </c>
      <c r="H93" s="240" t="s">
        <v>296</v>
      </c>
      <c r="I93" s="164">
        <f t="shared" si="31"/>
        <v>9123</v>
      </c>
      <c r="J93" s="164">
        <f t="shared" si="31"/>
        <v>7150</v>
      </c>
      <c r="K93" s="164">
        <f t="shared" si="31"/>
        <v>7150</v>
      </c>
      <c r="L93" s="221">
        <f t="shared" si="16"/>
        <v>0.7837334210237861</v>
      </c>
      <c r="M93" s="221">
        <f t="shared" si="17"/>
        <v>1</v>
      </c>
      <c r="N93" s="164">
        <f>K93-'[5]Augusts'!K93</f>
        <v>1020</v>
      </c>
    </row>
    <row r="94" spans="1:14" ht="12.75" customHeight="1">
      <c r="A94" s="177" t="s">
        <v>317</v>
      </c>
      <c r="B94" s="84">
        <f>SUM(B95)</f>
        <v>6273010</v>
      </c>
      <c r="C94" s="84">
        <f>SUM(C95)</f>
        <v>4627258</v>
      </c>
      <c r="D94" s="84">
        <f>SUM(D95)</f>
        <v>4577258</v>
      </c>
      <c r="E94" s="117">
        <f t="shared" si="25"/>
        <v>0.7296749088555574</v>
      </c>
      <c r="F94" s="117">
        <f>IF(ISERROR(D94/C94)," ",(D94/C94))</f>
        <v>0.9891944646267833</v>
      </c>
      <c r="G94" s="84">
        <f>SUM(G95)</f>
        <v>508584</v>
      </c>
      <c r="H94" s="177" t="s">
        <v>317</v>
      </c>
      <c r="I94" s="180">
        <f>SUM(I95)</f>
        <v>6273</v>
      </c>
      <c r="J94" s="180">
        <f>SUM(J95)</f>
        <v>4627</v>
      </c>
      <c r="K94" s="180">
        <f>SUM(K95)</f>
        <v>4577</v>
      </c>
      <c r="L94" s="220">
        <f t="shared" si="16"/>
        <v>0.7296349434082576</v>
      </c>
      <c r="M94" s="220">
        <f t="shared" si="17"/>
        <v>0.9891938621136805</v>
      </c>
      <c r="N94" s="180">
        <f>SUM(N95)</f>
        <v>508</v>
      </c>
    </row>
    <row r="95" spans="1:14" ht="12.75">
      <c r="A95" s="98" t="s">
        <v>295</v>
      </c>
      <c r="B95" s="164">
        <v>6273010</v>
      </c>
      <c r="C95" s="164">
        <v>4627258</v>
      </c>
      <c r="D95" s="164">
        <v>4577258</v>
      </c>
      <c r="E95" s="128">
        <f t="shared" si="25"/>
        <v>0.7296749088555574</v>
      </c>
      <c r="F95" s="128">
        <f>IF(ISERROR(D95/C95)," ",(D95/C95))</f>
        <v>0.9891944646267833</v>
      </c>
      <c r="G95" s="164">
        <f>D95-'[5]Augusts'!D95</f>
        <v>508584</v>
      </c>
      <c r="H95" s="98" t="s">
        <v>295</v>
      </c>
      <c r="I95" s="164">
        <f>ROUND(B95/1000,0)</f>
        <v>6273</v>
      </c>
      <c r="J95" s="164">
        <f>ROUND(C95/1000,0)</f>
        <v>4627</v>
      </c>
      <c r="K95" s="164">
        <f>ROUND(D95/1000,0)</f>
        <v>4577</v>
      </c>
      <c r="L95" s="221">
        <f t="shared" si="16"/>
        <v>0.7296349434082576</v>
      </c>
      <c r="M95" s="221">
        <f t="shared" si="17"/>
        <v>0.9891938621136805</v>
      </c>
      <c r="N95" s="164">
        <f>K95-'[5]Augusts'!K95</f>
        <v>508</v>
      </c>
    </row>
    <row r="96" spans="1:14" ht="12.75">
      <c r="A96" s="181"/>
      <c r="B96" s="242"/>
      <c r="C96" s="242"/>
      <c r="D96" s="242"/>
      <c r="E96" s="243"/>
      <c r="F96" s="243"/>
      <c r="G96" s="8"/>
      <c r="H96" s="181"/>
      <c r="I96" s="242"/>
      <c r="J96" s="242"/>
      <c r="K96" s="242"/>
      <c r="L96" s="243"/>
      <c r="M96" s="243"/>
      <c r="N96" s="8"/>
    </row>
    <row r="97" spans="1:14" ht="14.25">
      <c r="A97" s="244"/>
      <c r="B97" s="183"/>
      <c r="C97" s="183"/>
      <c r="D97" s="183"/>
      <c r="E97" s="245"/>
      <c r="F97" s="246"/>
      <c r="G97" s="8"/>
      <c r="H97" s="244"/>
      <c r="I97" s="183"/>
      <c r="J97" s="183"/>
      <c r="K97" s="183"/>
      <c r="L97" s="245"/>
      <c r="M97" s="246"/>
      <c r="N97" s="8"/>
    </row>
    <row r="98" spans="1:14" ht="12.75">
      <c r="A98" s="217" t="s">
        <v>318</v>
      </c>
      <c r="B98" s="247"/>
      <c r="C98" s="149"/>
      <c r="D98" s="191"/>
      <c r="E98" s="191"/>
      <c r="F98" s="248"/>
      <c r="G98" s="8"/>
      <c r="H98" s="217" t="s">
        <v>318</v>
      </c>
      <c r="I98" s="247"/>
      <c r="J98" s="149"/>
      <c r="K98" s="191"/>
      <c r="L98" s="191"/>
      <c r="M98" s="248"/>
      <c r="N98" s="8"/>
    </row>
    <row r="99" spans="1:14" ht="12.75">
      <c r="A99" s="12"/>
      <c r="B99" s="69"/>
      <c r="C99" s="103" t="s">
        <v>319</v>
      </c>
      <c r="D99" s="235"/>
      <c r="E99" s="249"/>
      <c r="F99" s="236"/>
      <c r="G99" s="8"/>
      <c r="H99" s="12"/>
      <c r="I99" s="69"/>
      <c r="J99" s="103"/>
      <c r="K99" s="235"/>
      <c r="L99" s="249"/>
      <c r="M99" s="236"/>
      <c r="N99" s="8"/>
    </row>
    <row r="100" spans="1:14" ht="12.75">
      <c r="A100" s="8"/>
      <c r="B100" s="73"/>
      <c r="C100" s="103"/>
      <c r="D100" s="103"/>
      <c r="E100" s="250"/>
      <c r="F100" s="234"/>
      <c r="G100" s="8"/>
      <c r="H100" s="8"/>
      <c r="I100" s="73"/>
      <c r="J100" s="103"/>
      <c r="K100" s="103"/>
      <c r="L100" s="250"/>
      <c r="M100" s="234"/>
      <c r="N100" s="8"/>
    </row>
    <row r="101" spans="1:14" ht="12.75">
      <c r="A101" s="8" t="s">
        <v>144</v>
      </c>
      <c r="B101" s="73"/>
      <c r="C101" s="103"/>
      <c r="D101" s="103"/>
      <c r="E101" s="250"/>
      <c r="F101" s="234"/>
      <c r="G101" s="8"/>
      <c r="H101" s="8" t="s">
        <v>144</v>
      </c>
      <c r="I101" s="73"/>
      <c r="J101" s="103"/>
      <c r="K101" s="103"/>
      <c r="L101" s="250"/>
      <c r="M101" s="234"/>
      <c r="N101" s="8"/>
    </row>
    <row r="102" spans="1:14" ht="12.75">
      <c r="A102" s="8" t="s">
        <v>95</v>
      </c>
      <c r="B102" s="69"/>
      <c r="C102" s="103"/>
      <c r="D102" s="235"/>
      <c r="E102" s="249"/>
      <c r="F102" s="236"/>
      <c r="G102" s="8"/>
      <c r="H102" s="8" t="s">
        <v>95</v>
      </c>
      <c r="I102" s="69"/>
      <c r="J102" s="103"/>
      <c r="K102" s="235"/>
      <c r="L102" s="249"/>
      <c r="M102" s="236"/>
      <c r="N102" s="8"/>
    </row>
    <row r="104" spans="1:14" ht="12.75">
      <c r="A104" s="8"/>
      <c r="B104" s="12"/>
      <c r="C104" s="235"/>
      <c r="D104" s="235"/>
      <c r="E104" s="12"/>
      <c r="F104" s="12"/>
      <c r="G104" s="8"/>
      <c r="H104" s="8"/>
      <c r="I104" s="12"/>
      <c r="J104" s="235"/>
      <c r="K104" s="235"/>
      <c r="L104" s="12"/>
      <c r="M104" s="12"/>
      <c r="N104" s="8"/>
    </row>
    <row r="105" spans="7:14" ht="12.75">
      <c r="G105" s="8"/>
      <c r="N105" s="8"/>
    </row>
    <row r="106" spans="7:14" ht="12.75">
      <c r="G106" s="8"/>
      <c r="H106" s="8"/>
      <c r="I106" s="8"/>
      <c r="J106" s="8"/>
      <c r="K106" s="8"/>
      <c r="L106" s="8"/>
      <c r="M106" s="8"/>
      <c r="N106" s="8"/>
    </row>
    <row r="107" spans="7:14" ht="12.75">
      <c r="G107" s="8"/>
      <c r="H107" s="8"/>
      <c r="I107" s="8"/>
      <c r="J107" s="8"/>
      <c r="K107" s="8"/>
      <c r="L107" s="8"/>
      <c r="M107" s="8"/>
      <c r="N107" s="8"/>
    </row>
    <row r="108" spans="7:14" ht="12.75">
      <c r="G108" s="8"/>
      <c r="H108" s="8"/>
      <c r="I108" s="8"/>
      <c r="J108" s="8"/>
      <c r="K108" s="8"/>
      <c r="L108" s="8"/>
      <c r="M108" s="8"/>
      <c r="N108" s="8"/>
    </row>
    <row r="109" spans="7:14" ht="12.75">
      <c r="G109" s="8"/>
      <c r="H109" s="8"/>
      <c r="I109" s="8"/>
      <c r="J109" s="8"/>
      <c r="K109" s="8"/>
      <c r="L109" s="8"/>
      <c r="M109" s="8"/>
      <c r="N109" s="8"/>
    </row>
    <row r="110" spans="7:14" ht="12.75">
      <c r="G110" s="8"/>
      <c r="H110" s="8"/>
      <c r="I110" s="8"/>
      <c r="J110" s="8"/>
      <c r="K110" s="8"/>
      <c r="L110" s="8"/>
      <c r="M110" s="8"/>
      <c r="N110" s="8"/>
    </row>
    <row r="111" spans="7:14" ht="12.75">
      <c r="G111" s="8"/>
      <c r="H111" s="8"/>
      <c r="I111" s="8"/>
      <c r="J111" s="8"/>
      <c r="K111" s="8"/>
      <c r="L111" s="8"/>
      <c r="M111" s="8"/>
      <c r="N111" s="8"/>
    </row>
    <row r="112" spans="7:14" ht="12.75"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8"/>
      <c r="B113" s="12"/>
      <c r="C113" s="235"/>
      <c r="D113" s="235"/>
      <c r="E113" s="12"/>
      <c r="F113" s="12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12"/>
      <c r="C114" s="235"/>
      <c r="D114" s="235"/>
      <c r="E114" s="12"/>
      <c r="F114" s="12"/>
      <c r="G114" s="8"/>
      <c r="H114" s="8"/>
      <c r="I114" s="8"/>
      <c r="J114" s="8"/>
      <c r="K114" s="8"/>
      <c r="L114" s="8"/>
      <c r="M114" s="8"/>
      <c r="N114" s="8"/>
    </row>
    <row r="115" spans="7:14" ht="12.75">
      <c r="G115" s="8"/>
      <c r="H115" s="8"/>
      <c r="I115" s="8"/>
      <c r="J115" s="8"/>
      <c r="K115" s="8"/>
      <c r="L115" s="8"/>
      <c r="M115" s="8"/>
      <c r="N115" s="8"/>
    </row>
    <row r="116" spans="7:14" ht="12.75">
      <c r="G116" s="8"/>
      <c r="H116" s="8"/>
      <c r="I116" s="8"/>
      <c r="J116" s="8"/>
      <c r="K116" s="8"/>
      <c r="L116" s="8"/>
      <c r="M116" s="8"/>
      <c r="N116" s="8"/>
    </row>
    <row r="117" spans="7:14" ht="12.75">
      <c r="G117" s="8"/>
      <c r="H117" s="8"/>
      <c r="I117" s="8"/>
      <c r="J117" s="8"/>
      <c r="K117" s="8"/>
      <c r="L117" s="8"/>
      <c r="M117" s="8"/>
      <c r="N117" s="8"/>
    </row>
    <row r="118" spans="7:14" ht="12.75">
      <c r="G118" s="8"/>
      <c r="H118" s="8"/>
      <c r="I118" s="8"/>
      <c r="J118" s="8"/>
      <c r="K118" s="8"/>
      <c r="L118" s="8"/>
      <c r="M118" s="8"/>
      <c r="N118" s="8"/>
    </row>
    <row r="119" spans="7:14" ht="12.75">
      <c r="G119" s="8"/>
      <c r="H119" s="8"/>
      <c r="I119" s="8"/>
      <c r="J119" s="8"/>
      <c r="K119" s="8"/>
      <c r="L119" s="8"/>
      <c r="M119" s="8"/>
      <c r="N119" s="8"/>
    </row>
    <row r="120" spans="7:14" ht="12.75">
      <c r="G120" s="8"/>
      <c r="H120" s="8"/>
      <c r="I120" s="8"/>
      <c r="J120" s="8"/>
      <c r="K120" s="8"/>
      <c r="L120" s="8"/>
      <c r="M120" s="8"/>
      <c r="N120" s="8"/>
    </row>
    <row r="121" spans="7:14" ht="12.75">
      <c r="G121" s="8"/>
      <c r="H121" s="8"/>
      <c r="I121" s="8"/>
      <c r="J121" s="8"/>
      <c r="K121" s="8"/>
      <c r="L121" s="8"/>
      <c r="M121" s="8"/>
      <c r="N121" s="8"/>
    </row>
    <row r="122" spans="7:14" ht="12.75">
      <c r="G122" s="8"/>
      <c r="H122" s="8"/>
      <c r="I122" s="8"/>
      <c r="J122" s="8"/>
      <c r="K122" s="8"/>
      <c r="L122" s="8"/>
      <c r="M122" s="8"/>
      <c r="N122" s="8"/>
    </row>
    <row r="123" spans="7:14" ht="12.75">
      <c r="G123" s="8"/>
      <c r="H123" s="8"/>
      <c r="I123" s="8"/>
      <c r="J123" s="8"/>
      <c r="K123" s="8"/>
      <c r="L123" s="8"/>
      <c r="M123" s="8"/>
      <c r="N123" s="8"/>
    </row>
    <row r="124" spans="7:14" ht="12.75">
      <c r="G124" s="8"/>
      <c r="H124" s="8"/>
      <c r="I124" s="8"/>
      <c r="J124" s="8"/>
      <c r="K124" s="8"/>
      <c r="L124" s="8"/>
      <c r="M124" s="8"/>
      <c r="N124" s="8"/>
    </row>
    <row r="125" spans="7:14" ht="12.75">
      <c r="G125" s="8"/>
      <c r="H125" s="8"/>
      <c r="I125" s="8"/>
      <c r="J125" s="8"/>
      <c r="K125" s="8"/>
      <c r="L125" s="8"/>
      <c r="M125" s="8"/>
      <c r="N125" s="8"/>
    </row>
    <row r="126" spans="7:14" ht="12.75">
      <c r="G126" s="8"/>
      <c r="H126" s="8"/>
      <c r="I126" s="8"/>
      <c r="J126" s="8"/>
      <c r="K126" s="8"/>
      <c r="L126" s="8"/>
      <c r="M126" s="8"/>
      <c r="N126" s="8"/>
    </row>
    <row r="127" spans="7:14" ht="12.75">
      <c r="G127" s="8"/>
      <c r="H127" s="8"/>
      <c r="I127" s="8"/>
      <c r="J127" s="8"/>
      <c r="K127" s="8"/>
      <c r="L127" s="8"/>
      <c r="M127" s="8"/>
      <c r="N127" s="8"/>
    </row>
    <row r="128" spans="7:14" ht="12.75">
      <c r="G128" s="8"/>
      <c r="H128" s="8"/>
      <c r="I128" s="8"/>
      <c r="J128" s="8"/>
      <c r="K128" s="8"/>
      <c r="L128" s="8"/>
      <c r="M128" s="8"/>
      <c r="N128" s="8"/>
    </row>
    <row r="129" spans="7:14" ht="12.75">
      <c r="G129" s="8"/>
      <c r="H129" s="8"/>
      <c r="I129" s="8"/>
      <c r="J129" s="8"/>
      <c r="K129" s="8"/>
      <c r="L129" s="8"/>
      <c r="M129" s="8"/>
      <c r="N129" s="8"/>
    </row>
    <row r="130" spans="7:14" ht="12.75">
      <c r="G130" s="8"/>
      <c r="H130" s="8"/>
      <c r="I130" s="8"/>
      <c r="J130" s="8"/>
      <c r="K130" s="8"/>
      <c r="L130" s="8"/>
      <c r="M130" s="8"/>
      <c r="N130" s="8"/>
    </row>
    <row r="131" spans="7:14" ht="12.75">
      <c r="G131" s="8"/>
      <c r="H131" s="8"/>
      <c r="I131" s="8"/>
      <c r="J131" s="8"/>
      <c r="K131" s="8"/>
      <c r="L131" s="8"/>
      <c r="M131" s="8"/>
      <c r="N131" s="8"/>
    </row>
    <row r="132" spans="7:14" ht="12.75">
      <c r="G132" s="8"/>
      <c r="H132" s="8"/>
      <c r="I132" s="8"/>
      <c r="J132" s="8"/>
      <c r="K132" s="8"/>
      <c r="L132" s="8"/>
      <c r="M132" s="8"/>
      <c r="N132" s="8"/>
    </row>
    <row r="133" spans="7:14" ht="12.75">
      <c r="G133" s="8"/>
      <c r="H133" s="8"/>
      <c r="I133" s="8"/>
      <c r="J133" s="8"/>
      <c r="K133" s="8"/>
      <c r="L133" s="8"/>
      <c r="M133" s="8"/>
      <c r="N133" s="8"/>
    </row>
    <row r="134" spans="7:14" ht="12.75">
      <c r="G134" s="8"/>
      <c r="H134" s="8"/>
      <c r="I134" s="8"/>
      <c r="J134" s="8"/>
      <c r="K134" s="8"/>
      <c r="L134" s="8"/>
      <c r="M134" s="8"/>
      <c r="N134" s="8"/>
    </row>
    <row r="135" spans="7:14" ht="12.75">
      <c r="G135" s="8"/>
      <c r="H135" s="8"/>
      <c r="I135" s="8"/>
      <c r="J135" s="8"/>
      <c r="K135" s="8"/>
      <c r="L135" s="8"/>
      <c r="M135" s="8"/>
      <c r="N135" s="8"/>
    </row>
    <row r="136" spans="7:14" ht="12.75">
      <c r="G136" s="8"/>
      <c r="H136" s="8"/>
      <c r="I136" s="8"/>
      <c r="J136" s="8"/>
      <c r="K136" s="8"/>
      <c r="L136" s="8"/>
      <c r="M136" s="8"/>
      <c r="N136" s="8"/>
    </row>
    <row r="137" spans="7:14" ht="12.75">
      <c r="G137" s="8"/>
      <c r="H137" s="8"/>
      <c r="I137" s="8"/>
      <c r="J137" s="8"/>
      <c r="K137" s="8"/>
      <c r="L137" s="8"/>
      <c r="M137" s="8"/>
      <c r="N137" s="8"/>
    </row>
    <row r="138" spans="7:14" ht="12.75">
      <c r="G138" s="8"/>
      <c r="H138" s="8"/>
      <c r="I138" s="8"/>
      <c r="J138" s="8"/>
      <c r="K138" s="8"/>
      <c r="L138" s="8"/>
      <c r="M138" s="8"/>
      <c r="N138" s="8"/>
    </row>
    <row r="139" spans="7:14" ht="12.75">
      <c r="G139" s="8"/>
      <c r="H139" s="8"/>
      <c r="I139" s="8"/>
      <c r="J139" s="8"/>
      <c r="K139" s="8"/>
      <c r="L139" s="8"/>
      <c r="M139" s="8"/>
      <c r="N139" s="8"/>
    </row>
    <row r="140" spans="7:14" ht="12.75">
      <c r="G140" s="8"/>
      <c r="H140" s="8"/>
      <c r="I140" s="8"/>
      <c r="J140" s="8"/>
      <c r="K140" s="8"/>
      <c r="L140" s="8"/>
      <c r="M140" s="8"/>
      <c r="N140" s="8"/>
    </row>
    <row r="141" spans="7:14" ht="12.75">
      <c r="G141" s="8"/>
      <c r="H141" s="8"/>
      <c r="I141" s="8"/>
      <c r="J141" s="8"/>
      <c r="K141" s="8"/>
      <c r="L141" s="8"/>
      <c r="M141" s="8"/>
      <c r="N141" s="8"/>
    </row>
    <row r="142" spans="7:14" ht="12.75">
      <c r="G142" s="8"/>
      <c r="H142" s="8"/>
      <c r="I142" s="8"/>
      <c r="J142" s="8"/>
      <c r="K142" s="8"/>
      <c r="L142" s="8"/>
      <c r="M142" s="8"/>
      <c r="N142" s="8"/>
    </row>
    <row r="143" spans="7:14" ht="12.75">
      <c r="G143" s="8"/>
      <c r="H143" s="8"/>
      <c r="I143" s="8"/>
      <c r="J143" s="8"/>
      <c r="K143" s="8"/>
      <c r="L143" s="8"/>
      <c r="M143" s="8"/>
      <c r="N143" s="8"/>
    </row>
    <row r="144" spans="7:14" ht="12.75">
      <c r="G144" s="8"/>
      <c r="H144" s="8"/>
      <c r="I144" s="8"/>
      <c r="J144" s="8"/>
      <c r="K144" s="8"/>
      <c r="L144" s="8"/>
      <c r="M144" s="8"/>
      <c r="N144" s="8"/>
    </row>
    <row r="145" spans="7:14" ht="12.75">
      <c r="G145" s="8"/>
      <c r="H145" s="8"/>
      <c r="I145" s="8"/>
      <c r="J145" s="8"/>
      <c r="K145" s="8"/>
      <c r="L145" s="8"/>
      <c r="M145" s="8"/>
      <c r="N145" s="8"/>
    </row>
    <row r="146" spans="7:14" ht="12.75">
      <c r="G146" s="8"/>
      <c r="H146" s="8"/>
      <c r="I146" s="8"/>
      <c r="J146" s="8"/>
      <c r="K146" s="8"/>
      <c r="L146" s="8"/>
      <c r="M146" s="8"/>
      <c r="N146" s="8"/>
    </row>
    <row r="147" spans="7:14" ht="12.75">
      <c r="G147" s="8"/>
      <c r="H147" s="8"/>
      <c r="I147" s="8"/>
      <c r="J147" s="8"/>
      <c r="K147" s="8"/>
      <c r="L147" s="8"/>
      <c r="M147" s="8"/>
      <c r="N147" s="8"/>
    </row>
    <row r="148" spans="7:14" ht="12.75">
      <c r="G148" s="8"/>
      <c r="H148" s="8"/>
      <c r="I148" s="8"/>
      <c r="J148" s="8"/>
      <c r="K148" s="8"/>
      <c r="L148" s="8"/>
      <c r="M148" s="8"/>
      <c r="N148" s="8"/>
    </row>
    <row r="149" spans="7:14" ht="12.75">
      <c r="G149" s="8"/>
      <c r="H149" s="8"/>
      <c r="I149" s="8"/>
      <c r="J149" s="8"/>
      <c r="K149" s="8"/>
      <c r="L149" s="8"/>
      <c r="M149" s="8"/>
      <c r="N149" s="8"/>
    </row>
    <row r="150" spans="7:14" ht="12.75">
      <c r="G150" s="8"/>
      <c r="H150" s="8"/>
      <c r="I150" s="8"/>
      <c r="J150" s="8"/>
      <c r="K150" s="8"/>
      <c r="L150" s="8"/>
      <c r="M150" s="8"/>
      <c r="N150" s="8"/>
    </row>
    <row r="151" spans="7:14" ht="12.75">
      <c r="G151" s="8"/>
      <c r="H151" s="8"/>
      <c r="I151" s="8"/>
      <c r="J151" s="8"/>
      <c r="K151" s="8"/>
      <c r="L151" s="8"/>
      <c r="M151" s="8"/>
      <c r="N151" s="8"/>
    </row>
    <row r="152" spans="7:14" ht="12.75">
      <c r="G152" s="8"/>
      <c r="H152" s="8"/>
      <c r="I152" s="8"/>
      <c r="J152" s="8"/>
      <c r="K152" s="8"/>
      <c r="L152" s="8"/>
      <c r="M152" s="8"/>
      <c r="N152" s="8"/>
    </row>
    <row r="153" spans="7:14" ht="12.75">
      <c r="G153" s="8"/>
      <c r="H153" s="8"/>
      <c r="I153" s="8"/>
      <c r="J153" s="8"/>
      <c r="K153" s="8"/>
      <c r="L153" s="8"/>
      <c r="M153" s="8"/>
      <c r="N153" s="8"/>
    </row>
    <row r="154" spans="7:14" ht="12.75">
      <c r="G154" s="8"/>
      <c r="H154" s="8"/>
      <c r="I154" s="8"/>
      <c r="J154" s="8"/>
      <c r="K154" s="8"/>
      <c r="L154" s="8"/>
      <c r="M154" s="8"/>
      <c r="N154" s="8"/>
    </row>
    <row r="155" spans="7:14" ht="12.75">
      <c r="G155" s="8"/>
      <c r="H155" s="8"/>
      <c r="I155" s="8"/>
      <c r="J155" s="8"/>
      <c r="K155" s="8"/>
      <c r="L155" s="8"/>
      <c r="M155" s="8"/>
      <c r="N155" s="8"/>
    </row>
    <row r="156" spans="7:14" ht="12.75">
      <c r="G156" s="8"/>
      <c r="H156" s="8"/>
      <c r="I156" s="8"/>
      <c r="J156" s="8"/>
      <c r="K156" s="8"/>
      <c r="L156" s="8"/>
      <c r="M156" s="8"/>
      <c r="N156" s="8"/>
    </row>
    <row r="157" spans="7:14" ht="12.75">
      <c r="G157" s="8"/>
      <c r="H157" s="8"/>
      <c r="I157" s="8"/>
      <c r="J157" s="8"/>
      <c r="K157" s="8"/>
      <c r="L157" s="8"/>
      <c r="M157" s="8"/>
      <c r="N157" s="8"/>
    </row>
    <row r="158" spans="7:14" ht="12.75">
      <c r="G158" s="8"/>
      <c r="H158" s="8"/>
      <c r="I158" s="8"/>
      <c r="J158" s="8"/>
      <c r="K158" s="8"/>
      <c r="L158" s="8"/>
      <c r="M158" s="8"/>
      <c r="N158" s="8"/>
    </row>
    <row r="159" spans="7:14" ht="12.75">
      <c r="G159" s="8"/>
      <c r="H159" s="8"/>
      <c r="I159" s="8"/>
      <c r="J159" s="8"/>
      <c r="K159" s="8"/>
      <c r="L159" s="8"/>
      <c r="M159" s="8"/>
      <c r="N159" s="8"/>
    </row>
    <row r="160" spans="7:14" ht="12.75">
      <c r="G160" s="8"/>
      <c r="H160" s="8"/>
      <c r="I160" s="8"/>
      <c r="J160" s="8"/>
      <c r="K160" s="8"/>
      <c r="L160" s="8"/>
      <c r="M160" s="8"/>
      <c r="N160" s="8"/>
    </row>
    <row r="161" spans="7:14" ht="12.75">
      <c r="G161" s="8"/>
      <c r="H161" s="8"/>
      <c r="I161" s="8"/>
      <c r="J161" s="8"/>
      <c r="K161" s="8"/>
      <c r="L161" s="8"/>
      <c r="M161" s="8"/>
      <c r="N161" s="8"/>
    </row>
    <row r="162" spans="7:14" ht="12.75">
      <c r="G162" s="8"/>
      <c r="H162" s="8"/>
      <c r="I162" s="8"/>
      <c r="J162" s="8"/>
      <c r="K162" s="8"/>
      <c r="L162" s="8"/>
      <c r="M162" s="8"/>
      <c r="N162" s="8"/>
    </row>
    <row r="163" spans="7:14" ht="12.75">
      <c r="G163" s="8"/>
      <c r="H163" s="8"/>
      <c r="I163" s="8"/>
      <c r="J163" s="8"/>
      <c r="K163" s="8"/>
      <c r="L163" s="8"/>
      <c r="M163" s="8"/>
      <c r="N163" s="8"/>
    </row>
    <row r="164" spans="7:14" ht="12.75">
      <c r="G164" s="8"/>
      <c r="H164" s="8"/>
      <c r="I164" s="8"/>
      <c r="J164" s="8"/>
      <c r="K164" s="8"/>
      <c r="L164" s="8"/>
      <c r="M164" s="8"/>
      <c r="N164" s="8"/>
    </row>
    <row r="165" spans="7:14" ht="12.75">
      <c r="G165" s="8"/>
      <c r="H165" s="8"/>
      <c r="I165" s="8"/>
      <c r="J165" s="8"/>
      <c r="K165" s="8"/>
      <c r="L165" s="8"/>
      <c r="M165" s="8"/>
      <c r="N165" s="8"/>
    </row>
    <row r="166" spans="7:14" ht="12.75">
      <c r="G166" s="8"/>
      <c r="H166" s="8"/>
      <c r="I166" s="8"/>
      <c r="J166" s="8"/>
      <c r="K166" s="8"/>
      <c r="L166" s="8"/>
      <c r="M166" s="8"/>
      <c r="N166" s="8"/>
    </row>
    <row r="167" spans="7:14" ht="12.75">
      <c r="G167" s="8"/>
      <c r="H167" s="8"/>
      <c r="I167" s="8"/>
      <c r="J167" s="8"/>
      <c r="K167" s="8"/>
      <c r="L167" s="8"/>
      <c r="M167" s="8"/>
      <c r="N167" s="8"/>
    </row>
    <row r="168" spans="7:14" ht="12.75">
      <c r="G168" s="8"/>
      <c r="H168" s="8"/>
      <c r="I168" s="8"/>
      <c r="J168" s="8"/>
      <c r="K168" s="8"/>
      <c r="L168" s="8"/>
      <c r="M168" s="8"/>
      <c r="N168" s="8"/>
    </row>
    <row r="169" spans="7:14" ht="12.75">
      <c r="G169" s="8"/>
      <c r="H169" s="8"/>
      <c r="I169" s="8"/>
      <c r="J169" s="8"/>
      <c r="K169" s="8"/>
      <c r="L169" s="8"/>
      <c r="M169" s="8"/>
      <c r="N169" s="8"/>
    </row>
    <row r="170" spans="7:14" ht="12.75">
      <c r="G170" s="8"/>
      <c r="H170" s="8"/>
      <c r="I170" s="8"/>
      <c r="J170" s="8"/>
      <c r="K170" s="8"/>
      <c r="L170" s="8"/>
      <c r="M170" s="8"/>
      <c r="N170" s="8"/>
    </row>
    <row r="171" spans="7:14" ht="12.75">
      <c r="G171" s="8"/>
      <c r="H171" s="8"/>
      <c r="I171" s="8"/>
      <c r="J171" s="8"/>
      <c r="K171" s="8"/>
      <c r="L171" s="8"/>
      <c r="M171" s="8"/>
      <c r="N171" s="8"/>
    </row>
    <row r="172" spans="7:14" ht="12.75">
      <c r="G172" s="8"/>
      <c r="H172" s="8"/>
      <c r="I172" s="8"/>
      <c r="J172" s="8"/>
      <c r="K172" s="8"/>
      <c r="L172" s="8"/>
      <c r="M172" s="8"/>
      <c r="N172" s="8"/>
    </row>
    <row r="173" spans="7:14" ht="12.75">
      <c r="G173" s="8"/>
      <c r="H173" s="8"/>
      <c r="I173" s="8"/>
      <c r="J173" s="8"/>
      <c r="K173" s="8"/>
      <c r="L173" s="8"/>
      <c r="M173" s="8"/>
      <c r="N173" s="8"/>
    </row>
    <row r="174" spans="7:14" ht="12.75">
      <c r="G174" s="8"/>
      <c r="H174" s="8"/>
      <c r="I174" s="8"/>
      <c r="J174" s="8"/>
      <c r="K174" s="8"/>
      <c r="L174" s="8"/>
      <c r="M174" s="8"/>
      <c r="N174" s="8"/>
    </row>
    <row r="175" spans="7:14" ht="12.75">
      <c r="G175" s="8"/>
      <c r="H175" s="8"/>
      <c r="I175" s="8"/>
      <c r="J175" s="8"/>
      <c r="K175" s="8"/>
      <c r="L175" s="8"/>
      <c r="M175" s="8"/>
      <c r="N175" s="8"/>
    </row>
    <row r="176" spans="7:14" ht="12.75">
      <c r="G176" s="8"/>
      <c r="H176" s="8"/>
      <c r="I176" s="8"/>
      <c r="J176" s="8"/>
      <c r="K176" s="8"/>
      <c r="L176" s="8"/>
      <c r="M176" s="8"/>
      <c r="N176" s="8"/>
    </row>
    <row r="177" spans="7:14" ht="12.75">
      <c r="G177" s="8"/>
      <c r="H177" s="8"/>
      <c r="I177" s="8"/>
      <c r="J177" s="8"/>
      <c r="K177" s="8"/>
      <c r="L177" s="8"/>
      <c r="M177" s="8"/>
      <c r="N177" s="8"/>
    </row>
    <row r="178" spans="7:14" ht="12.75">
      <c r="G178" s="8"/>
      <c r="H178" s="8"/>
      <c r="I178" s="8"/>
      <c r="J178" s="8"/>
      <c r="K178" s="8"/>
      <c r="L178" s="8"/>
      <c r="M178" s="8"/>
      <c r="N178" s="8"/>
    </row>
    <row r="179" spans="7:14" ht="12.75">
      <c r="G179" s="8"/>
      <c r="H179" s="8"/>
      <c r="I179" s="8"/>
      <c r="J179" s="8"/>
      <c r="K179" s="8"/>
      <c r="L179" s="8"/>
      <c r="M179" s="8"/>
      <c r="N179" s="8"/>
    </row>
    <row r="180" spans="7:14" ht="12.75">
      <c r="G180" s="8"/>
      <c r="H180" s="8"/>
      <c r="I180" s="8"/>
      <c r="J180" s="8"/>
      <c r="K180" s="8"/>
      <c r="L180" s="8"/>
      <c r="M180" s="8"/>
      <c r="N180" s="8"/>
    </row>
    <row r="181" spans="7:14" ht="12.75">
      <c r="G181" s="8"/>
      <c r="H181" s="8"/>
      <c r="I181" s="8"/>
      <c r="J181" s="8"/>
      <c r="K181" s="8"/>
      <c r="L181" s="8"/>
      <c r="M181" s="8"/>
      <c r="N181" s="8"/>
    </row>
    <row r="182" spans="7:14" ht="12.75">
      <c r="G182" s="8"/>
      <c r="H182" s="8"/>
      <c r="I182" s="8"/>
      <c r="J182" s="8"/>
      <c r="K182" s="8"/>
      <c r="L182" s="8"/>
      <c r="M182" s="8"/>
      <c r="N182" s="8"/>
    </row>
    <row r="183" spans="7:14" ht="12.75">
      <c r="G183" s="8"/>
      <c r="H183" s="8"/>
      <c r="I183" s="8"/>
      <c r="J183" s="8"/>
      <c r="K183" s="8"/>
      <c r="L183" s="8"/>
      <c r="M183" s="8"/>
      <c r="N183" s="8"/>
    </row>
    <row r="184" spans="7:14" ht="12.75">
      <c r="G184" s="8"/>
      <c r="H184" s="8"/>
      <c r="I184" s="8"/>
      <c r="J184" s="8"/>
      <c r="K184" s="8"/>
      <c r="L184" s="8"/>
      <c r="M184" s="8"/>
      <c r="N184" s="8"/>
    </row>
    <row r="185" spans="7:14" ht="12.75">
      <c r="G185" s="8"/>
      <c r="H185" s="8"/>
      <c r="I185" s="8"/>
      <c r="J185" s="8"/>
      <c r="K185" s="8"/>
      <c r="L185" s="8"/>
      <c r="M185" s="8"/>
      <c r="N185" s="8"/>
    </row>
    <row r="186" spans="7:14" ht="12.75">
      <c r="G186" s="8"/>
      <c r="H186" s="8"/>
      <c r="I186" s="8"/>
      <c r="J186" s="8"/>
      <c r="K186" s="8"/>
      <c r="L186" s="8"/>
      <c r="M186" s="8"/>
      <c r="N186" s="8"/>
    </row>
    <row r="187" spans="7:14" ht="12.75">
      <c r="G187" s="8"/>
      <c r="H187" s="8"/>
      <c r="I187" s="8"/>
      <c r="J187" s="8"/>
      <c r="K187" s="8"/>
      <c r="L187" s="8"/>
      <c r="M187" s="8"/>
      <c r="N187" s="8"/>
    </row>
    <row r="188" spans="7:14" ht="12.75">
      <c r="G188" s="8"/>
      <c r="H188" s="8"/>
      <c r="I188" s="8"/>
      <c r="J188" s="8"/>
      <c r="K188" s="8"/>
      <c r="L188" s="8"/>
      <c r="M188" s="8"/>
      <c r="N188" s="8"/>
    </row>
    <row r="189" spans="7:14" ht="12.75">
      <c r="G189" s="8"/>
      <c r="H189" s="8"/>
      <c r="I189" s="8"/>
      <c r="J189" s="8"/>
      <c r="K189" s="8"/>
      <c r="L189" s="8"/>
      <c r="M189" s="8"/>
      <c r="N189" s="8"/>
    </row>
    <row r="190" spans="7:14" ht="12.75">
      <c r="G190" s="8"/>
      <c r="H190" s="8"/>
      <c r="I190" s="8"/>
      <c r="J190" s="8"/>
      <c r="K190" s="8"/>
      <c r="L190" s="8"/>
      <c r="M190" s="8"/>
      <c r="N190" s="8"/>
    </row>
    <row r="191" spans="7:14" ht="12.75">
      <c r="G191" s="8"/>
      <c r="H191" s="8"/>
      <c r="I191" s="8"/>
      <c r="J191" s="8"/>
      <c r="K191" s="8"/>
      <c r="L191" s="8"/>
      <c r="M191" s="8"/>
      <c r="N191" s="8"/>
    </row>
    <row r="192" spans="7:14" ht="12.75">
      <c r="G192" s="8"/>
      <c r="H192" s="8"/>
      <c r="I192" s="8"/>
      <c r="J192" s="8"/>
      <c r="K192" s="8"/>
      <c r="L192" s="8"/>
      <c r="M192" s="8"/>
      <c r="N192" s="8"/>
    </row>
    <row r="193" spans="7:14" ht="12.75">
      <c r="G193" s="8"/>
      <c r="H193" s="8"/>
      <c r="I193" s="8"/>
      <c r="J193" s="8"/>
      <c r="K193" s="8"/>
      <c r="L193" s="8"/>
      <c r="M193" s="8"/>
      <c r="N193" s="8"/>
    </row>
    <row r="194" spans="7:14" ht="12.75">
      <c r="G194" s="8"/>
      <c r="H194" s="8"/>
      <c r="I194" s="8"/>
      <c r="J194" s="8"/>
      <c r="K194" s="8"/>
      <c r="L194" s="8"/>
      <c r="M194" s="8"/>
      <c r="N194" s="8"/>
    </row>
    <row r="195" spans="7:14" ht="12.75">
      <c r="G195" s="8"/>
      <c r="H195" s="8"/>
      <c r="I195" s="8"/>
      <c r="J195" s="8"/>
      <c r="K195" s="8"/>
      <c r="L195" s="8"/>
      <c r="M195" s="8"/>
      <c r="N195" s="8"/>
    </row>
    <row r="196" spans="7:14" ht="12.75">
      <c r="G196" s="8"/>
      <c r="H196" s="8"/>
      <c r="I196" s="8"/>
      <c r="J196" s="8"/>
      <c r="K196" s="8"/>
      <c r="L196" s="8"/>
      <c r="M196" s="8"/>
      <c r="N196" s="8"/>
    </row>
    <row r="197" spans="7:14" ht="12.75">
      <c r="G197" s="8"/>
      <c r="H197" s="8"/>
      <c r="I197" s="8"/>
      <c r="J197" s="8"/>
      <c r="K197" s="8"/>
      <c r="L197" s="8"/>
      <c r="M197" s="8"/>
      <c r="N197" s="8"/>
    </row>
    <row r="198" spans="7:14" ht="12.75"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H1">
      <selection activeCell="F8" sqref="F8"/>
    </sheetView>
  </sheetViews>
  <sheetFormatPr defaultColWidth="9.140625" defaultRowHeight="12.75"/>
  <cols>
    <col min="1" max="1" width="28.7109375" style="70" hidden="1" customWidth="1"/>
    <col min="2" max="2" width="10.421875" style="70" hidden="1" customWidth="1"/>
    <col min="3" max="3" width="10.7109375" style="70" hidden="1" customWidth="1"/>
    <col min="4" max="4" width="10.57421875" style="70" hidden="1" customWidth="1"/>
    <col min="5" max="5" width="8.57421875" style="70" hidden="1" customWidth="1"/>
    <col min="6" max="6" width="9.140625" style="70" hidden="1" customWidth="1"/>
    <col min="7" max="7" width="8.8515625" style="70" hidden="1" customWidth="1"/>
    <col min="8" max="8" width="32.7109375" style="70" customWidth="1"/>
    <col min="9" max="9" width="10.421875" style="70" customWidth="1"/>
    <col min="10" max="10" width="10.8515625" style="70" customWidth="1"/>
    <col min="11" max="11" width="7.421875" style="70" customWidth="1"/>
    <col min="12" max="12" width="6.421875" style="70" customWidth="1"/>
    <col min="13" max="13" width="9.7109375" style="70" customWidth="1"/>
    <col min="14" max="14" width="7.421875" style="70" customWidth="1"/>
    <col min="15" max="16384" width="7.8515625" style="70" customWidth="1"/>
  </cols>
  <sheetData>
    <row r="1" spans="7:14" ht="12.75">
      <c r="G1" s="70" t="s">
        <v>257</v>
      </c>
      <c r="N1" s="70" t="s">
        <v>257</v>
      </c>
    </row>
    <row r="2" spans="1:14" ht="16.5" customHeight="1">
      <c r="A2" s="3" t="s">
        <v>258</v>
      </c>
      <c r="B2" s="3"/>
      <c r="C2" s="217"/>
      <c r="D2" s="217"/>
      <c r="E2" s="3"/>
      <c r="F2" s="217"/>
      <c r="G2" s="8"/>
      <c r="H2" s="3" t="s">
        <v>258</v>
      </c>
      <c r="I2" s="3"/>
      <c r="J2" s="217"/>
      <c r="K2" s="217"/>
      <c r="L2" s="3"/>
      <c r="M2" s="217"/>
      <c r="N2" s="8"/>
    </row>
    <row r="3" spans="1:14" ht="4.5" customHeight="1" hidden="1">
      <c r="A3" s="17"/>
      <c r="B3" s="8"/>
      <c r="C3" s="8"/>
      <c r="D3" s="8"/>
      <c r="E3" s="8"/>
      <c r="F3" s="8"/>
      <c r="G3" s="8"/>
      <c r="H3" s="17"/>
      <c r="I3" s="8"/>
      <c r="J3" s="8"/>
      <c r="K3" s="8"/>
      <c r="L3" s="8"/>
      <c r="M3" s="8"/>
      <c r="N3" s="8"/>
    </row>
    <row r="4" spans="1:14" ht="12" customHeight="1">
      <c r="A4" s="17"/>
      <c r="B4" s="8"/>
      <c r="C4" s="8"/>
      <c r="D4" s="8"/>
      <c r="E4" s="8"/>
      <c r="F4" s="8"/>
      <c r="G4" s="8"/>
      <c r="H4" s="17"/>
      <c r="I4" s="8"/>
      <c r="J4" s="8"/>
      <c r="K4" s="8"/>
      <c r="L4" s="8"/>
      <c r="M4" s="8"/>
      <c r="N4" s="8"/>
    </row>
    <row r="5" spans="1:14" ht="15.75">
      <c r="A5" s="110" t="s">
        <v>259</v>
      </c>
      <c r="B5" s="217"/>
      <c r="C5" s="217"/>
      <c r="D5" s="217"/>
      <c r="E5" s="217"/>
      <c r="F5" s="217"/>
      <c r="G5" s="8"/>
      <c r="H5" s="110" t="s">
        <v>259</v>
      </c>
      <c r="I5" s="217"/>
      <c r="J5" s="217"/>
      <c r="K5" s="217"/>
      <c r="L5" s="217"/>
      <c r="M5" s="217"/>
      <c r="N5" s="8"/>
    </row>
    <row r="6" spans="1:14" ht="15.75">
      <c r="A6" s="110" t="s">
        <v>147</v>
      </c>
      <c r="B6" s="217"/>
      <c r="C6" s="217"/>
      <c r="D6" s="217"/>
      <c r="E6" s="217"/>
      <c r="F6" s="217"/>
      <c r="G6" s="8"/>
      <c r="H6" s="110" t="s">
        <v>147</v>
      </c>
      <c r="I6" s="217"/>
      <c r="J6" s="217"/>
      <c r="K6" s="217"/>
      <c r="L6" s="217"/>
      <c r="M6" s="217"/>
      <c r="N6" s="8"/>
    </row>
    <row r="7" spans="1:14" ht="19.5" customHeight="1">
      <c r="A7" s="110" t="s">
        <v>67</v>
      </c>
      <c r="B7" s="217"/>
      <c r="C7" s="217"/>
      <c r="D7" s="217"/>
      <c r="E7" s="217"/>
      <c r="F7" s="217"/>
      <c r="G7" s="8"/>
      <c r="H7" s="110" t="s">
        <v>67</v>
      </c>
      <c r="I7" s="217"/>
      <c r="J7" s="217"/>
      <c r="K7" s="217"/>
      <c r="L7" s="217"/>
      <c r="M7" s="217"/>
      <c r="N7" s="8"/>
    </row>
    <row r="8" spans="1:14" s="219" customFormat="1" ht="18.75" customHeight="1">
      <c r="A8" s="8"/>
      <c r="B8" s="8"/>
      <c r="C8" s="8"/>
      <c r="D8" s="8"/>
      <c r="E8" s="70"/>
      <c r="F8" s="8"/>
      <c r="G8" s="12" t="s">
        <v>68</v>
      </c>
      <c r="H8" s="8"/>
      <c r="I8" s="8"/>
      <c r="J8" s="8"/>
      <c r="K8" s="8"/>
      <c r="L8" s="70"/>
      <c r="M8" s="8"/>
      <c r="N8" s="12" t="s">
        <v>68</v>
      </c>
    </row>
    <row r="9" spans="1:14" s="39" customFormat="1" ht="78.75" customHeight="1">
      <c r="A9" s="10" t="s">
        <v>7</v>
      </c>
      <c r="B9" s="10" t="s">
        <v>70</v>
      </c>
      <c r="C9" s="10" t="s">
        <v>112</v>
      </c>
      <c r="D9" s="10" t="s">
        <v>71</v>
      </c>
      <c r="E9" s="10" t="s">
        <v>148</v>
      </c>
      <c r="F9" s="10" t="s">
        <v>260</v>
      </c>
      <c r="G9" s="10" t="s">
        <v>16</v>
      </c>
      <c r="H9" s="10" t="s">
        <v>7</v>
      </c>
      <c r="I9" s="10" t="s">
        <v>70</v>
      </c>
      <c r="J9" s="10" t="s">
        <v>112</v>
      </c>
      <c r="K9" s="10" t="s">
        <v>71</v>
      </c>
      <c r="L9" s="10" t="s">
        <v>148</v>
      </c>
      <c r="M9" s="10" t="s">
        <v>260</v>
      </c>
      <c r="N9" s="10" t="s">
        <v>16</v>
      </c>
    </row>
    <row r="10" spans="1:14" s="39" customFormat="1" ht="9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1</v>
      </c>
      <c r="I10" s="10">
        <v>2</v>
      </c>
      <c r="J10" s="10">
        <v>3</v>
      </c>
      <c r="K10" s="10">
        <v>4</v>
      </c>
      <c r="L10" s="10">
        <v>5</v>
      </c>
      <c r="M10" s="10">
        <v>6</v>
      </c>
      <c r="N10" s="10">
        <v>7</v>
      </c>
    </row>
    <row r="11" spans="1:14" s="39" customFormat="1" ht="21.75" customHeight="1">
      <c r="A11" s="177" t="s">
        <v>261</v>
      </c>
      <c r="B11" s="54">
        <f>SUM(B12:B14)</f>
        <v>696204005</v>
      </c>
      <c r="C11" s="54">
        <f>SUM(C12:C14)</f>
        <v>523599161</v>
      </c>
      <c r="D11" s="54">
        <f>SUM(D12:D14)</f>
        <v>516359667</v>
      </c>
      <c r="E11" s="117">
        <f>IF(ISERROR(D11/B11)," ",(D11/B11))</f>
        <v>0.7416786793692748</v>
      </c>
      <c r="F11" s="117">
        <f>IF(ISERROR(D11/C11)," ",(D11/C11))</f>
        <v>0.9861735951100961</v>
      </c>
      <c r="G11" s="54">
        <f>SUM(G12:G14)</f>
        <v>58649545</v>
      </c>
      <c r="H11" s="177" t="s">
        <v>261</v>
      </c>
      <c r="I11" s="178">
        <f>SUM(I12:I14)</f>
        <v>696204</v>
      </c>
      <c r="J11" s="178">
        <f>SUM(J12:J14)</f>
        <v>523599</v>
      </c>
      <c r="K11" s="178">
        <f>SUM(K12:K14)</f>
        <v>516360</v>
      </c>
      <c r="L11" s="220">
        <f>IF(ISERROR(ROUND(K11,0)/ROUND(I11,0))," ",(ROUND(K11,)/ROUND(I11,)))</f>
        <v>0.7416791630039471</v>
      </c>
      <c r="M11" s="220">
        <f aca="true" t="shared" si="0" ref="M11:M18">IF(ISERROR(ROUND(K11,0)/ROUND(J11,0))," ",(ROUND(K11,)/ROUND(J11,)))</f>
        <v>0.9861745343287516</v>
      </c>
      <c r="N11" s="198">
        <f>SUM(N12:N14)</f>
        <v>58650</v>
      </c>
    </row>
    <row r="12" spans="1:14" s="39" customFormat="1" ht="23.25" customHeight="1">
      <c r="A12" s="98" t="s">
        <v>262</v>
      </c>
      <c r="B12" s="93">
        <v>628767249</v>
      </c>
      <c r="C12" s="93">
        <v>472316696</v>
      </c>
      <c r="D12" s="93">
        <v>472316696</v>
      </c>
      <c r="E12" s="117">
        <f aca="true" t="shared" si="1" ref="E12:E18">IF(ISERROR(D12/B12)," ",(D12/B12))</f>
        <v>0.7511789088111362</v>
      </c>
      <c r="F12" s="117">
        <f aca="true" t="shared" si="2" ref="F12:F18">IF(ISERROR(D12/C12)," ",(D12/C12))</f>
        <v>1</v>
      </c>
      <c r="G12" s="164">
        <f>D12-'[4]Augusts'!D12</f>
        <v>52619976</v>
      </c>
      <c r="H12" s="98" t="s">
        <v>262</v>
      </c>
      <c r="I12" s="157">
        <f aca="true" t="shared" si="3" ref="I12:K14">ROUND(B12/1000,0)</f>
        <v>628767</v>
      </c>
      <c r="J12" s="157">
        <f t="shared" si="3"/>
        <v>472317</v>
      </c>
      <c r="K12" s="157">
        <f t="shared" si="3"/>
        <v>472317</v>
      </c>
      <c r="L12" s="221">
        <f aca="true" t="shared" si="4" ref="L12:L18">IF(ISERROR(ROUND(K12,0)/ROUND(I12,0))," ",(ROUND(K12,)/ROUND(I12,)))</f>
        <v>0.7511796897737953</v>
      </c>
      <c r="M12" s="221">
        <f t="shared" si="0"/>
        <v>1</v>
      </c>
      <c r="N12" s="164">
        <f>K12-'[4]Augusts'!K12</f>
        <v>52620</v>
      </c>
    </row>
    <row r="13" spans="1:14" s="39" customFormat="1" ht="19.5" customHeight="1">
      <c r="A13" s="98" t="s">
        <v>263</v>
      </c>
      <c r="B13" s="93">
        <v>1092020</v>
      </c>
      <c r="C13" s="93">
        <v>396868</v>
      </c>
      <c r="D13" s="93">
        <f>121481+9518</f>
        <v>130999</v>
      </c>
      <c r="E13" s="117">
        <f t="shared" si="1"/>
        <v>0.11996025713814765</v>
      </c>
      <c r="F13" s="117">
        <f t="shared" si="2"/>
        <v>0.3300820423919288</v>
      </c>
      <c r="G13" s="164">
        <f>D13-'[4]Augusts'!D13</f>
        <v>9518</v>
      </c>
      <c r="H13" s="98" t="s">
        <v>263</v>
      </c>
      <c r="I13" s="157">
        <f t="shared" si="3"/>
        <v>1092</v>
      </c>
      <c r="J13" s="157">
        <f t="shared" si="3"/>
        <v>397</v>
      </c>
      <c r="K13" s="157">
        <f t="shared" si="3"/>
        <v>131</v>
      </c>
      <c r="L13" s="221">
        <f t="shared" si="4"/>
        <v>0.11996336996336997</v>
      </c>
      <c r="M13" s="221">
        <f t="shared" si="0"/>
        <v>0.32997481108312343</v>
      </c>
      <c r="N13" s="164">
        <f>K13-'[4]Augusts'!K13</f>
        <v>10</v>
      </c>
    </row>
    <row r="14" spans="1:14" s="39" customFormat="1" ht="18.75" customHeight="1">
      <c r="A14" s="98" t="s">
        <v>223</v>
      </c>
      <c r="B14" s="93">
        <v>66344736</v>
      </c>
      <c r="C14" s="93">
        <v>50885597</v>
      </c>
      <c r="D14" s="93">
        <v>43911972</v>
      </c>
      <c r="E14" s="117">
        <f t="shared" si="1"/>
        <v>0.6618757515291039</v>
      </c>
      <c r="F14" s="117">
        <f t="shared" si="2"/>
        <v>0.8629548357268954</v>
      </c>
      <c r="G14" s="164">
        <f>D14-'[4]Augusts'!D14</f>
        <v>6020051</v>
      </c>
      <c r="H14" s="98" t="s">
        <v>223</v>
      </c>
      <c r="I14" s="157">
        <f t="shared" si="3"/>
        <v>66345</v>
      </c>
      <c r="J14" s="157">
        <f>ROUND(C14/1000,0)-1</f>
        <v>50885</v>
      </c>
      <c r="K14" s="157">
        <f>ROUND(D14/1000,0)</f>
        <v>43912</v>
      </c>
      <c r="L14" s="221">
        <f t="shared" si="4"/>
        <v>0.6618735398296782</v>
      </c>
      <c r="M14" s="221">
        <f t="shared" si="0"/>
        <v>0.8629655104647735</v>
      </c>
      <c r="N14" s="164">
        <f>K14-'[4]Augusts'!K14</f>
        <v>6020</v>
      </c>
    </row>
    <row r="15" spans="1:14" s="39" customFormat="1" ht="24" customHeight="1">
      <c r="A15" s="177" t="s">
        <v>153</v>
      </c>
      <c r="B15" s="13">
        <f>SUM(B16,B41)</f>
        <v>697570053</v>
      </c>
      <c r="C15" s="13">
        <f>SUM(C16,C41)</f>
        <v>524216399</v>
      </c>
      <c r="D15" s="13">
        <f>SUM(D16,D41)</f>
        <v>494411575.97999996</v>
      </c>
      <c r="E15" s="117">
        <f t="shared" si="1"/>
        <v>0.7087626165339411</v>
      </c>
      <c r="F15" s="117">
        <f t="shared" si="2"/>
        <v>0.943144046853826</v>
      </c>
      <c r="G15" s="13">
        <f>SUM(G16,G41)</f>
        <v>57769759.979999974</v>
      </c>
      <c r="H15" s="177" t="s">
        <v>153</v>
      </c>
      <c r="I15" s="198">
        <f>SUM(I16,I41)</f>
        <v>697570</v>
      </c>
      <c r="J15" s="198">
        <f>SUM(J16,J41)</f>
        <v>524216</v>
      </c>
      <c r="K15" s="198">
        <f>SUM(K16,K41)</f>
        <v>494412</v>
      </c>
      <c r="L15" s="220">
        <f t="shared" si="4"/>
        <v>0.7087632782373096</v>
      </c>
      <c r="M15" s="220">
        <f t="shared" si="0"/>
        <v>0.9431455735803562</v>
      </c>
      <c r="N15" s="198">
        <f>SUM(N16,N41)</f>
        <v>57769</v>
      </c>
    </row>
    <row r="16" spans="1:14" s="39" customFormat="1" ht="18.75" customHeight="1">
      <c r="A16" s="83" t="s">
        <v>264</v>
      </c>
      <c r="B16" s="84">
        <v>635105734</v>
      </c>
      <c r="C16" s="84">
        <v>475221856</v>
      </c>
      <c r="D16" s="84">
        <f>SUM(D17,D24,D28)</f>
        <v>453494071.66999996</v>
      </c>
      <c r="E16" s="117">
        <f t="shared" si="1"/>
        <v>0.7140449965926461</v>
      </c>
      <c r="F16" s="117">
        <f t="shared" si="2"/>
        <v>0.9542786510012704</v>
      </c>
      <c r="G16" s="84">
        <f>SUM(G17,G24,G28)</f>
        <v>51409569.66999997</v>
      </c>
      <c r="H16" s="83" t="s">
        <v>264</v>
      </c>
      <c r="I16" s="178">
        <f>ROUND(B16/1000,0)</f>
        <v>635106</v>
      </c>
      <c r="J16" s="178">
        <f aca="true" t="shared" si="5" ref="I16:J18">ROUND(C16/1000,0)</f>
        <v>475222</v>
      </c>
      <c r="K16" s="222">
        <f>SUM(K17,K24,K28)</f>
        <v>453495</v>
      </c>
      <c r="L16" s="220">
        <f t="shared" si="4"/>
        <v>0.7140461592238146</v>
      </c>
      <c r="M16" s="220">
        <f t="shared" si="0"/>
        <v>0.9542803153052678</v>
      </c>
      <c r="N16" s="222">
        <f>SUM(N17,N24,N28)</f>
        <v>51409</v>
      </c>
    </row>
    <row r="17" spans="1:14" s="39" customFormat="1" ht="22.5" customHeight="1">
      <c r="A17" s="125" t="s">
        <v>120</v>
      </c>
      <c r="B17" s="160">
        <v>318414663</v>
      </c>
      <c r="C17" s="160">
        <v>238858770</v>
      </c>
      <c r="D17" s="160">
        <f>SUM(D18,D19,D20,D23)</f>
        <v>224089044.14999998</v>
      </c>
      <c r="E17" s="117">
        <f t="shared" si="1"/>
        <v>0.703764839340957</v>
      </c>
      <c r="F17" s="117">
        <f t="shared" si="2"/>
        <v>0.9381654445846807</v>
      </c>
      <c r="G17" s="160">
        <f>SUM(G18,G19,G20,G23)</f>
        <v>24862661.149999984</v>
      </c>
      <c r="H17" s="125" t="s">
        <v>120</v>
      </c>
      <c r="I17" s="161">
        <f t="shared" si="5"/>
        <v>318415</v>
      </c>
      <c r="J17" s="161">
        <f t="shared" si="5"/>
        <v>238859</v>
      </c>
      <c r="K17" s="163">
        <f>SUM(K18,K19,K20,K23)</f>
        <v>224089</v>
      </c>
      <c r="L17" s="223">
        <f t="shared" si="4"/>
        <v>0.7037639558437888</v>
      </c>
      <c r="M17" s="223">
        <f t="shared" si="0"/>
        <v>0.9381643563776119</v>
      </c>
      <c r="N17" s="163">
        <f>SUM(N18,N19,N20,N23)</f>
        <v>24862</v>
      </c>
    </row>
    <row r="18" spans="1:14" s="39" customFormat="1" ht="18" customHeight="1">
      <c r="A18" s="46" t="s">
        <v>121</v>
      </c>
      <c r="B18" s="164">
        <v>149413801</v>
      </c>
      <c r="C18" s="164">
        <v>111119017</v>
      </c>
      <c r="D18" s="164">
        <v>106387318</v>
      </c>
      <c r="E18" s="128">
        <f t="shared" si="1"/>
        <v>0.7120314006334663</v>
      </c>
      <c r="F18" s="128">
        <f t="shared" si="2"/>
        <v>0.9574177388556272</v>
      </c>
      <c r="G18" s="164">
        <f>D18-'[4]Augusts'!D18</f>
        <v>11347729</v>
      </c>
      <c r="H18" s="46" t="s">
        <v>121</v>
      </c>
      <c r="I18" s="157">
        <f t="shared" si="5"/>
        <v>149414</v>
      </c>
      <c r="J18" s="157">
        <f t="shared" si="5"/>
        <v>111119</v>
      </c>
      <c r="K18" s="157">
        <f>ROUND(D18/1000,0)</f>
        <v>106387</v>
      </c>
      <c r="L18" s="221">
        <f t="shared" si="4"/>
        <v>0.7120283239857041</v>
      </c>
      <c r="M18" s="221">
        <f t="shared" si="0"/>
        <v>0.9574150235333291</v>
      </c>
      <c r="N18" s="164">
        <f>K18-'[4]Augusts'!K18</f>
        <v>11347</v>
      </c>
    </row>
    <row r="19" spans="1:14" s="39" customFormat="1" ht="24" customHeight="1">
      <c r="A19" s="98" t="s">
        <v>154</v>
      </c>
      <c r="B19" s="38" t="s">
        <v>19</v>
      </c>
      <c r="C19" s="38" t="s">
        <v>19</v>
      </c>
      <c r="D19" s="164">
        <v>28591259</v>
      </c>
      <c r="E19" s="166" t="s">
        <v>19</v>
      </c>
      <c r="F19" s="224" t="s">
        <v>19</v>
      </c>
      <c r="G19" s="164">
        <f>D19-'[4]Augusts'!D19</f>
        <v>3112294</v>
      </c>
      <c r="H19" s="98" t="s">
        <v>154</v>
      </c>
      <c r="I19" s="167" t="s">
        <v>19</v>
      </c>
      <c r="J19" s="167" t="s">
        <v>19</v>
      </c>
      <c r="K19" s="157">
        <f>ROUND(D19/1000,0)</f>
        <v>28591</v>
      </c>
      <c r="L19" s="166" t="s">
        <v>19</v>
      </c>
      <c r="M19" s="224" t="s">
        <v>19</v>
      </c>
      <c r="N19" s="164">
        <f>K19-'[4]Augusts'!K19</f>
        <v>3112</v>
      </c>
    </row>
    <row r="20" spans="1:14" s="39" customFormat="1" ht="19.5" customHeight="1">
      <c r="A20" s="98" t="s">
        <v>123</v>
      </c>
      <c r="B20" s="38" t="s">
        <v>19</v>
      </c>
      <c r="C20" s="38" t="s">
        <v>19</v>
      </c>
      <c r="D20" s="164">
        <f>SUM(D21:D22)</f>
        <v>88923628.04999998</v>
      </c>
      <c r="E20" s="166" t="s">
        <v>19</v>
      </c>
      <c r="F20" s="224" t="s">
        <v>19</v>
      </c>
      <c r="G20" s="164">
        <f>SUM(G21:G22)</f>
        <v>10362943.049999982</v>
      </c>
      <c r="H20" s="98" t="s">
        <v>123</v>
      </c>
      <c r="I20" s="167" t="s">
        <v>19</v>
      </c>
      <c r="J20" s="167" t="s">
        <v>19</v>
      </c>
      <c r="K20" s="202">
        <f>SUM(K21:K22)</f>
        <v>88924</v>
      </c>
      <c r="L20" s="166" t="s">
        <v>19</v>
      </c>
      <c r="M20" s="224" t="s">
        <v>19</v>
      </c>
      <c r="N20" s="202">
        <f>SUM(N21:N22)</f>
        <v>10363</v>
      </c>
    </row>
    <row r="21" spans="1:14" s="226" customFormat="1" ht="17.25" customHeight="1">
      <c r="A21" s="130" t="s">
        <v>265</v>
      </c>
      <c r="B21" s="19" t="s">
        <v>19</v>
      </c>
      <c r="C21" s="19" t="s">
        <v>19</v>
      </c>
      <c r="D21" s="168">
        <f>37355091.54+42377399.66+2.5+36292.39+504.21</f>
        <v>79769290.29999998</v>
      </c>
      <c r="E21" s="169" t="s">
        <v>19</v>
      </c>
      <c r="F21" s="225" t="s">
        <v>19</v>
      </c>
      <c r="G21" s="164">
        <f>D21-'[4]Augusts'!D21</f>
        <v>9385272.299999982</v>
      </c>
      <c r="H21" s="130" t="s">
        <v>266</v>
      </c>
      <c r="I21" s="170" t="s">
        <v>19</v>
      </c>
      <c r="J21" s="170" t="s">
        <v>19</v>
      </c>
      <c r="K21" s="171">
        <f>ROUND(D21/1000,0)</f>
        <v>79769</v>
      </c>
      <c r="L21" s="169" t="s">
        <v>19</v>
      </c>
      <c r="M21" s="225" t="s">
        <v>19</v>
      </c>
      <c r="N21" s="168">
        <f>K21-'[4]Augusts'!K21</f>
        <v>9385</v>
      </c>
    </row>
    <row r="22" spans="1:14" s="226" customFormat="1" ht="17.25" customHeight="1">
      <c r="A22" s="130" t="s">
        <v>157</v>
      </c>
      <c r="B22" s="19" t="s">
        <v>19</v>
      </c>
      <c r="C22" s="19" t="s">
        <v>19</v>
      </c>
      <c r="D22" s="168">
        <f>4573624.52+3617747.49+937407.99-27558.85+11063+41098+955.6</f>
        <v>9154337.75</v>
      </c>
      <c r="E22" s="169" t="s">
        <v>19</v>
      </c>
      <c r="F22" s="225" t="s">
        <v>19</v>
      </c>
      <c r="G22" s="164">
        <f>D22-'[4]Augusts'!D22</f>
        <v>977670.75</v>
      </c>
      <c r="H22" s="227" t="s">
        <v>267</v>
      </c>
      <c r="I22" s="170" t="s">
        <v>19</v>
      </c>
      <c r="J22" s="170" t="s">
        <v>19</v>
      </c>
      <c r="K22" s="171">
        <f>ROUND(D22/1000,0)+1</f>
        <v>9155</v>
      </c>
      <c r="L22" s="169" t="s">
        <v>19</v>
      </c>
      <c r="M22" s="225" t="s">
        <v>19</v>
      </c>
      <c r="N22" s="168">
        <f>K22-'[4]Augusts'!K22</f>
        <v>978</v>
      </c>
    </row>
    <row r="23" spans="1:14" s="39" customFormat="1" ht="20.25" customHeight="1">
      <c r="A23" s="98" t="s">
        <v>268</v>
      </c>
      <c r="B23" s="38" t="s">
        <v>19</v>
      </c>
      <c r="C23" s="38" t="s">
        <v>19</v>
      </c>
      <c r="D23" s="164">
        <f>186839.1</f>
        <v>186839.1</v>
      </c>
      <c r="E23" s="166" t="s">
        <v>19</v>
      </c>
      <c r="F23" s="224" t="s">
        <v>19</v>
      </c>
      <c r="G23" s="164">
        <f>D23-'[4]Augusts'!D23</f>
        <v>39695.100000000006</v>
      </c>
      <c r="H23" s="98" t="s">
        <v>268</v>
      </c>
      <c r="I23" s="167" t="s">
        <v>19</v>
      </c>
      <c r="J23" s="167" t="s">
        <v>19</v>
      </c>
      <c r="K23" s="157">
        <f>ROUND(D23/1000,0)</f>
        <v>187</v>
      </c>
      <c r="L23" s="166" t="s">
        <v>19</v>
      </c>
      <c r="M23" s="224" t="s">
        <v>19</v>
      </c>
      <c r="N23" s="164">
        <f>K23-'[4]Augusts'!K23</f>
        <v>40</v>
      </c>
    </row>
    <row r="24" spans="1:14" s="39" customFormat="1" ht="26.25" customHeight="1">
      <c r="A24" s="133" t="s">
        <v>127</v>
      </c>
      <c r="B24" s="160">
        <v>28881721</v>
      </c>
      <c r="C24" s="160">
        <v>21210412</v>
      </c>
      <c r="D24" s="160">
        <f>SUM(D25,D26,D27)</f>
        <v>17919190.85</v>
      </c>
      <c r="E24" s="117">
        <f>IF(ISERROR(D24/B24)," ",(D24/B24))</f>
        <v>0.6204336247829554</v>
      </c>
      <c r="F24" s="117">
        <f>IF(ISERROR(D24/C24)," ",(D24/C24))</f>
        <v>0.8448299283389686</v>
      </c>
      <c r="G24" s="160">
        <f>SUM(G25,G26,G27)</f>
        <v>1876482.8499999996</v>
      </c>
      <c r="H24" s="133" t="s">
        <v>127</v>
      </c>
      <c r="I24" s="228">
        <f>ROUND(B24/1000,0)</f>
        <v>28882</v>
      </c>
      <c r="J24" s="228">
        <f>ROUND(C24/1000,0)</f>
        <v>21210</v>
      </c>
      <c r="K24" s="163">
        <f>SUM(K25,K26,K27)</f>
        <v>17919</v>
      </c>
      <c r="L24" s="223">
        <f>IF(ISERROR(ROUND(K24,0)/ROUND(I24,0))," ",(ROUND(K24,)/ROUND(I24,)))</f>
        <v>0.6204210234748286</v>
      </c>
      <c r="M24" s="223">
        <f>IF(ISERROR(ROUND(K24,0)/ROUND(J24,0))," ",(ROUND(K24,)/ROUND(J24,)))</f>
        <v>0.8448373408769448</v>
      </c>
      <c r="N24" s="163">
        <f>SUM(N25,N26,N27)</f>
        <v>1875</v>
      </c>
    </row>
    <row r="25" spans="1:14" s="39" customFormat="1" ht="16.5" customHeight="1">
      <c r="A25" s="98" t="s">
        <v>269</v>
      </c>
      <c r="B25" s="38" t="s">
        <v>19</v>
      </c>
      <c r="C25" s="38" t="s">
        <v>19</v>
      </c>
      <c r="D25" s="164">
        <f>8708951.85</f>
        <v>8708951.85</v>
      </c>
      <c r="E25" s="166" t="s">
        <v>19</v>
      </c>
      <c r="F25" s="224" t="s">
        <v>19</v>
      </c>
      <c r="G25" s="164">
        <f>D25-'[4]Augusts'!D25</f>
        <v>171497.84999999963</v>
      </c>
      <c r="H25" s="98" t="s">
        <v>269</v>
      </c>
      <c r="I25" s="167" t="s">
        <v>19</v>
      </c>
      <c r="J25" s="167" t="s">
        <v>19</v>
      </c>
      <c r="K25" s="157">
        <f>ROUND(D25/1000,0)</f>
        <v>8709</v>
      </c>
      <c r="L25" s="166" t="s">
        <v>19</v>
      </c>
      <c r="M25" s="224" t="s">
        <v>19</v>
      </c>
      <c r="N25" s="164">
        <f>K25-'[4]Augusts'!K25</f>
        <v>171</v>
      </c>
    </row>
    <row r="26" spans="1:14" s="39" customFormat="1" ht="17.25" customHeight="1">
      <c r="A26" s="98" t="s">
        <v>270</v>
      </c>
      <c r="B26" s="38" t="s">
        <v>19</v>
      </c>
      <c r="C26" s="38" t="s">
        <v>19</v>
      </c>
      <c r="D26" s="164">
        <v>8647945</v>
      </c>
      <c r="E26" s="166" t="s">
        <v>19</v>
      </c>
      <c r="F26" s="224" t="s">
        <v>19</v>
      </c>
      <c r="G26" s="164">
        <f>D26-'[4]Augusts'!D26</f>
        <v>1702526</v>
      </c>
      <c r="H26" s="98" t="s">
        <v>270</v>
      </c>
      <c r="I26" s="167" t="s">
        <v>19</v>
      </c>
      <c r="J26" s="167" t="s">
        <v>19</v>
      </c>
      <c r="K26" s="157">
        <f>ROUND(D26/1000,0)</f>
        <v>8648</v>
      </c>
      <c r="L26" s="166" t="s">
        <v>19</v>
      </c>
      <c r="M26" s="224" t="s">
        <v>19</v>
      </c>
      <c r="N26" s="164">
        <f>K26-'[4]Augusts'!K26</f>
        <v>1702</v>
      </c>
    </row>
    <row r="27" spans="1:14" s="39" customFormat="1" ht="24" customHeight="1">
      <c r="A27" s="98" t="s">
        <v>271</v>
      </c>
      <c r="B27" s="38" t="s">
        <v>19</v>
      </c>
      <c r="C27" s="38" t="s">
        <v>19</v>
      </c>
      <c r="D27" s="164">
        <v>562294</v>
      </c>
      <c r="E27" s="166" t="s">
        <v>19</v>
      </c>
      <c r="F27" s="224" t="s">
        <v>19</v>
      </c>
      <c r="G27" s="164">
        <f>D27-'[4]Augusts'!D27</f>
        <v>2459</v>
      </c>
      <c r="H27" s="98" t="s">
        <v>271</v>
      </c>
      <c r="I27" s="167" t="s">
        <v>19</v>
      </c>
      <c r="J27" s="167" t="s">
        <v>19</v>
      </c>
      <c r="K27" s="157">
        <f>ROUND(D27/1000,0)</f>
        <v>562</v>
      </c>
      <c r="L27" s="166" t="s">
        <v>19</v>
      </c>
      <c r="M27" s="224" t="s">
        <v>19</v>
      </c>
      <c r="N27" s="164">
        <f>K27-'[4]Augusts'!K27</f>
        <v>2</v>
      </c>
    </row>
    <row r="28" spans="1:14" s="39" customFormat="1" ht="23.25" customHeight="1">
      <c r="A28" s="229" t="s">
        <v>130</v>
      </c>
      <c r="B28" s="160">
        <v>287809350</v>
      </c>
      <c r="C28" s="160">
        <v>215152674</v>
      </c>
      <c r="D28" s="160">
        <f>SUM(D29,D30,D31,D32,D35,D40)</f>
        <v>211485836.67000002</v>
      </c>
      <c r="E28" s="117">
        <f>IF(ISERROR(D28/B28)," ",(D28/B28))</f>
        <v>0.7348122521731835</v>
      </c>
      <c r="F28" s="117">
        <f>IF(ISERROR(D28/C28)," ",(D28/C28))</f>
        <v>0.9829570450516456</v>
      </c>
      <c r="G28" s="160">
        <f>SUM(G29,G30,G31,G32,G35,G40)</f>
        <v>24670425.669999987</v>
      </c>
      <c r="H28" s="229" t="s">
        <v>130</v>
      </c>
      <c r="I28" s="228">
        <f>ROUND(B28/1000,0)</f>
        <v>287809</v>
      </c>
      <c r="J28" s="228">
        <f>ROUND(C28/1000,0)</f>
        <v>215153</v>
      </c>
      <c r="K28" s="163">
        <f>SUM(K29,K30,K31,K32,K35,K40)</f>
        <v>211487</v>
      </c>
      <c r="L28" s="223">
        <f>IF(ISERROR(ROUND(K28,0)/ROUND(I28,0))," ",(ROUND(K28,)/ROUND(I28,)))</f>
        <v>0.7348171877877342</v>
      </c>
      <c r="M28" s="223">
        <f>IF(ISERROR(ROUND(K28,0)/ROUND(J28,0))," ",(ROUND(K28,)/ROUND(J28,)))</f>
        <v>0.9829609626637787</v>
      </c>
      <c r="N28" s="163">
        <f>SUM(N29,N30,N31,N32,N35,N40)</f>
        <v>24672</v>
      </c>
    </row>
    <row r="29" spans="1:14" s="39" customFormat="1" ht="12.75">
      <c r="A29" s="46" t="s">
        <v>131</v>
      </c>
      <c r="B29" s="38" t="s">
        <v>19</v>
      </c>
      <c r="C29" s="38" t="s">
        <v>19</v>
      </c>
      <c r="D29" s="164">
        <f>1000+12571505.78+11850.57</f>
        <v>12584356.35</v>
      </c>
      <c r="E29" s="166" t="s">
        <v>19</v>
      </c>
      <c r="F29" s="224" t="s">
        <v>19</v>
      </c>
      <c r="G29" s="164">
        <f>D29-'[4]Augusts'!D29</f>
        <v>1533145.3499999996</v>
      </c>
      <c r="H29" s="46" t="s">
        <v>131</v>
      </c>
      <c r="I29" s="167" t="s">
        <v>19</v>
      </c>
      <c r="J29" s="167" t="s">
        <v>19</v>
      </c>
      <c r="K29" s="165">
        <f>ROUND(D29/1000,0)+1</f>
        <v>12585</v>
      </c>
      <c r="L29" s="166" t="s">
        <v>19</v>
      </c>
      <c r="M29" s="224" t="s">
        <v>19</v>
      </c>
      <c r="N29" s="164">
        <f>K29-'[4]Augusts'!K29</f>
        <v>1534</v>
      </c>
    </row>
    <row r="30" spans="1:14" s="39" customFormat="1" ht="15.75" customHeight="1">
      <c r="A30" s="98" t="s">
        <v>132</v>
      </c>
      <c r="B30" s="38" t="s">
        <v>19</v>
      </c>
      <c r="C30" s="38" t="s">
        <v>19</v>
      </c>
      <c r="D30" s="164">
        <v>62536535</v>
      </c>
      <c r="E30" s="166" t="s">
        <v>19</v>
      </c>
      <c r="F30" s="224" t="s">
        <v>19</v>
      </c>
      <c r="G30" s="164">
        <f>D30-'[4]Augusts'!D30</f>
        <v>5585443</v>
      </c>
      <c r="H30" s="98" t="s">
        <v>132</v>
      </c>
      <c r="I30" s="167" t="s">
        <v>19</v>
      </c>
      <c r="J30" s="167" t="s">
        <v>19</v>
      </c>
      <c r="K30" s="157">
        <f>ROUND(D30/1000,0)</f>
        <v>62537</v>
      </c>
      <c r="L30" s="166" t="s">
        <v>19</v>
      </c>
      <c r="M30" s="224" t="s">
        <v>19</v>
      </c>
      <c r="N30" s="164">
        <f>K30-'[4]Augusts'!K30</f>
        <v>5586</v>
      </c>
    </row>
    <row r="31" spans="1:14" s="39" customFormat="1" ht="16.5" customHeight="1">
      <c r="A31" s="98" t="s">
        <v>133</v>
      </c>
      <c r="B31" s="38" t="s">
        <v>19</v>
      </c>
      <c r="C31" s="38" t="s">
        <v>19</v>
      </c>
      <c r="D31" s="164">
        <v>4577258</v>
      </c>
      <c r="E31" s="166" t="s">
        <v>19</v>
      </c>
      <c r="F31" s="224" t="s">
        <v>19</v>
      </c>
      <c r="G31" s="164">
        <f>D31-'[4]Augusts'!D31</f>
        <v>508584</v>
      </c>
      <c r="H31" s="98" t="s">
        <v>133</v>
      </c>
      <c r="I31" s="167" t="s">
        <v>19</v>
      </c>
      <c r="J31" s="167" t="s">
        <v>19</v>
      </c>
      <c r="K31" s="157">
        <f>ROUND(D31/1000,0)</f>
        <v>4577</v>
      </c>
      <c r="L31" s="166" t="s">
        <v>19</v>
      </c>
      <c r="M31" s="224" t="s">
        <v>19</v>
      </c>
      <c r="N31" s="164">
        <f>K31-'[4]Augusts'!K31</f>
        <v>508</v>
      </c>
    </row>
    <row r="32" spans="1:14" s="39" customFormat="1" ht="15" customHeight="1">
      <c r="A32" s="98" t="s">
        <v>160</v>
      </c>
      <c r="B32" s="38" t="s">
        <v>19</v>
      </c>
      <c r="C32" s="38" t="s">
        <v>19</v>
      </c>
      <c r="D32" s="164">
        <f>SUM(D33,D34)</f>
        <v>72165000.27</v>
      </c>
      <c r="E32" s="166" t="s">
        <v>19</v>
      </c>
      <c r="F32" s="224" t="s">
        <v>19</v>
      </c>
      <c r="G32" s="164">
        <f>SUM(G33,G34)</f>
        <v>10112395.269999992</v>
      </c>
      <c r="H32" s="98" t="s">
        <v>160</v>
      </c>
      <c r="I32" s="167" t="s">
        <v>19</v>
      </c>
      <c r="J32" s="167" t="s">
        <v>19</v>
      </c>
      <c r="K32" s="175">
        <f>SUM(K33,K34)</f>
        <v>72165</v>
      </c>
      <c r="L32" s="166" t="s">
        <v>19</v>
      </c>
      <c r="M32" s="224" t="s">
        <v>19</v>
      </c>
      <c r="N32" s="202">
        <f>SUM(N33,N34)</f>
        <v>10112</v>
      </c>
    </row>
    <row r="33" spans="1:14" s="230" customFormat="1" ht="16.5" customHeight="1">
      <c r="A33" s="130" t="s">
        <v>272</v>
      </c>
      <c r="B33" s="19" t="s">
        <v>19</v>
      </c>
      <c r="C33" s="19" t="s">
        <v>19</v>
      </c>
      <c r="D33" s="168">
        <f>175931+41379318.73+86516.47+1370250+2653116+11939.8</f>
        <v>45677071.99999999</v>
      </c>
      <c r="E33" s="169" t="s">
        <v>19</v>
      </c>
      <c r="F33" s="225" t="s">
        <v>19</v>
      </c>
      <c r="G33" s="164">
        <f>D33-'[4]Augusts'!D33</f>
        <v>5159262.999999993</v>
      </c>
      <c r="H33" s="227" t="s">
        <v>273</v>
      </c>
      <c r="I33" s="170" t="s">
        <v>19</v>
      </c>
      <c r="J33" s="170" t="s">
        <v>19</v>
      </c>
      <c r="K33" s="171">
        <f>ROUND(D33/1000,0)</f>
        <v>45677</v>
      </c>
      <c r="L33" s="169" t="s">
        <v>19</v>
      </c>
      <c r="M33" s="225" t="s">
        <v>19</v>
      </c>
      <c r="N33" s="168">
        <f>K33-'[4]Augusts'!K33</f>
        <v>5159</v>
      </c>
    </row>
    <row r="34" spans="1:14" s="230" customFormat="1" ht="15" customHeight="1">
      <c r="A34" s="130" t="s">
        <v>274</v>
      </c>
      <c r="B34" s="19" t="s">
        <v>19</v>
      </c>
      <c r="C34" s="19" t="s">
        <v>19</v>
      </c>
      <c r="D34" s="168">
        <f>71987863+1206.27-41379318.73-86516.47-1370250-2653116-11939.8</f>
        <v>26487928.27</v>
      </c>
      <c r="E34" s="169" t="s">
        <v>19</v>
      </c>
      <c r="F34" s="225" t="s">
        <v>19</v>
      </c>
      <c r="G34" s="164">
        <f>D34-'[4]Augusts'!D34</f>
        <v>4953132.27</v>
      </c>
      <c r="H34" s="130" t="s">
        <v>275</v>
      </c>
      <c r="I34" s="170" t="s">
        <v>19</v>
      </c>
      <c r="J34" s="170" t="s">
        <v>19</v>
      </c>
      <c r="K34" s="171">
        <f>ROUND(D34/1000,0)</f>
        <v>26488</v>
      </c>
      <c r="L34" s="169" t="s">
        <v>19</v>
      </c>
      <c r="M34" s="225" t="s">
        <v>19</v>
      </c>
      <c r="N34" s="168">
        <f>K34-'[4]Augusts'!K34</f>
        <v>4953</v>
      </c>
    </row>
    <row r="35" spans="1:14" ht="15" customHeight="1">
      <c r="A35" s="98" t="s">
        <v>135</v>
      </c>
      <c r="B35" s="38" t="s">
        <v>19</v>
      </c>
      <c r="C35" s="38" t="s">
        <v>19</v>
      </c>
      <c r="D35" s="164">
        <f>SUM(D36,D37,D38,D39)</f>
        <v>57030603.05</v>
      </c>
      <c r="E35" s="166" t="s">
        <v>19</v>
      </c>
      <c r="F35" s="224" t="s">
        <v>19</v>
      </c>
      <c r="G35" s="164">
        <f>SUM(G36,G37,G38,G39)</f>
        <v>6533970.049999995</v>
      </c>
      <c r="H35" s="98" t="s">
        <v>135</v>
      </c>
      <c r="I35" s="167" t="s">
        <v>19</v>
      </c>
      <c r="J35" s="167" t="s">
        <v>19</v>
      </c>
      <c r="K35" s="175">
        <f>SUM(K36,K37,K38,K39)</f>
        <v>57031</v>
      </c>
      <c r="L35" s="166" t="s">
        <v>19</v>
      </c>
      <c r="M35" s="224" t="s">
        <v>19</v>
      </c>
      <c r="N35" s="202">
        <f>SUM(N36,N37,N38,N39)</f>
        <v>6535</v>
      </c>
    </row>
    <row r="36" spans="1:14" s="22" customFormat="1" ht="15" customHeight="1">
      <c r="A36" s="227" t="s">
        <v>276</v>
      </c>
      <c r="B36" s="19" t="s">
        <v>19</v>
      </c>
      <c r="C36" s="19" t="s">
        <v>19</v>
      </c>
      <c r="D36" s="168">
        <f>0.49-6.44+204845.04+195443.7+2306419.12</f>
        <v>2706701.91</v>
      </c>
      <c r="E36" s="169" t="s">
        <v>19</v>
      </c>
      <c r="F36" s="225" t="s">
        <v>19</v>
      </c>
      <c r="G36" s="164">
        <f>D36-'[4]Augusts'!D36</f>
        <v>2373853.91</v>
      </c>
      <c r="H36" s="227" t="s">
        <v>277</v>
      </c>
      <c r="I36" s="170" t="s">
        <v>19</v>
      </c>
      <c r="J36" s="170" t="s">
        <v>19</v>
      </c>
      <c r="K36" s="171">
        <f>ROUND(D36/1000,0)</f>
        <v>2707</v>
      </c>
      <c r="L36" s="169" t="s">
        <v>19</v>
      </c>
      <c r="M36" s="225" t="s">
        <v>19</v>
      </c>
      <c r="N36" s="168">
        <f>K36-'[4]Augusts'!K36</f>
        <v>2374</v>
      </c>
    </row>
    <row r="37" spans="1:14" s="22" customFormat="1" ht="15" customHeight="1">
      <c r="A37" s="130" t="s">
        <v>278</v>
      </c>
      <c r="B37" s="19" t="s">
        <v>19</v>
      </c>
      <c r="C37" s="19" t="s">
        <v>19</v>
      </c>
      <c r="D37" s="168">
        <f>7942882.66+22739639.66+2525588+3350389.34+3180818.79+5863510.32</f>
        <v>45602828.769999996</v>
      </c>
      <c r="E37" s="169" t="s">
        <v>19</v>
      </c>
      <c r="F37" s="225" t="s">
        <v>19</v>
      </c>
      <c r="G37" s="164">
        <f>D37-'[4]Augusts'!D37</f>
        <v>2852671.769999996</v>
      </c>
      <c r="H37" s="130" t="s">
        <v>279</v>
      </c>
      <c r="I37" s="170" t="s">
        <v>19</v>
      </c>
      <c r="J37" s="170" t="s">
        <v>19</v>
      </c>
      <c r="K37" s="171">
        <f>ROUND(D37/1000,0)</f>
        <v>45603</v>
      </c>
      <c r="L37" s="169" t="s">
        <v>19</v>
      </c>
      <c r="M37" s="225" t="s">
        <v>19</v>
      </c>
      <c r="N37" s="168">
        <f>K37-'[4]Augusts'!K37</f>
        <v>2853</v>
      </c>
    </row>
    <row r="38" spans="1:14" s="22" customFormat="1" ht="15" customHeight="1">
      <c r="A38" s="130" t="s">
        <v>280</v>
      </c>
      <c r="B38" s="19" t="s">
        <v>19</v>
      </c>
      <c r="C38" s="19" t="s">
        <v>19</v>
      </c>
      <c r="D38" s="168">
        <f>20231.13+4807126.56+7.5-213.74</f>
        <v>4827151.449999999</v>
      </c>
      <c r="E38" s="169" t="s">
        <v>19</v>
      </c>
      <c r="F38" s="225" t="s">
        <v>19</v>
      </c>
      <c r="G38" s="164">
        <f>D38-'[4]Augusts'!D38</f>
        <v>746904.4499999993</v>
      </c>
      <c r="H38" s="130" t="s">
        <v>281</v>
      </c>
      <c r="I38" s="170" t="s">
        <v>19</v>
      </c>
      <c r="J38" s="170" t="s">
        <v>19</v>
      </c>
      <c r="K38" s="171">
        <f>ROUND(D38/1000,0)</f>
        <v>4827</v>
      </c>
      <c r="L38" s="169" t="s">
        <v>19</v>
      </c>
      <c r="M38" s="225" t="s">
        <v>19</v>
      </c>
      <c r="N38" s="168">
        <f>K38-'[4]Augusts'!K38</f>
        <v>747</v>
      </c>
    </row>
    <row r="39" spans="1:14" s="22" customFormat="1" ht="15" customHeight="1">
      <c r="A39" s="130" t="s">
        <v>282</v>
      </c>
      <c r="B39" s="19" t="s">
        <v>19</v>
      </c>
      <c r="C39" s="19" t="s">
        <v>19</v>
      </c>
      <c r="D39" s="168">
        <f>1109663.77+29928+316768.88+26+2436785.07+749.2</f>
        <v>3893920.92</v>
      </c>
      <c r="E39" s="169" t="s">
        <v>19</v>
      </c>
      <c r="F39" s="225" t="s">
        <v>19</v>
      </c>
      <c r="G39" s="164">
        <f>D39-'[4]Augusts'!D39</f>
        <v>560539.9199999999</v>
      </c>
      <c r="H39" s="130" t="s">
        <v>283</v>
      </c>
      <c r="I39" s="170" t="s">
        <v>19</v>
      </c>
      <c r="J39" s="170" t="s">
        <v>19</v>
      </c>
      <c r="K39" s="171">
        <f>ROUND(D39/1000,0)</f>
        <v>3894</v>
      </c>
      <c r="L39" s="169" t="s">
        <v>19</v>
      </c>
      <c r="M39" s="225" t="s">
        <v>19</v>
      </c>
      <c r="N39" s="168">
        <f>K39-'[4]Augusts'!K39</f>
        <v>561</v>
      </c>
    </row>
    <row r="40" spans="1:14" ht="18.75" customHeight="1">
      <c r="A40" s="98" t="s">
        <v>284</v>
      </c>
      <c r="B40" s="164">
        <v>4502554</v>
      </c>
      <c r="C40" s="164">
        <v>3860449</v>
      </c>
      <c r="D40" s="164">
        <v>2592084</v>
      </c>
      <c r="E40" s="117">
        <f>IF(ISERROR(D40/B40)," ",(D40/B40))</f>
        <v>0.5756919295137827</v>
      </c>
      <c r="F40" s="117">
        <f>IF(ISERROR(D40/C40)," ",(D40/C40))</f>
        <v>0.6714462488689787</v>
      </c>
      <c r="G40" s="164">
        <f>D40-'[4]Augusts'!D40</f>
        <v>396888</v>
      </c>
      <c r="H40" s="98" t="s">
        <v>284</v>
      </c>
      <c r="I40" s="95">
        <f>ROUND(B40/1000,0)</f>
        <v>4503</v>
      </c>
      <c r="J40" s="95">
        <f>ROUND(C40/1000,0)</f>
        <v>3860</v>
      </c>
      <c r="K40" s="157">
        <f>ROUND(D40/1000,0)</f>
        <v>2592</v>
      </c>
      <c r="L40" s="221">
        <f>IF(ISERROR(ROUND(K40,0)/ROUND(I40,0))," ",(ROUND(K40,)/ROUND(I40,)))</f>
        <v>0.5756162558294471</v>
      </c>
      <c r="M40" s="221">
        <f>IF(ISERROR(ROUND(K40,0)/ROUND(J40,0))," ",(ROUND(K40,)/ROUND(J40,)))</f>
        <v>0.6715025906735751</v>
      </c>
      <c r="N40" s="164">
        <f>K40-'[4]Augusts'!K40</f>
        <v>397</v>
      </c>
    </row>
    <row r="41" spans="1:14" ht="27" customHeight="1">
      <c r="A41" s="115" t="s">
        <v>168</v>
      </c>
      <c r="B41" s="84">
        <f>SUM(B42:B43)</f>
        <v>62464319</v>
      </c>
      <c r="C41" s="84">
        <f>SUM(C42:C43)</f>
        <v>48994543</v>
      </c>
      <c r="D41" s="84">
        <f>SUM(D42:D43)</f>
        <v>40917504.31</v>
      </c>
      <c r="E41" s="117">
        <f>IF(ISERROR(D41/B41)," ",(D41/B41))</f>
        <v>0.6550540366893298</v>
      </c>
      <c r="F41" s="117">
        <f>IF(ISERROR(D41/C41)," ",(D41/C41))</f>
        <v>0.8351441161518743</v>
      </c>
      <c r="G41" s="84">
        <f>SUM(G42:G43)</f>
        <v>6360190.310000002</v>
      </c>
      <c r="H41" s="115" t="s">
        <v>168</v>
      </c>
      <c r="I41" s="222">
        <f>SUM(I42:I43)</f>
        <v>62464</v>
      </c>
      <c r="J41" s="222">
        <f>SUM(J42:J43)</f>
        <v>48994</v>
      </c>
      <c r="K41" s="222">
        <f>SUM(K42:K43)</f>
        <v>40917</v>
      </c>
      <c r="L41" s="220">
        <f>IF(ISERROR(ROUND(K41,0)/ROUND(I41,0))," ",(ROUND(K41,)/ROUND(I41,)))</f>
        <v>0.6550493084016393</v>
      </c>
      <c r="M41" s="220">
        <f>IF(ISERROR(ROUND(K41,0)/ROUND(J41,0))," ",(ROUND(K41,)/ROUND(J41,)))</f>
        <v>0.835143078744336</v>
      </c>
      <c r="N41" s="222">
        <f>SUM(N42:N43)</f>
        <v>6360</v>
      </c>
    </row>
    <row r="42" spans="1:14" ht="24" customHeight="1">
      <c r="A42" s="208" t="s">
        <v>137</v>
      </c>
      <c r="B42" s="164">
        <v>14475786</v>
      </c>
      <c r="C42" s="164">
        <v>11596148</v>
      </c>
      <c r="D42" s="164">
        <f>5569964.33+37815.32+408527.2+2461804.81+46141.25+121481</f>
        <v>8645733.91</v>
      </c>
      <c r="E42" s="117">
        <f>IF(ISERROR(D42/B42)," ",(D42/B42))</f>
        <v>0.5972548855032811</v>
      </c>
      <c r="F42" s="117">
        <f>IF(ISERROR(D42/C42)," ",(D42/C42))</f>
        <v>0.7455694692754871</v>
      </c>
      <c r="G42" s="164">
        <f>D42-'[4]Augusts'!D42</f>
        <v>1163958.9100000001</v>
      </c>
      <c r="H42" s="208" t="s">
        <v>137</v>
      </c>
      <c r="I42" s="231">
        <f aca="true" t="shared" si="6" ref="I42:K43">ROUND(B42/1000,0)</f>
        <v>14476</v>
      </c>
      <c r="J42" s="231">
        <f t="shared" si="6"/>
        <v>11596</v>
      </c>
      <c r="K42" s="157">
        <f>ROUND(D42/1000,0)-1</f>
        <v>8645</v>
      </c>
      <c r="L42" s="221">
        <f>IF(ISERROR(ROUND(K42,0)/ROUND(I42,0))," ",(ROUND(K42,)/ROUND(I42,)))</f>
        <v>0.5971953578336557</v>
      </c>
      <c r="M42" s="221">
        <f>IF(ISERROR(ROUND(K42,0)/ROUND(J42,0))," ",(ROUND(K42,)/ROUND(J42,)))</f>
        <v>0.7455156950672646</v>
      </c>
      <c r="N42" s="164">
        <f>K42-'[4]Augusts'!K42</f>
        <v>1163</v>
      </c>
    </row>
    <row r="43" spans="1:14" ht="19.5" customHeight="1">
      <c r="A43" s="98" t="s">
        <v>138</v>
      </c>
      <c r="B43" s="164">
        <v>47988533</v>
      </c>
      <c r="C43" s="164">
        <v>37398395</v>
      </c>
      <c r="D43" s="168">
        <f>3501.05+32258751.35+9518</f>
        <v>32271770.400000002</v>
      </c>
      <c r="E43" s="117">
        <f>IF(ISERROR(D43/B43)," ",(D43/B43))</f>
        <v>0.6724892048690049</v>
      </c>
      <c r="F43" s="117">
        <f>IF(ISERROR(D43/C43)," ",(D43/C43))</f>
        <v>0.8629185931642255</v>
      </c>
      <c r="G43" s="164">
        <f>D43-'[4]Augusts'!D43</f>
        <v>5196231.400000002</v>
      </c>
      <c r="H43" s="98" t="s">
        <v>138</v>
      </c>
      <c r="I43" s="231">
        <f>ROUND(B43/1000,0)-1</f>
        <v>47988</v>
      </c>
      <c r="J43" s="231">
        <f>ROUND(C43/1000,0)</f>
        <v>37398</v>
      </c>
      <c r="K43" s="157">
        <f t="shared" si="6"/>
        <v>32272</v>
      </c>
      <c r="L43" s="221">
        <f>IF(ISERROR(ROUND(K43,0)/ROUND(I43,0))," ",(ROUND(K43,)/ROUND(I43,)))</f>
        <v>0.6725014586980078</v>
      </c>
      <c r="M43" s="221">
        <f>IF(ISERROR(ROUND(K43,0)/ROUND(J43,0))," ",(ROUND(K43,)/ROUND(J43,)))</f>
        <v>0.8629338467297717</v>
      </c>
      <c r="N43" s="164">
        <f>K43-'[4]Augusts'!K43</f>
        <v>5197</v>
      </c>
    </row>
    <row r="44" spans="1:14" ht="30" customHeight="1">
      <c r="A44" s="177" t="s">
        <v>285</v>
      </c>
      <c r="B44" s="38">
        <v>89768122</v>
      </c>
      <c r="C44" s="38" t="s">
        <v>19</v>
      </c>
      <c r="D44" s="84">
        <f>SUM(D45-D46)</f>
        <v>56377998</v>
      </c>
      <c r="E44" s="166" t="s">
        <v>19</v>
      </c>
      <c r="F44" s="224" t="s">
        <v>19</v>
      </c>
      <c r="G44" s="84">
        <f>SUM(G45-G46)</f>
        <v>10857134</v>
      </c>
      <c r="H44" s="177" t="s">
        <v>285</v>
      </c>
      <c r="I44" s="167" t="s">
        <v>19</v>
      </c>
      <c r="J44" s="167" t="s">
        <v>19</v>
      </c>
      <c r="K44" s="222">
        <f>SUM(K45-K46)</f>
        <v>56378</v>
      </c>
      <c r="L44" s="166" t="s">
        <v>19</v>
      </c>
      <c r="M44" s="224" t="s">
        <v>19</v>
      </c>
      <c r="N44" s="222">
        <f>SUM(N45-N46)</f>
        <v>10857</v>
      </c>
    </row>
    <row r="45" spans="1:14" ht="18.75" customHeight="1">
      <c r="A45" s="46" t="s">
        <v>171</v>
      </c>
      <c r="B45" s="164"/>
      <c r="C45" s="38" t="s">
        <v>19</v>
      </c>
      <c r="D45" s="232">
        <v>88746063</v>
      </c>
      <c r="E45" s="117"/>
      <c r="F45" s="117"/>
      <c r="G45" s="164">
        <f>D45-'[4]Augusts'!D45</f>
        <v>12283953</v>
      </c>
      <c r="H45" s="46" t="s">
        <v>171</v>
      </c>
      <c r="I45" s="231">
        <f aca="true" t="shared" si="7" ref="I45:K46">ROUND(B45/1000,0)</f>
        <v>0</v>
      </c>
      <c r="J45" s="233" t="s">
        <v>19</v>
      </c>
      <c r="K45" s="157">
        <f>ROUND(D45/1000,0)</f>
        <v>88746</v>
      </c>
      <c r="L45" s="166" t="s">
        <v>19</v>
      </c>
      <c r="M45" s="166" t="s">
        <v>19</v>
      </c>
      <c r="N45" s="164">
        <f>K45-'[4]Augusts'!K45</f>
        <v>12284</v>
      </c>
    </row>
    <row r="46" spans="1:14" ht="21.75" customHeight="1">
      <c r="A46" s="139" t="s">
        <v>172</v>
      </c>
      <c r="B46" s="164"/>
      <c r="C46" s="38" t="s">
        <v>19</v>
      </c>
      <c r="D46" s="164">
        <v>32368065</v>
      </c>
      <c r="E46" s="117"/>
      <c r="F46" s="117"/>
      <c r="G46" s="164">
        <f>D46-'[4]Augusts'!D46</f>
        <v>1426819</v>
      </c>
      <c r="H46" s="139" t="s">
        <v>172</v>
      </c>
      <c r="I46" s="231">
        <f t="shared" si="7"/>
        <v>0</v>
      </c>
      <c r="J46" s="233" t="s">
        <v>19</v>
      </c>
      <c r="K46" s="157">
        <f t="shared" si="7"/>
        <v>32368</v>
      </c>
      <c r="L46" s="166" t="s">
        <v>19</v>
      </c>
      <c r="M46" s="166" t="s">
        <v>19</v>
      </c>
      <c r="N46" s="164">
        <f>K46-'[4]Augusts'!K46</f>
        <v>1427</v>
      </c>
    </row>
    <row r="47" spans="1:14" s="39" customFormat="1" ht="19.5" customHeight="1" hidden="1">
      <c r="A47" s="135" t="s">
        <v>173</v>
      </c>
      <c r="B47" s="164">
        <v>-96292223</v>
      </c>
      <c r="C47" s="38" t="s">
        <v>19</v>
      </c>
      <c r="D47" s="84">
        <f>SUM(D11-D15-D44)</f>
        <v>-34429906.97999996</v>
      </c>
      <c r="E47" s="117">
        <f>IF(ISERROR(D47/B47)," ",(D47/B47))</f>
        <v>0.35755646621638343</v>
      </c>
      <c r="F47" s="224" t="s">
        <v>19</v>
      </c>
      <c r="G47" s="84">
        <f>SUM(G11-G15-G44)</f>
        <v>-9977348.979999974</v>
      </c>
      <c r="H47" s="135" t="s">
        <v>173</v>
      </c>
      <c r="I47" s="178">
        <f>ROUND(B47/1000,0)</f>
        <v>-96292</v>
      </c>
      <c r="J47" s="167" t="s">
        <v>19</v>
      </c>
      <c r="K47" s="222">
        <f>SUM(K11-K15-K44)</f>
        <v>-34430</v>
      </c>
      <c r="L47" s="220">
        <f>IF(ISERROR(ROUND(K47,0)/ROUND(I47,0))," ",(ROUND(K47,)/ROUND(I47,)))</f>
        <v>0.35755826029161303</v>
      </c>
      <c r="M47" s="224" t="s">
        <v>19</v>
      </c>
      <c r="N47" s="222">
        <f>SUM(N11-N15-N44)</f>
        <v>-9976</v>
      </c>
    </row>
    <row r="48" spans="1:14" ht="12.75" customHeight="1">
      <c r="A48" s="101"/>
      <c r="B48" s="59"/>
      <c r="C48" s="59"/>
      <c r="D48" s="59"/>
      <c r="E48" s="190"/>
      <c r="F48" s="234"/>
      <c r="G48" s="8"/>
      <c r="H48" s="101"/>
      <c r="I48" s="59"/>
      <c r="J48" s="59"/>
      <c r="K48" s="59"/>
      <c r="L48" s="190"/>
      <c r="M48" s="234"/>
      <c r="N48" s="8"/>
    </row>
    <row r="49" spans="1:14" ht="0.75" customHeight="1" hidden="1">
      <c r="A49" s="217"/>
      <c r="B49" s="149"/>
      <c r="C49" s="149"/>
      <c r="D49" s="149"/>
      <c r="E49" s="191"/>
      <c r="F49" s="150"/>
      <c r="G49" s="8"/>
      <c r="H49" s="217"/>
      <c r="I49" s="149"/>
      <c r="J49" s="149"/>
      <c r="K49" s="149"/>
      <c r="L49" s="191"/>
      <c r="M49" s="150"/>
      <c r="N49" s="8"/>
    </row>
    <row r="50" spans="1:14" ht="12.75">
      <c r="A50" s="12"/>
      <c r="B50" s="103"/>
      <c r="C50" s="73"/>
      <c r="D50" s="235"/>
      <c r="E50" s="12"/>
      <c r="F50" s="236"/>
      <c r="G50" s="8"/>
      <c r="H50" s="12"/>
      <c r="I50" s="103"/>
      <c r="J50" s="73"/>
      <c r="K50" s="235"/>
      <c r="L50" s="12"/>
      <c r="M50" s="236"/>
      <c r="N50" s="8"/>
    </row>
    <row r="51" spans="1:14" ht="12.75">
      <c r="A51" s="77" t="s">
        <v>286</v>
      </c>
      <c r="B51" s="12"/>
      <c r="C51" s="12"/>
      <c r="D51" s="12"/>
      <c r="E51" s="12"/>
      <c r="F51" s="12"/>
      <c r="G51" s="8"/>
      <c r="I51" s="12"/>
      <c r="J51" s="12"/>
      <c r="K51" s="12"/>
      <c r="L51" s="12"/>
      <c r="M51" s="12"/>
      <c r="N51" s="8"/>
    </row>
    <row r="52" spans="1:14" ht="12.75">
      <c r="A52" s="12"/>
      <c r="B52" s="8"/>
      <c r="C52" s="8"/>
      <c r="D52" s="8"/>
      <c r="E52" s="8"/>
      <c r="F52" s="8"/>
      <c r="G52" s="8"/>
      <c r="I52" s="8"/>
      <c r="J52" s="8"/>
      <c r="K52" s="8"/>
      <c r="L52" s="8"/>
      <c r="M52" s="8"/>
      <c r="N52" s="8"/>
    </row>
    <row r="53" spans="1:14" ht="12.75">
      <c r="A53" s="8"/>
      <c r="B53" s="8"/>
      <c r="C53" s="8"/>
      <c r="D53" s="8"/>
      <c r="E53" s="8"/>
      <c r="F53" s="8"/>
      <c r="G53" s="8"/>
      <c r="I53" s="8"/>
      <c r="J53" s="8"/>
      <c r="K53" s="8"/>
      <c r="L53" s="8"/>
      <c r="M53" s="8"/>
      <c r="N53" s="8"/>
    </row>
    <row r="54" spans="1:14" ht="12.75">
      <c r="A54" s="8" t="s">
        <v>144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8" t="s">
        <v>95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7:14" ht="12.75">
      <c r="G58" s="8"/>
      <c r="N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8" ht="12.75">
      <c r="A68" s="8"/>
      <c r="B68" s="8"/>
      <c r="C68" s="8"/>
      <c r="D68" s="8"/>
      <c r="E68" s="8"/>
      <c r="F68" s="8"/>
      <c r="G68" s="8"/>
      <c r="H68" s="77" t="s">
        <v>143</v>
      </c>
    </row>
    <row r="69" spans="1:8" ht="12.75">
      <c r="A69" s="8"/>
      <c r="B69" s="8"/>
      <c r="C69" s="8"/>
      <c r="D69" s="8"/>
      <c r="E69" s="8"/>
      <c r="F69" s="8"/>
      <c r="G69" s="8"/>
      <c r="H69" s="12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 t="s">
        <v>144</v>
      </c>
    </row>
    <row r="72" spans="1:8" ht="12.75">
      <c r="A72" s="8"/>
      <c r="B72" s="8"/>
      <c r="C72" s="8"/>
      <c r="D72" s="8"/>
      <c r="E72" s="8"/>
      <c r="F72" s="8"/>
      <c r="G72" s="8"/>
      <c r="H72" s="8" t="s">
        <v>95</v>
      </c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8" ht="12.75">
      <c r="A288" s="8"/>
      <c r="B288" s="8"/>
      <c r="C288" s="8"/>
      <c r="D288" s="8"/>
      <c r="E288" s="8"/>
      <c r="F288" s="8"/>
      <c r="G288" s="8"/>
      <c r="H288" s="8"/>
    </row>
    <row r="289" spans="1:8" ht="12.75">
      <c r="A289" s="8"/>
      <c r="B289" s="8"/>
      <c r="C289" s="8"/>
      <c r="D289" s="8"/>
      <c r="E289" s="8"/>
      <c r="F289" s="8"/>
      <c r="G289" s="8"/>
      <c r="H289" s="8"/>
    </row>
    <row r="290" spans="1:8" ht="12.75">
      <c r="A290" s="8"/>
      <c r="B290" s="8"/>
      <c r="C290" s="8"/>
      <c r="D290" s="8"/>
      <c r="E290" s="8"/>
      <c r="F290" s="8"/>
      <c r="G290" s="8"/>
      <c r="H290" s="8"/>
    </row>
    <row r="291" spans="1:8" ht="12.75">
      <c r="A291" s="8"/>
      <c r="B291" s="8"/>
      <c r="C291" s="8"/>
      <c r="D291" s="8"/>
      <c r="E291" s="8"/>
      <c r="F291" s="8"/>
      <c r="G291" s="8"/>
      <c r="H291" s="8"/>
    </row>
    <row r="292" spans="1:8" ht="12.75">
      <c r="A292" s="8"/>
      <c r="B292" s="8"/>
      <c r="C292" s="8"/>
      <c r="D292" s="8"/>
      <c r="E292" s="8"/>
      <c r="F292" s="8"/>
      <c r="G292" s="8"/>
      <c r="H292" s="8"/>
    </row>
    <row r="293" spans="1:8" ht="12.75">
      <c r="A293" s="8"/>
      <c r="B293" s="8"/>
      <c r="C293" s="8"/>
      <c r="D293" s="8"/>
      <c r="E293" s="8"/>
      <c r="F293" s="8"/>
      <c r="G293" s="8"/>
      <c r="H293" s="8"/>
    </row>
    <row r="294" spans="1:8" ht="12.75">
      <c r="A294" s="8"/>
      <c r="B294" s="8"/>
      <c r="C294" s="8"/>
      <c r="D294" s="8"/>
      <c r="E294" s="8"/>
      <c r="F294" s="8"/>
      <c r="G294" s="8"/>
      <c r="H294" s="8"/>
    </row>
    <row r="295" spans="1:8" ht="12.75">
      <c r="A295" s="8"/>
      <c r="B295" s="8"/>
      <c r="C295" s="8"/>
      <c r="D295" s="8"/>
      <c r="E295" s="8"/>
      <c r="F295" s="8"/>
      <c r="G295" s="8"/>
      <c r="H295" s="8"/>
    </row>
    <row r="296" spans="1:8" ht="12.75">
      <c r="A296" s="8"/>
      <c r="B296" s="8"/>
      <c r="C296" s="8"/>
      <c r="D296" s="8"/>
      <c r="E296" s="8"/>
      <c r="F296" s="8"/>
      <c r="G296" s="8"/>
      <c r="H296" s="8"/>
    </row>
    <row r="297" spans="1:8" ht="12.75">
      <c r="A297" s="8"/>
      <c r="B297" s="8"/>
      <c r="C297" s="8"/>
      <c r="D297" s="8"/>
      <c r="E297" s="8"/>
      <c r="F297" s="8"/>
      <c r="G297" s="8"/>
      <c r="H297" s="8"/>
    </row>
    <row r="298" spans="1:8" ht="12.75">
      <c r="A298" s="8"/>
      <c r="B298" s="8"/>
      <c r="C298" s="8"/>
      <c r="D298" s="8"/>
      <c r="E298" s="8"/>
      <c r="F298" s="8"/>
      <c r="G298" s="8"/>
      <c r="H298" s="8"/>
    </row>
    <row r="299" spans="1:8" ht="12.75">
      <c r="A299" s="8"/>
      <c r="B299" s="8"/>
      <c r="C299" s="8"/>
      <c r="D299" s="8"/>
      <c r="E299" s="8"/>
      <c r="F299" s="8"/>
      <c r="G299" s="8"/>
      <c r="H299" s="8"/>
    </row>
    <row r="300" spans="1:8" ht="12.75">
      <c r="A300" s="8"/>
      <c r="B300" s="8"/>
      <c r="C300" s="8"/>
      <c r="D300" s="8"/>
      <c r="E300" s="8"/>
      <c r="F300" s="8"/>
      <c r="G300" s="8"/>
      <c r="H300" s="8"/>
    </row>
    <row r="301" spans="1:8" ht="12.75">
      <c r="A301" s="8"/>
      <c r="B301" s="8"/>
      <c r="C301" s="8"/>
      <c r="D301" s="8"/>
      <c r="E301" s="8"/>
      <c r="F301" s="8"/>
      <c r="G301" s="8"/>
      <c r="H301" s="8"/>
    </row>
    <row r="302" spans="1:8" ht="12.75">
      <c r="A302" s="8"/>
      <c r="B302" s="8"/>
      <c r="C302" s="8"/>
      <c r="D302" s="8"/>
      <c r="E302" s="8"/>
      <c r="F302" s="8"/>
      <c r="G302" s="8"/>
      <c r="H302" s="8"/>
    </row>
    <row r="303" spans="1:8" ht="12.75">
      <c r="A303" s="8"/>
      <c r="B303" s="8"/>
      <c r="C303" s="8"/>
      <c r="D303" s="8"/>
      <c r="E303" s="8"/>
      <c r="F303" s="8"/>
      <c r="G303" s="8"/>
      <c r="H303" s="8"/>
    </row>
    <row r="304" spans="1:8" ht="12.75">
      <c r="A304" s="8"/>
      <c r="B304" s="8"/>
      <c r="C304" s="8"/>
      <c r="D304" s="8"/>
      <c r="E304" s="8"/>
      <c r="F304" s="8"/>
      <c r="G304" s="8"/>
      <c r="H304" s="8"/>
    </row>
    <row r="305" spans="1:8" ht="12.75">
      <c r="A305" s="8"/>
      <c r="B305" s="8"/>
      <c r="C305" s="8"/>
      <c r="D305" s="8"/>
      <c r="E305" s="8"/>
      <c r="F305" s="8"/>
      <c r="G305" s="8"/>
      <c r="H305" s="8"/>
    </row>
    <row r="306" spans="1:8" ht="12.75">
      <c r="A306" s="8"/>
      <c r="B306" s="8"/>
      <c r="C306" s="8"/>
      <c r="D306" s="8"/>
      <c r="E306" s="8"/>
      <c r="F306" s="8"/>
      <c r="G306" s="8"/>
      <c r="H306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7"/>
  <sheetViews>
    <sheetView workbookViewId="0" topLeftCell="G1">
      <selection activeCell="A7" sqref="A7"/>
    </sheetView>
  </sheetViews>
  <sheetFormatPr defaultColWidth="9.140625" defaultRowHeight="12.75"/>
  <cols>
    <col min="1" max="1" width="46.28125" style="4" hidden="1" customWidth="1"/>
    <col min="2" max="2" width="14.421875" style="4" hidden="1" customWidth="1"/>
    <col min="3" max="3" width="11.8515625" style="4" hidden="1" customWidth="1"/>
    <col min="4" max="4" width="10.57421875" style="4" hidden="1" customWidth="1"/>
    <col min="5" max="5" width="10.140625" style="4" hidden="1" customWidth="1"/>
    <col min="6" max="6" width="12.28125" style="4" hidden="1" customWidth="1"/>
    <col min="7" max="7" width="48.7109375" style="0" customWidth="1"/>
    <col min="8" max="8" width="11.14062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10.00390625" style="0" customWidth="1"/>
    <col min="34" max="16384" width="9.140625" style="70" customWidth="1"/>
  </cols>
  <sheetData>
    <row r="1" spans="1:12" ht="12.75">
      <c r="A1" s="56"/>
      <c r="B1" s="56"/>
      <c r="C1" s="56"/>
      <c r="D1" s="56"/>
      <c r="F1" s="4" t="s">
        <v>176</v>
      </c>
      <c r="L1" s="4" t="s">
        <v>176</v>
      </c>
    </row>
    <row r="2" spans="1:12" ht="12.75">
      <c r="A2" s="3" t="s">
        <v>177</v>
      </c>
      <c r="B2" s="3"/>
      <c r="C2" s="109"/>
      <c r="D2" s="109"/>
      <c r="E2" s="3"/>
      <c r="G2" s="289" t="s">
        <v>177</v>
      </c>
      <c r="H2" s="289"/>
      <c r="I2" s="289"/>
      <c r="J2" s="289"/>
      <c r="K2" s="289"/>
      <c r="L2" s="289"/>
    </row>
    <row r="3" spans="1:5" ht="12.75">
      <c r="A3" s="3"/>
      <c r="B3" s="3"/>
      <c r="C3" s="109"/>
      <c r="D3" s="109"/>
      <c r="E3" s="3"/>
    </row>
    <row r="4" spans="1:12" ht="18" customHeight="1">
      <c r="A4" s="292" t="s">
        <v>178</v>
      </c>
      <c r="B4" s="292"/>
      <c r="C4" s="292"/>
      <c r="D4" s="292"/>
      <c r="E4" s="292"/>
      <c r="F4" s="292"/>
      <c r="G4" s="292" t="s">
        <v>178</v>
      </c>
      <c r="H4" s="292"/>
      <c r="I4" s="292"/>
      <c r="J4" s="292"/>
      <c r="K4" s="292"/>
      <c r="L4" s="292"/>
    </row>
    <row r="5" spans="1:12" ht="18" customHeight="1">
      <c r="A5" s="292" t="s">
        <v>179</v>
      </c>
      <c r="B5" s="292"/>
      <c r="C5" s="292"/>
      <c r="D5" s="292"/>
      <c r="E5" s="292"/>
      <c r="F5" s="292"/>
      <c r="G5" s="292" t="s">
        <v>179</v>
      </c>
      <c r="H5" s="292"/>
      <c r="I5" s="292"/>
      <c r="J5" s="292"/>
      <c r="K5" s="292"/>
      <c r="L5" s="292"/>
    </row>
    <row r="6" spans="1:12" ht="12.75">
      <c r="A6" s="197"/>
      <c r="B6" s="56"/>
      <c r="C6" s="56"/>
      <c r="D6" s="56"/>
      <c r="F6" s="56" t="s">
        <v>180</v>
      </c>
      <c r="L6" s="56" t="s">
        <v>180</v>
      </c>
    </row>
    <row r="7" spans="1:12" ht="45">
      <c r="A7" s="10" t="s">
        <v>7</v>
      </c>
      <c r="B7" s="10" t="s">
        <v>70</v>
      </c>
      <c r="C7" s="10" t="s">
        <v>112</v>
      </c>
      <c r="D7" s="10" t="s">
        <v>71</v>
      </c>
      <c r="E7" s="10" t="s">
        <v>181</v>
      </c>
      <c r="F7" s="10" t="s">
        <v>16</v>
      </c>
      <c r="G7" s="10" t="s">
        <v>7</v>
      </c>
      <c r="H7" s="10" t="s">
        <v>70</v>
      </c>
      <c r="I7" s="10" t="s">
        <v>182</v>
      </c>
      <c r="J7" s="10" t="s">
        <v>71</v>
      </c>
      <c r="K7" s="10" t="s">
        <v>181</v>
      </c>
      <c r="L7" s="10" t="s">
        <v>16</v>
      </c>
    </row>
    <row r="8" spans="1:12" ht="12.75">
      <c r="A8" s="9">
        <v>1</v>
      </c>
      <c r="B8" s="81">
        <v>2</v>
      </c>
      <c r="C8" s="114">
        <v>3</v>
      </c>
      <c r="D8" s="114">
        <v>4</v>
      </c>
      <c r="E8" s="114">
        <v>5</v>
      </c>
      <c r="F8" s="9">
        <v>6</v>
      </c>
      <c r="G8" s="9">
        <v>1</v>
      </c>
      <c r="H8" s="81">
        <v>2</v>
      </c>
      <c r="I8" s="114">
        <v>3</v>
      </c>
      <c r="J8" s="114">
        <v>4</v>
      </c>
      <c r="K8" s="114">
        <v>5</v>
      </c>
      <c r="L8" s="9">
        <v>6</v>
      </c>
    </row>
    <row r="9" spans="1:33" s="4" customFormat="1" ht="21" customHeight="1">
      <c r="A9" s="54" t="s">
        <v>183</v>
      </c>
      <c r="B9" s="198">
        <f>SUM(B19+B24+B30+B36+B42+B47+B55+B61+B72+B79+B87+B97+B104+B111+B116+B173+B184+B192+B198+B204+B211)-2600000</f>
        <v>766212969</v>
      </c>
      <c r="C9" s="13">
        <f>SUM(C19+C24+C30+C36+C42+C47+C55+C61+C72+C79+C87+C97+C104+C111+C116+C173+C184+C192+C198+C204+C211)-1444000</f>
        <v>562009621</v>
      </c>
      <c r="D9" s="13">
        <f>SUM(D19+D24+D30+D36+D42+D47+D55+D61+D72+D79+D87+D97+D104+D111+D116+D173+D184+D192+D198+D204+D211)-775101</f>
        <v>516405237</v>
      </c>
      <c r="E9" s="117">
        <f>IF(ISERROR(D9/B9)," ",(D9/B9))</f>
        <v>0.673970890461396</v>
      </c>
      <c r="F9" s="13">
        <f>SUM(F19+F24+F30+F36+F42+F47+F55+F61+F72+F79+F87+F97+F104+F111+F116+F173+F184+F192+F198+F204+F211)-381513</f>
        <v>60305112</v>
      </c>
      <c r="G9" s="54" t="s">
        <v>183</v>
      </c>
      <c r="H9" s="198">
        <f>SUM(H19+H24+H30+H36+H42+H47+H55+H61+H72+H79+H87+H97+H104+H111+H116+H173+H184+H192+H198+H204+H211)-2600</f>
        <v>766213</v>
      </c>
      <c r="I9" s="198">
        <f>SUM(I19+I24+I30+I36+I42+I47+I55+I61+I72+I79+I87+I97+I104+I111+I116+I173+I184+I192+I198+I204+I211)-1444</f>
        <v>562010</v>
      </c>
      <c r="J9" s="198">
        <f>SUM(J19+J24+J30+J36+J42+J47+J55+J61+J72+J79+J87+J97+J104+J111+J116+J173+J184+J192+J198+J204+J211)-775</f>
        <v>516405</v>
      </c>
      <c r="K9" s="87">
        <f>IF(ISERROR(ROUND(J9,0)/ROUND(H9,0))," ",(ROUND(J9,)/ROUND(H9,)))</f>
        <v>0.6739705538799263</v>
      </c>
      <c r="L9" s="198">
        <f>SUM(L19+L24+L30+L36+L42+L47+L55+L61+L72+L79+L87+L97+L104+L111+L116+L173+L184+L192+L198+L204+L211)-383</f>
        <v>60305</v>
      </c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</row>
    <row r="10" spans="1:33" s="4" customFormat="1" ht="28.5" customHeight="1">
      <c r="A10" s="54" t="s">
        <v>74</v>
      </c>
      <c r="B10" s="13">
        <f>B11+B12</f>
        <v>858962243</v>
      </c>
      <c r="C10" s="13">
        <f>C11+C12</f>
        <v>631146661</v>
      </c>
      <c r="D10" s="13">
        <f>D11+D12</f>
        <v>586550420</v>
      </c>
      <c r="E10" s="200">
        <f aca="true" t="shared" si="0" ref="E10:E73">IF(ISERROR(D10/B10)," ",(D10/B10))</f>
        <v>0.6828593745301561</v>
      </c>
      <c r="F10" s="13">
        <f>F11+F12</f>
        <v>70464497</v>
      </c>
      <c r="G10" s="54" t="s">
        <v>74</v>
      </c>
      <c r="H10" s="198">
        <f>H11+H12</f>
        <v>858962</v>
      </c>
      <c r="I10" s="198">
        <f>I11+I12</f>
        <v>631147</v>
      </c>
      <c r="J10" s="198">
        <f>J11+J12</f>
        <v>586550</v>
      </c>
      <c r="K10" s="87">
        <f aca="true" t="shared" si="1" ref="K10:K73">IF(ISERROR(ROUND(J10,0)/ROUND(H10,0))," ",(ROUND(J10,)/ROUND(H10,)))</f>
        <v>0.682859078748536</v>
      </c>
      <c r="L10" s="198">
        <f>L11+L12</f>
        <v>70465</v>
      </c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</row>
    <row r="11" spans="1:12" ht="12.75">
      <c r="A11" s="88" t="s">
        <v>184</v>
      </c>
      <c r="B11" s="42">
        <f>SUM(B21+B26+B34+B40+B45+B51+B58+B64+B76+B83+B92+B101+B108+B121+B178+B189+B194+B202+B208+B214)-2600000</f>
        <v>809221988</v>
      </c>
      <c r="C11" s="42">
        <f>SUM(C21+C26+C34+C40+C45+C51+C58+C64+C76+C83+C92+C101+C108+C121+C178+C189+C194+C202+C208+C214)-1444000</f>
        <v>588263118</v>
      </c>
      <c r="D11" s="42">
        <f>SUM(D21+D26+D34+D40+D45+D51+D58+D64+D76+D83+D92+D101+D108+D121+D178+D189+D194+D202+D208+D214)-775101</f>
        <v>549928990</v>
      </c>
      <c r="E11" s="201">
        <f t="shared" si="0"/>
        <v>0.6795774189961827</v>
      </c>
      <c r="F11" s="42">
        <f>SUM(F21+F26+F34+F40+F45+F51+F58+F64+F76+F83+F92+F101+F108+F121+F178+F189+F194+F202+F208+F214)-381513</f>
        <v>63650777</v>
      </c>
      <c r="G11" s="88" t="s">
        <v>184</v>
      </c>
      <c r="H11" s="202">
        <f>ROUND(B11/1000,0)</f>
        <v>809222</v>
      </c>
      <c r="I11" s="42">
        <f>SUM(I21+I26+I34+I40+I45+I51+I58+I64+I76+I83+I92+I101+I108+I121+I178+I189+I194+I202+I208+I214)-1444</f>
        <v>588263</v>
      </c>
      <c r="J11" s="42">
        <f>SUM(J21+J26+J34+J40+J45+J51+J58+J64+J76+J83+J92+J101+J108+J121+J178+J189+J194+J202+J208+J214)-775</f>
        <v>549929</v>
      </c>
      <c r="K11" s="96">
        <f t="shared" si="1"/>
        <v>0.6795774212762382</v>
      </c>
      <c r="L11" s="42">
        <f>SUM(L21+L26+L34+L40+L45+L51+L58+L64+L76+L83+L92+L101+L108+L121+L178+L189+L194+L202+L208+L214)-382</f>
        <v>63652</v>
      </c>
    </row>
    <row r="12" spans="1:12" ht="12.75">
      <c r="A12" s="88" t="s">
        <v>185</v>
      </c>
      <c r="B12" s="42">
        <f>SUM(B27+B52+B59+B65+B77+B84+B93+B102+B109+B113+B122+B179+B190+B195+B209+B215)</f>
        <v>49740255</v>
      </c>
      <c r="C12" s="42">
        <f>SUM(C27+C52+C59+C65+C77+C84+C93+C102+C109+C113+C122+C179+C190+C195+C209+C215)</f>
        <v>42883543</v>
      </c>
      <c r="D12" s="42">
        <f>SUM(D27+D52+D59+D65+D77+D84+D93+D102+D109+D113+D122+D179+D190+D195+D209+D215)</f>
        <v>36621430</v>
      </c>
      <c r="E12" s="201">
        <f t="shared" si="0"/>
        <v>0.7362533625933361</v>
      </c>
      <c r="F12" s="42">
        <f>SUM(F27+F52+F59+F65+F77+F84+F93+F102+F109+F113+F122+F179+F190+F195+F209+F215)</f>
        <v>6813720</v>
      </c>
      <c r="G12" s="88" t="s">
        <v>185</v>
      </c>
      <c r="H12" s="202">
        <f>ROUND(B12/1000,0)</f>
        <v>49740</v>
      </c>
      <c r="I12" s="42">
        <f>SUM(I27+I52+I59+I65+I77+I84+I93+I102+I109+I113+I122+I179+I190+I195+I209+I215)</f>
        <v>42884</v>
      </c>
      <c r="J12" s="42">
        <f>SUM(J27+J52+J59+J65+J77+J84+J93+J102+J109+J113+J122+J179+J190+J195+J209+J215)</f>
        <v>36621</v>
      </c>
      <c r="K12" s="96">
        <f t="shared" si="1"/>
        <v>0.7362484921592279</v>
      </c>
      <c r="L12" s="42">
        <f>SUM(L27+L52+L59+L65+L77+L84+L93+L102+L109+L113+L122+L179+L190+L195+L209+L215)</f>
        <v>6813</v>
      </c>
    </row>
    <row r="13" spans="1:33" s="17" customFormat="1" ht="18.75" customHeight="1">
      <c r="A13" s="54" t="s">
        <v>186</v>
      </c>
      <c r="B13" s="13">
        <f aca="true" t="shared" si="2" ref="B13:D14">SUM(B66)</f>
        <v>3756000</v>
      </c>
      <c r="C13" s="13">
        <f t="shared" si="2"/>
        <v>0</v>
      </c>
      <c r="D13" s="13">
        <f t="shared" si="2"/>
        <v>1716033</v>
      </c>
      <c r="E13" s="200">
        <f t="shared" si="0"/>
        <v>0.45687779552715657</v>
      </c>
      <c r="F13" s="13">
        <f>SUM(F66)</f>
        <v>223394</v>
      </c>
      <c r="G13" s="54" t="s">
        <v>186</v>
      </c>
      <c r="H13" s="198">
        <f aca="true" t="shared" si="3" ref="H13:J14">SUM(H66)</f>
        <v>3756</v>
      </c>
      <c r="I13" s="198">
        <f t="shared" si="3"/>
        <v>0</v>
      </c>
      <c r="J13" s="198">
        <f t="shared" si="3"/>
        <v>1716</v>
      </c>
      <c r="K13" s="87">
        <f t="shared" si="1"/>
        <v>0.45686900958466453</v>
      </c>
      <c r="L13" s="198">
        <f>SUM(L66)</f>
        <v>223</v>
      </c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</row>
    <row r="14" spans="1:33" s="17" customFormat="1" ht="16.5" customHeight="1">
      <c r="A14" s="54" t="s">
        <v>187</v>
      </c>
      <c r="B14" s="13">
        <f t="shared" si="2"/>
        <v>5250</v>
      </c>
      <c r="C14" s="13">
        <f t="shared" si="2"/>
        <v>0</v>
      </c>
      <c r="D14" s="13">
        <f t="shared" si="2"/>
        <v>11287</v>
      </c>
      <c r="E14" s="200">
        <f t="shared" si="0"/>
        <v>2.1499047619047618</v>
      </c>
      <c r="F14" s="13">
        <f>SUM(F67)</f>
        <v>9963</v>
      </c>
      <c r="G14" s="54" t="s">
        <v>187</v>
      </c>
      <c r="H14" s="198">
        <f t="shared" si="3"/>
        <v>5</v>
      </c>
      <c r="I14" s="198">
        <f t="shared" si="3"/>
        <v>0</v>
      </c>
      <c r="J14" s="198">
        <f t="shared" si="3"/>
        <v>11</v>
      </c>
      <c r="K14" s="87">
        <f t="shared" si="1"/>
        <v>2.2</v>
      </c>
      <c r="L14" s="198">
        <f>SUM(L67)</f>
        <v>10</v>
      </c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</row>
    <row r="15" spans="1:33" s="17" customFormat="1" ht="16.5" customHeight="1">
      <c r="A15" s="54" t="s">
        <v>188</v>
      </c>
      <c r="B15" s="13">
        <f>B9-B10-B13+B14</f>
        <v>-96500024</v>
      </c>
      <c r="C15" s="13">
        <f>C9-C10-C13+C14</f>
        <v>-69137040</v>
      </c>
      <c r="D15" s="13">
        <f>D9-D10-D13+D14</f>
        <v>-71849929</v>
      </c>
      <c r="E15" s="200">
        <f t="shared" si="0"/>
        <v>0.7445586645657207</v>
      </c>
      <c r="F15" s="13">
        <f>F9-F10-F13+F14</f>
        <v>-10372816</v>
      </c>
      <c r="G15" s="54" t="s">
        <v>188</v>
      </c>
      <c r="H15" s="13">
        <f>H9-H10-H13+H14</f>
        <v>-96500</v>
      </c>
      <c r="I15" s="107">
        <f>I9-I10-I13+I14</f>
        <v>-69137</v>
      </c>
      <c r="J15" s="107">
        <f>J9-J10-J13+J14</f>
        <v>-71850</v>
      </c>
      <c r="K15" s="87">
        <f t="shared" si="1"/>
        <v>0.744559585492228</v>
      </c>
      <c r="L15" s="107">
        <f>L9-L10-L13+L14</f>
        <v>-10373</v>
      </c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</row>
    <row r="16" spans="1:33" s="17" customFormat="1" ht="12.75">
      <c r="A16" s="138" t="s">
        <v>174</v>
      </c>
      <c r="B16" s="13">
        <f>SUM(B69+B95+B124+B181+B217)</f>
        <v>79270566</v>
      </c>
      <c r="C16" s="13">
        <f>SUM(C69+C95+C124+C181+C217)</f>
        <v>0</v>
      </c>
      <c r="D16" s="13">
        <f>SUM(D69+D95+D124+D181+D217)</f>
        <v>51852310</v>
      </c>
      <c r="E16" s="200">
        <f t="shared" si="0"/>
        <v>0.6541180745448443</v>
      </c>
      <c r="F16" s="13">
        <f>SUM(F69+F95+F124+F181+F217)</f>
        <v>8774229</v>
      </c>
      <c r="G16" s="138" t="s">
        <v>174</v>
      </c>
      <c r="H16" s="13">
        <f>SUM(H69+H95+H124+H181+H217)</f>
        <v>79270</v>
      </c>
      <c r="I16" s="198">
        <f>SUM(I69+I95+I124+I181+I217)</f>
        <v>23535</v>
      </c>
      <c r="J16" s="198">
        <f>SUM(J69+J95+J124+J181+J217)</f>
        <v>51852</v>
      </c>
      <c r="K16" s="87">
        <f t="shared" si="1"/>
        <v>0.6541188343635675</v>
      </c>
      <c r="L16" s="198">
        <f>SUM(L69+L95+L124+L181+L217)</f>
        <v>8769</v>
      </c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</row>
    <row r="17" spans="1:12" ht="15" customHeight="1">
      <c r="A17" s="54" t="s">
        <v>189</v>
      </c>
      <c r="B17" s="13"/>
      <c r="C17" s="13"/>
      <c r="D17" s="13"/>
      <c r="E17" s="200" t="str">
        <f t="shared" si="0"/>
        <v> </v>
      </c>
      <c r="F17" s="13"/>
      <c r="G17" s="54" t="s">
        <v>189</v>
      </c>
      <c r="H17" s="158"/>
      <c r="I17" s="158"/>
      <c r="J17" s="158"/>
      <c r="K17" s="154"/>
      <c r="L17" s="158"/>
    </row>
    <row r="18" spans="1:12" ht="12.75">
      <c r="A18" s="204" t="s">
        <v>190</v>
      </c>
      <c r="B18" s="42"/>
      <c r="C18" s="42"/>
      <c r="D18" s="42"/>
      <c r="E18" s="200" t="str">
        <f t="shared" si="0"/>
        <v> </v>
      </c>
      <c r="F18" s="42"/>
      <c r="G18" s="204" t="s">
        <v>190</v>
      </c>
      <c r="H18" s="175"/>
      <c r="I18" s="175"/>
      <c r="J18" s="175"/>
      <c r="K18" s="154"/>
      <c r="L18" s="175"/>
    </row>
    <row r="19" spans="1:12" ht="12.75">
      <c r="A19" s="93" t="s">
        <v>191</v>
      </c>
      <c r="B19" s="42">
        <v>44790000</v>
      </c>
      <c r="C19" s="42">
        <v>4503000</v>
      </c>
      <c r="D19" s="42">
        <v>4109010</v>
      </c>
      <c r="E19" s="201">
        <f t="shared" si="0"/>
        <v>0.09173945077026122</v>
      </c>
      <c r="F19" s="42">
        <f>D19-'[3]Augusts'!D19</f>
        <v>285070</v>
      </c>
      <c r="G19" s="93" t="s">
        <v>191</v>
      </c>
      <c r="H19" s="202">
        <f>ROUND(B19/1000,0)</f>
        <v>44790</v>
      </c>
      <c r="I19" s="202">
        <f>ROUND(C19/1000,0)</f>
        <v>4503</v>
      </c>
      <c r="J19" s="202">
        <f>ROUND(D19/1000,0)</f>
        <v>4109</v>
      </c>
      <c r="K19" s="96">
        <f t="shared" si="1"/>
        <v>0.09173922750613976</v>
      </c>
      <c r="L19" s="202">
        <f>ROUND(F19/1000,0)</f>
        <v>285</v>
      </c>
    </row>
    <row r="20" spans="1:12" ht="12.75">
      <c r="A20" s="93" t="s">
        <v>192</v>
      </c>
      <c r="B20" s="42">
        <f>B21</f>
        <v>45451869</v>
      </c>
      <c r="C20" s="42">
        <f>C21</f>
        <v>4685000</v>
      </c>
      <c r="D20" s="42">
        <f>D21</f>
        <v>4463000</v>
      </c>
      <c r="E20" s="201">
        <f t="shared" si="0"/>
        <v>0.09819178172849173</v>
      </c>
      <c r="F20" s="42">
        <f>F21</f>
        <v>170000</v>
      </c>
      <c r="G20" s="93" t="s">
        <v>192</v>
      </c>
      <c r="H20" s="202">
        <f>ROUND(B20/1000,0)</f>
        <v>45452</v>
      </c>
      <c r="I20" s="42">
        <f>I21</f>
        <v>4685</v>
      </c>
      <c r="J20" s="42">
        <f>J21</f>
        <v>4463</v>
      </c>
      <c r="K20" s="96">
        <f t="shared" si="1"/>
        <v>0.09819149872392854</v>
      </c>
      <c r="L20" s="175">
        <f>L21</f>
        <v>170</v>
      </c>
    </row>
    <row r="21" spans="1:12" ht="12.75">
      <c r="A21" s="93" t="s">
        <v>184</v>
      </c>
      <c r="B21" s="42">
        <v>45451869</v>
      </c>
      <c r="C21" s="12">
        <v>4685000</v>
      </c>
      <c r="D21" s="12">
        <v>4463000</v>
      </c>
      <c r="E21" s="201">
        <f>IF(ISERROR(D20/B21)," ",(D20/B21))</f>
        <v>0.09819178172849173</v>
      </c>
      <c r="F21" s="42">
        <f>D21-'[3]Augusts'!D21</f>
        <v>170000</v>
      </c>
      <c r="G21" s="93" t="s">
        <v>184</v>
      </c>
      <c r="H21" s="202">
        <f>ROUND(B21/1000,0)</f>
        <v>45452</v>
      </c>
      <c r="I21" s="202">
        <f>ROUND(C21/1000,0)</f>
        <v>4685</v>
      </c>
      <c r="J21" s="202">
        <f>ROUND(D21/1000,0)</f>
        <v>4463</v>
      </c>
      <c r="K21" s="96">
        <f t="shared" si="1"/>
        <v>0.09819149872392854</v>
      </c>
      <c r="L21" s="202">
        <f>J21-'[3]Augusts'!J21</f>
        <v>170</v>
      </c>
    </row>
    <row r="22" spans="1:12" ht="12.75">
      <c r="A22" s="205" t="s">
        <v>193</v>
      </c>
      <c r="B22" s="42">
        <v>38313869</v>
      </c>
      <c r="C22" s="42"/>
      <c r="D22" s="42">
        <v>3636000</v>
      </c>
      <c r="E22" s="201">
        <f t="shared" si="0"/>
        <v>0.09490036101548502</v>
      </c>
      <c r="F22" s="42">
        <f>D22-'[3]Augusts'!D22</f>
        <v>124000</v>
      </c>
      <c r="G22" s="205" t="s">
        <v>193</v>
      </c>
      <c r="H22" s="206">
        <f>ROUND(B22/1000,0)</f>
        <v>38314</v>
      </c>
      <c r="I22" s="206">
        <f>ROUND(C22/1000,0)</f>
        <v>0</v>
      </c>
      <c r="J22" s="206">
        <f>ROUND(D22/1000,0)</f>
        <v>3636</v>
      </c>
      <c r="K22" s="172">
        <f t="shared" si="1"/>
        <v>0.09490003654016808</v>
      </c>
      <c r="L22" s="206">
        <f>J22-'[3]Augusts'!J22</f>
        <v>124</v>
      </c>
    </row>
    <row r="23" spans="1:12" ht="12.75">
      <c r="A23" s="204" t="s">
        <v>194</v>
      </c>
      <c r="B23" s="42"/>
      <c r="C23" s="42"/>
      <c r="D23" s="42"/>
      <c r="E23" s="201" t="str">
        <f t="shared" si="0"/>
        <v> </v>
      </c>
      <c r="F23" s="42"/>
      <c r="G23" s="204" t="s">
        <v>194</v>
      </c>
      <c r="H23" s="175"/>
      <c r="I23" s="175"/>
      <c r="J23" s="175"/>
      <c r="K23" s="96"/>
      <c r="L23" s="175"/>
    </row>
    <row r="24" spans="1:12" ht="12.75">
      <c r="A24" s="93" t="s">
        <v>191</v>
      </c>
      <c r="B24" s="42">
        <v>3307500</v>
      </c>
      <c r="C24" s="42">
        <v>2507500</v>
      </c>
      <c r="D24" s="42">
        <v>1909762</v>
      </c>
      <c r="E24" s="201">
        <f t="shared" si="0"/>
        <v>0.5774034769463341</v>
      </c>
      <c r="F24" s="42">
        <f>D24-'[3]Augusts'!D24</f>
        <v>162168</v>
      </c>
      <c r="G24" s="93" t="s">
        <v>191</v>
      </c>
      <c r="H24" s="202">
        <f>ROUND(B24/1000,0)</f>
        <v>3308</v>
      </c>
      <c r="I24" s="202">
        <f>ROUND(C24/1000,0)+1</f>
        <v>2509</v>
      </c>
      <c r="J24" s="202">
        <f>ROUND(D24/1000,0)</f>
        <v>1910</v>
      </c>
      <c r="K24" s="96">
        <f t="shared" si="1"/>
        <v>0.5773881499395405</v>
      </c>
      <c r="L24" s="202">
        <f>J24-'[3]Augusts'!J24</f>
        <v>162</v>
      </c>
    </row>
    <row r="25" spans="1:12" ht="12.75">
      <c r="A25" s="93" t="s">
        <v>192</v>
      </c>
      <c r="B25" s="42">
        <f>B26+B27</f>
        <v>2607500</v>
      </c>
      <c r="C25" s="42">
        <f>C26+C27</f>
        <v>1889500</v>
      </c>
      <c r="D25" s="42">
        <f>D26+D27</f>
        <v>1716604</v>
      </c>
      <c r="E25" s="201">
        <f t="shared" si="0"/>
        <v>0.6583332694151486</v>
      </c>
      <c r="F25" s="42">
        <f>F26+F27</f>
        <v>201381</v>
      </c>
      <c r="G25" s="93" t="s">
        <v>192</v>
      </c>
      <c r="H25" s="175">
        <f>H26+H27</f>
        <v>2608</v>
      </c>
      <c r="I25" s="175">
        <f>I26+I27</f>
        <v>1889</v>
      </c>
      <c r="J25" s="175">
        <f>J26+J27</f>
        <v>1717</v>
      </c>
      <c r="K25" s="96">
        <f t="shared" si="1"/>
        <v>0.6583588957055214</v>
      </c>
      <c r="L25" s="175">
        <f>L26+L27</f>
        <v>202</v>
      </c>
    </row>
    <row r="26" spans="1:12" ht="12.75">
      <c r="A26" s="93" t="s">
        <v>184</v>
      </c>
      <c r="B26" s="42">
        <v>2521500</v>
      </c>
      <c r="C26" s="42">
        <v>1803500</v>
      </c>
      <c r="D26" s="42">
        <f>1716604-46082</f>
        <v>1670522</v>
      </c>
      <c r="E26" s="201">
        <f t="shared" si="0"/>
        <v>0.6625112036486218</v>
      </c>
      <c r="F26" s="42">
        <f>D26-'[3]Augusts'!D26</f>
        <v>198614</v>
      </c>
      <c r="G26" s="93" t="s">
        <v>184</v>
      </c>
      <c r="H26" s="202">
        <f aca="true" t="shared" si="4" ref="H26:J27">ROUND(B26/1000,0)</f>
        <v>2522</v>
      </c>
      <c r="I26" s="202">
        <f>ROUND(C26/1000,0)-1</f>
        <v>1803</v>
      </c>
      <c r="J26" s="202">
        <f t="shared" si="4"/>
        <v>1671</v>
      </c>
      <c r="K26" s="96">
        <f t="shared" si="1"/>
        <v>0.6625693893735131</v>
      </c>
      <c r="L26" s="202">
        <f>J26-'[3]Augusts'!J26</f>
        <v>199</v>
      </c>
    </row>
    <row r="27" spans="1:12" ht="12.75">
      <c r="A27" s="93" t="s">
        <v>185</v>
      </c>
      <c r="B27" s="42">
        <v>86000</v>
      </c>
      <c r="C27" s="42">
        <v>86000</v>
      </c>
      <c r="D27" s="42">
        <v>46082</v>
      </c>
      <c r="E27" s="201">
        <f t="shared" si="0"/>
        <v>0.5358372093023256</v>
      </c>
      <c r="F27" s="42">
        <f>D27-'[3]Augusts'!D27</f>
        <v>2767</v>
      </c>
      <c r="G27" s="93" t="s">
        <v>185</v>
      </c>
      <c r="H27" s="202">
        <f t="shared" si="4"/>
        <v>86</v>
      </c>
      <c r="I27" s="202">
        <f t="shared" si="4"/>
        <v>86</v>
      </c>
      <c r="J27" s="202">
        <f t="shared" si="4"/>
        <v>46</v>
      </c>
      <c r="K27" s="96">
        <f t="shared" si="1"/>
        <v>0.5348837209302325</v>
      </c>
      <c r="L27" s="202">
        <f>J27-'[3]Augusts'!J27</f>
        <v>3</v>
      </c>
    </row>
    <row r="28" spans="1:12" ht="15" customHeight="1">
      <c r="A28" s="54" t="s">
        <v>195</v>
      </c>
      <c r="B28" s="13"/>
      <c r="C28" s="13"/>
      <c r="D28" s="13"/>
      <c r="E28" s="201" t="str">
        <f t="shared" si="0"/>
        <v> </v>
      </c>
      <c r="F28" s="13"/>
      <c r="G28" s="54" t="s">
        <v>195</v>
      </c>
      <c r="H28" s="158"/>
      <c r="I28" s="158"/>
      <c r="J28" s="158"/>
      <c r="K28" s="96"/>
      <c r="L28" s="158"/>
    </row>
    <row r="29" spans="1:12" ht="27.75" customHeight="1">
      <c r="A29" s="207" t="s">
        <v>196</v>
      </c>
      <c r="B29" s="42"/>
      <c r="C29" s="42"/>
      <c r="D29" s="42"/>
      <c r="E29" s="201" t="str">
        <f t="shared" si="0"/>
        <v> </v>
      </c>
      <c r="F29" s="42"/>
      <c r="G29" s="207" t="s">
        <v>196</v>
      </c>
      <c r="H29" s="175"/>
      <c r="I29" s="175"/>
      <c r="J29" s="175"/>
      <c r="K29" s="96"/>
      <c r="L29" s="175"/>
    </row>
    <row r="30" spans="1:12" ht="12.75">
      <c r="A30" s="93" t="s">
        <v>191</v>
      </c>
      <c r="B30" s="42">
        <f>B31+B32</f>
        <v>1764000</v>
      </c>
      <c r="C30" s="42">
        <f>146629+146629+146629+140100+140000+144000+144300+144000+326420</f>
        <v>1478707</v>
      </c>
      <c r="D30" s="42">
        <f>SUM(D31:D32)</f>
        <v>1961456</v>
      </c>
      <c r="E30" s="201">
        <f t="shared" si="0"/>
        <v>1.111936507936508</v>
      </c>
      <c r="F30" s="42">
        <f>F31+F32</f>
        <v>325677</v>
      </c>
      <c r="G30" s="93" t="s">
        <v>191</v>
      </c>
      <c r="H30" s="175">
        <f>H31+H32</f>
        <v>1764</v>
      </c>
      <c r="I30" s="202">
        <f>ROUND(C30/1000,0)</f>
        <v>1479</v>
      </c>
      <c r="J30" s="175">
        <f>J31+J32</f>
        <v>1962</v>
      </c>
      <c r="K30" s="96">
        <f t="shared" si="1"/>
        <v>1.1122448979591837</v>
      </c>
      <c r="L30" s="175">
        <f>L31+L32</f>
        <v>326</v>
      </c>
    </row>
    <row r="31" spans="1:12" ht="12.75">
      <c r="A31" s="98" t="s">
        <v>197</v>
      </c>
      <c r="B31" s="42">
        <v>1550000</v>
      </c>
      <c r="C31" s="42"/>
      <c r="D31" s="42">
        <v>1706617</v>
      </c>
      <c r="E31" s="201">
        <f t="shared" si="0"/>
        <v>1.1010432258064515</v>
      </c>
      <c r="F31" s="42">
        <f>D31-'[3]Augusts'!D31</f>
        <v>286060</v>
      </c>
      <c r="G31" s="98" t="s">
        <v>197</v>
      </c>
      <c r="H31" s="202">
        <f>ROUND(B31/1000,0)</f>
        <v>1550</v>
      </c>
      <c r="I31" s="202">
        <f>ROUND(C31/1000,0)</f>
        <v>0</v>
      </c>
      <c r="J31" s="202">
        <f>ROUND(D31/1000,0)</f>
        <v>1707</v>
      </c>
      <c r="K31" s="96">
        <f t="shared" si="1"/>
        <v>1.1012903225806452</v>
      </c>
      <c r="L31" s="202">
        <f>J31-'[3]Augusts'!J31</f>
        <v>286</v>
      </c>
    </row>
    <row r="32" spans="1:12" ht="12.75">
      <c r="A32" s="208" t="s">
        <v>198</v>
      </c>
      <c r="B32" s="42">
        <v>214000</v>
      </c>
      <c r="C32" s="42"/>
      <c r="D32" s="42">
        <v>254839</v>
      </c>
      <c r="E32" s="201">
        <f t="shared" si="0"/>
        <v>1.1908364485981309</v>
      </c>
      <c r="F32" s="42">
        <f>D32-'[3]Augusts'!D32</f>
        <v>39617</v>
      </c>
      <c r="G32" s="208" t="s">
        <v>198</v>
      </c>
      <c r="H32" s="202">
        <f>ROUND(B32/1000,0)</f>
        <v>214</v>
      </c>
      <c r="I32" s="202">
        <f>ROUND(C32/1000,0)</f>
        <v>0</v>
      </c>
      <c r="J32" s="202">
        <f>ROUND(D32/1000,0)</f>
        <v>255</v>
      </c>
      <c r="K32" s="96">
        <f t="shared" si="1"/>
        <v>1.191588785046729</v>
      </c>
      <c r="L32" s="202">
        <f>J32-'[3]Augusts'!J32</f>
        <v>40</v>
      </c>
    </row>
    <row r="33" spans="1:12" ht="12.75">
      <c r="A33" s="93" t="s">
        <v>192</v>
      </c>
      <c r="B33" s="42">
        <v>764000</v>
      </c>
      <c r="C33" s="42">
        <f>C34</f>
        <v>521550</v>
      </c>
      <c r="D33" s="42">
        <f>D34</f>
        <v>512816</v>
      </c>
      <c r="E33" s="201">
        <f t="shared" si="0"/>
        <v>0.6712251308900523</v>
      </c>
      <c r="F33" s="42">
        <f>F34</f>
        <v>99043</v>
      </c>
      <c r="G33" s="93" t="s">
        <v>192</v>
      </c>
      <c r="H33" s="175">
        <f>H34</f>
        <v>764</v>
      </c>
      <c r="I33" s="175">
        <f>I34</f>
        <v>522</v>
      </c>
      <c r="J33" s="175">
        <f>J34</f>
        <v>513</v>
      </c>
      <c r="K33" s="96">
        <f t="shared" si="1"/>
        <v>0.6714659685863874</v>
      </c>
      <c r="L33" s="175">
        <f>L34</f>
        <v>99</v>
      </c>
    </row>
    <row r="34" spans="1:12" ht="12.75">
      <c r="A34" s="93" t="s">
        <v>184</v>
      </c>
      <c r="B34" s="42">
        <v>764000</v>
      </c>
      <c r="C34" s="42">
        <f>146629+146629+146629+140100+140000+144000+144300+144000-630737</f>
        <v>521550</v>
      </c>
      <c r="D34" s="42">
        <v>512816</v>
      </c>
      <c r="E34" s="201">
        <f t="shared" si="0"/>
        <v>0.6712251308900523</v>
      </c>
      <c r="F34" s="42">
        <f>D34-'[3]Augusts'!D34</f>
        <v>99043</v>
      </c>
      <c r="G34" s="93" t="s">
        <v>184</v>
      </c>
      <c r="H34" s="202">
        <f>ROUND(B34/1000,0)</f>
        <v>764</v>
      </c>
      <c r="I34" s="202">
        <f>ROUND(C34/1000,0)</f>
        <v>522</v>
      </c>
      <c r="J34" s="202">
        <f>ROUND(D34/1000,0)</f>
        <v>513</v>
      </c>
      <c r="K34" s="96">
        <f t="shared" si="1"/>
        <v>0.6714659685863874</v>
      </c>
      <c r="L34" s="202">
        <f>J34-'[3]Augusts'!J34</f>
        <v>99</v>
      </c>
    </row>
    <row r="35" spans="1:12" ht="24.75" customHeight="1">
      <c r="A35" s="207" t="s">
        <v>199</v>
      </c>
      <c r="B35" s="42"/>
      <c r="C35" s="42"/>
      <c r="D35" s="42"/>
      <c r="E35" s="201" t="str">
        <f t="shared" si="0"/>
        <v> </v>
      </c>
      <c r="F35" s="42"/>
      <c r="G35" s="207" t="s">
        <v>199</v>
      </c>
      <c r="H35" s="175"/>
      <c r="I35" s="175"/>
      <c r="J35" s="175"/>
      <c r="K35" s="96"/>
      <c r="L35" s="175"/>
    </row>
    <row r="36" spans="1:12" ht="12.75">
      <c r="A36" s="93" t="s">
        <v>191</v>
      </c>
      <c r="B36" s="42">
        <f>B37+B38</f>
        <v>147000</v>
      </c>
      <c r="C36" s="42">
        <f>68180+36700</f>
        <v>104880</v>
      </c>
      <c r="D36" s="42">
        <f>D37+D38</f>
        <v>153059</v>
      </c>
      <c r="E36" s="201">
        <f t="shared" si="0"/>
        <v>1.04121768707483</v>
      </c>
      <c r="F36" s="42">
        <f>F37+F38</f>
        <v>68870</v>
      </c>
      <c r="G36" s="93" t="s">
        <v>191</v>
      </c>
      <c r="H36" s="175">
        <f>H37+H38</f>
        <v>147</v>
      </c>
      <c r="I36" s="202">
        <f>ROUND(C36/1000,0)</f>
        <v>105</v>
      </c>
      <c r="J36" s="175">
        <f>J37+J38</f>
        <v>153</v>
      </c>
      <c r="K36" s="96">
        <f t="shared" si="1"/>
        <v>1.0408163265306123</v>
      </c>
      <c r="L36" s="175">
        <f>L37+L38</f>
        <v>69</v>
      </c>
    </row>
    <row r="37" spans="1:12" ht="12.75">
      <c r="A37" s="98" t="s">
        <v>200</v>
      </c>
      <c r="B37" s="42">
        <v>147000</v>
      </c>
      <c r="C37" s="42"/>
      <c r="D37" s="42">
        <v>153068</v>
      </c>
      <c r="E37" s="201">
        <f t="shared" si="0"/>
        <v>1.041278911564626</v>
      </c>
      <c r="F37" s="42">
        <f>D37-'[3]Augusts'!D37</f>
        <v>68879</v>
      </c>
      <c r="G37" s="98" t="s">
        <v>200</v>
      </c>
      <c r="H37" s="202">
        <f>ROUND(B37/1000,0)</f>
        <v>147</v>
      </c>
      <c r="I37" s="202">
        <f>ROUND(C37/1000,0)</f>
        <v>0</v>
      </c>
      <c r="J37" s="202">
        <f>ROUND(D37/1000,0)</f>
        <v>153</v>
      </c>
      <c r="K37" s="96">
        <f t="shared" si="1"/>
        <v>1.0408163265306123</v>
      </c>
      <c r="L37" s="202">
        <f>J37-'[3]Augusts'!J37</f>
        <v>69</v>
      </c>
    </row>
    <row r="38" spans="1:12" ht="12.75">
      <c r="A38" s="98" t="s">
        <v>198</v>
      </c>
      <c r="B38" s="42"/>
      <c r="C38" s="42"/>
      <c r="D38" s="42">
        <v>-9</v>
      </c>
      <c r="E38" s="201" t="str">
        <f t="shared" si="0"/>
        <v> </v>
      </c>
      <c r="F38" s="42">
        <f>D38-'[3]Augusts'!D38</f>
        <v>-9</v>
      </c>
      <c r="G38" s="98" t="s">
        <v>198</v>
      </c>
      <c r="H38" s="202">
        <f>ROUND(B38/1000,0)</f>
        <v>0</v>
      </c>
      <c r="I38" s="175"/>
      <c r="J38" s="175"/>
      <c r="K38" s="96" t="str">
        <f t="shared" si="1"/>
        <v> </v>
      </c>
      <c r="L38" s="202">
        <f>J38-'[3]Augusts'!J38</f>
        <v>0</v>
      </c>
    </row>
    <row r="39" spans="1:12" ht="12.75">
      <c r="A39" s="93" t="s">
        <v>192</v>
      </c>
      <c r="B39" s="42"/>
      <c r="C39" s="42">
        <f>C40</f>
        <v>0</v>
      </c>
      <c r="D39" s="42">
        <f>D40</f>
        <v>0</v>
      </c>
      <c r="E39" s="201" t="str">
        <f t="shared" si="0"/>
        <v> </v>
      </c>
      <c r="F39" s="42">
        <f>F40</f>
        <v>-94750</v>
      </c>
      <c r="G39" s="93" t="s">
        <v>192</v>
      </c>
      <c r="H39" s="175">
        <f>H40</f>
        <v>0</v>
      </c>
      <c r="I39" s="175">
        <f>I40</f>
        <v>0</v>
      </c>
      <c r="J39" s="175">
        <f>J40</f>
        <v>0</v>
      </c>
      <c r="K39" s="96" t="str">
        <f t="shared" si="1"/>
        <v> </v>
      </c>
      <c r="L39" s="175">
        <f>L40</f>
        <v>-95</v>
      </c>
    </row>
    <row r="40" spans="1:12" ht="12.75">
      <c r="A40" s="93" t="s">
        <v>184</v>
      </c>
      <c r="B40" s="42"/>
      <c r="C40" s="42">
        <f>68180+36700-104880</f>
        <v>0</v>
      </c>
      <c r="D40" s="42"/>
      <c r="E40" s="201" t="str">
        <f t="shared" si="0"/>
        <v> </v>
      </c>
      <c r="F40" s="42">
        <f>D40-'[3]Augusts'!D40</f>
        <v>-94750</v>
      </c>
      <c r="G40" s="93" t="s">
        <v>184</v>
      </c>
      <c r="H40" s="202">
        <f>ROUND(B40/1000,0)</f>
        <v>0</v>
      </c>
      <c r="I40" s="202">
        <f>ROUND(C40/1000,0)</f>
        <v>0</v>
      </c>
      <c r="J40" s="202">
        <f>ROUND(D40/1000,0)</f>
        <v>0</v>
      </c>
      <c r="K40" s="96" t="str">
        <f t="shared" si="1"/>
        <v> </v>
      </c>
      <c r="L40" s="202">
        <f>J40-'[3]Augusts'!J40</f>
        <v>-95</v>
      </c>
    </row>
    <row r="41" spans="1:12" ht="15.75" customHeight="1">
      <c r="A41" s="207" t="s">
        <v>201</v>
      </c>
      <c r="B41" s="42"/>
      <c r="C41" s="42"/>
      <c r="D41" s="42"/>
      <c r="E41" s="201" t="str">
        <f t="shared" si="0"/>
        <v> </v>
      </c>
      <c r="F41" s="42"/>
      <c r="G41" s="207" t="s">
        <v>201</v>
      </c>
      <c r="H41" s="175"/>
      <c r="I41" s="175"/>
      <c r="J41" s="175"/>
      <c r="K41" s="96"/>
      <c r="L41" s="175"/>
    </row>
    <row r="42" spans="1:12" ht="12.75">
      <c r="A42" s="93" t="s">
        <v>191</v>
      </c>
      <c r="B42" s="42">
        <f>B43</f>
        <v>88200</v>
      </c>
      <c r="C42" s="42">
        <f>50000+16450</f>
        <v>66450</v>
      </c>
      <c r="D42" s="42">
        <f>D43</f>
        <v>84189</v>
      </c>
      <c r="E42" s="201">
        <f t="shared" si="0"/>
        <v>0.9545238095238096</v>
      </c>
      <c r="F42" s="42">
        <f>F43</f>
        <v>-68879</v>
      </c>
      <c r="G42" s="93" t="s">
        <v>191</v>
      </c>
      <c r="H42" s="175">
        <f>H43</f>
        <v>88</v>
      </c>
      <c r="I42" s="202">
        <f>ROUND(C42/1000,0)</f>
        <v>66</v>
      </c>
      <c r="J42" s="175">
        <f>J43</f>
        <v>84</v>
      </c>
      <c r="K42" s="96">
        <f t="shared" si="1"/>
        <v>0.9545454545454546</v>
      </c>
      <c r="L42" s="175">
        <f>L43</f>
        <v>-69</v>
      </c>
    </row>
    <row r="43" spans="1:12" ht="12.75">
      <c r="A43" s="98" t="s">
        <v>200</v>
      </c>
      <c r="B43" s="42">
        <v>88200</v>
      </c>
      <c r="C43" s="42"/>
      <c r="D43" s="42">
        <v>84189</v>
      </c>
      <c r="E43" s="201">
        <f t="shared" si="0"/>
        <v>0.9545238095238096</v>
      </c>
      <c r="F43" s="42">
        <f>D43-'[3]Augusts'!D43</f>
        <v>-68879</v>
      </c>
      <c r="G43" s="98" t="s">
        <v>200</v>
      </c>
      <c r="H43" s="202">
        <f>ROUND(B43/1000,0)</f>
        <v>88</v>
      </c>
      <c r="I43" s="202">
        <f>ROUND(C43/1000,0)</f>
        <v>0</v>
      </c>
      <c r="J43" s="202">
        <f>ROUND(D43/1000,0)</f>
        <v>84</v>
      </c>
      <c r="K43" s="96">
        <f t="shared" si="1"/>
        <v>0.9545454545454546</v>
      </c>
      <c r="L43" s="202">
        <f>J43-'[3]Augusts'!J43</f>
        <v>-69</v>
      </c>
    </row>
    <row r="44" spans="1:12" ht="12.75">
      <c r="A44" s="93" t="s">
        <v>192</v>
      </c>
      <c r="B44" s="42">
        <f>B45</f>
        <v>180123</v>
      </c>
      <c r="C44" s="42">
        <f>C45</f>
        <v>158373</v>
      </c>
      <c r="D44" s="42">
        <f>D45</f>
        <v>94750</v>
      </c>
      <c r="E44" s="201">
        <f t="shared" si="0"/>
        <v>0.5260294354413373</v>
      </c>
      <c r="F44" s="42">
        <f>F45</f>
        <v>94750</v>
      </c>
      <c r="G44" s="93" t="s">
        <v>192</v>
      </c>
      <c r="H44" s="175">
        <f>H45</f>
        <v>180</v>
      </c>
      <c r="I44" s="175">
        <f>I45</f>
        <v>158</v>
      </c>
      <c r="J44" s="175">
        <f>J45</f>
        <v>95</v>
      </c>
      <c r="K44" s="96">
        <f t="shared" si="1"/>
        <v>0.5277777777777778</v>
      </c>
      <c r="L44" s="175">
        <f>L45</f>
        <v>95</v>
      </c>
    </row>
    <row r="45" spans="1:12" ht="12.75">
      <c r="A45" s="93" t="s">
        <v>184</v>
      </c>
      <c r="B45" s="209">
        <v>180123</v>
      </c>
      <c r="C45" s="209">
        <f>50000+16450+91923</f>
        <v>158373</v>
      </c>
      <c r="D45" s="209">
        <v>94750</v>
      </c>
      <c r="E45" s="201">
        <f t="shared" si="0"/>
        <v>0.5260294354413373</v>
      </c>
      <c r="F45" s="42">
        <f>D45-'[3]Augusts'!D45</f>
        <v>94750</v>
      </c>
      <c r="G45" s="93" t="s">
        <v>184</v>
      </c>
      <c r="H45" s="202">
        <f>ROUND(B45/1000,0)</f>
        <v>180</v>
      </c>
      <c r="I45" s="202">
        <f>ROUND(C45/1000,0)</f>
        <v>158</v>
      </c>
      <c r="J45" s="202">
        <f>ROUND(D45/1000,0)</f>
        <v>95</v>
      </c>
      <c r="K45" s="96">
        <f t="shared" si="1"/>
        <v>0.5277777777777778</v>
      </c>
      <c r="L45" s="202">
        <f>J45-'[3]Augusts'!J45</f>
        <v>95</v>
      </c>
    </row>
    <row r="46" spans="1:12" ht="26.25" customHeight="1">
      <c r="A46" s="207" t="s">
        <v>202</v>
      </c>
      <c r="B46" s="38"/>
      <c r="C46" s="38"/>
      <c r="D46" s="38"/>
      <c r="E46" s="201" t="str">
        <f t="shared" si="0"/>
        <v> </v>
      </c>
      <c r="F46" s="38"/>
      <c r="G46" s="207" t="s">
        <v>202</v>
      </c>
      <c r="H46" s="167"/>
      <c r="I46" s="167"/>
      <c r="J46" s="167"/>
      <c r="K46" s="96"/>
      <c r="L46" s="167"/>
    </row>
    <row r="47" spans="1:12" ht="12.75">
      <c r="A47" s="93" t="s">
        <v>191</v>
      </c>
      <c r="B47" s="42">
        <f>B48+B49</f>
        <v>1300000</v>
      </c>
      <c r="C47" s="42">
        <v>1110770</v>
      </c>
      <c r="D47" s="42">
        <f>D48+D49</f>
        <v>1062404</v>
      </c>
      <c r="E47" s="201">
        <f t="shared" si="0"/>
        <v>0.8172338461538462</v>
      </c>
      <c r="F47" s="42">
        <f>F48+F49</f>
        <v>1290</v>
      </c>
      <c r="G47" s="93" t="s">
        <v>191</v>
      </c>
      <c r="H47" s="175">
        <f>H48+H49</f>
        <v>1300</v>
      </c>
      <c r="I47" s="202">
        <f>ROUND(C47/1000,0)</f>
        <v>1111</v>
      </c>
      <c r="J47" s="175">
        <f>J48+J49</f>
        <v>1062</v>
      </c>
      <c r="K47" s="96">
        <f t="shared" si="1"/>
        <v>0.816923076923077</v>
      </c>
      <c r="L47" s="175">
        <f>L48+L49</f>
        <v>1</v>
      </c>
    </row>
    <row r="48" spans="1:12" ht="25.5" customHeight="1">
      <c r="A48" s="139" t="s">
        <v>203</v>
      </c>
      <c r="B48" s="48">
        <v>500000</v>
      </c>
      <c r="C48" s="48"/>
      <c r="D48" s="48">
        <v>500000</v>
      </c>
      <c r="E48" s="201">
        <f t="shared" si="0"/>
        <v>1</v>
      </c>
      <c r="F48" s="42">
        <f>D48-'[3]Augusts'!D48</f>
        <v>0</v>
      </c>
      <c r="G48" s="139" t="s">
        <v>203</v>
      </c>
      <c r="H48" s="202">
        <f aca="true" t="shared" si="5" ref="H48:J49">ROUND(B48/1000,0)</f>
        <v>500</v>
      </c>
      <c r="I48" s="202">
        <f t="shared" si="5"/>
        <v>0</v>
      </c>
      <c r="J48" s="202">
        <f t="shared" si="5"/>
        <v>500</v>
      </c>
      <c r="K48" s="96">
        <f t="shared" si="1"/>
        <v>1</v>
      </c>
      <c r="L48" s="202">
        <f>J48-'[3]Augusts'!J48</f>
        <v>0</v>
      </c>
    </row>
    <row r="49" spans="1:12" ht="12.75">
      <c r="A49" s="210" t="s">
        <v>204</v>
      </c>
      <c r="B49" s="48">
        <v>800000</v>
      </c>
      <c r="C49" s="48"/>
      <c r="D49" s="48">
        <v>562404</v>
      </c>
      <c r="E49" s="201">
        <f t="shared" si="0"/>
        <v>0.703005</v>
      </c>
      <c r="F49" s="42">
        <f>D49-'[3]Augusts'!D49</f>
        <v>1290</v>
      </c>
      <c r="G49" s="210" t="s">
        <v>204</v>
      </c>
      <c r="H49" s="202">
        <f t="shared" si="5"/>
        <v>800</v>
      </c>
      <c r="I49" s="202">
        <f t="shared" si="5"/>
        <v>0</v>
      </c>
      <c r="J49" s="202">
        <f t="shared" si="5"/>
        <v>562</v>
      </c>
      <c r="K49" s="96">
        <f t="shared" si="1"/>
        <v>0.7025</v>
      </c>
      <c r="L49" s="202">
        <f>J49-'[3]Augusts'!J49</f>
        <v>1</v>
      </c>
    </row>
    <row r="50" spans="1:12" ht="12.75">
      <c r="A50" s="93" t="s">
        <v>192</v>
      </c>
      <c r="B50" s="42">
        <f>B51+B52</f>
        <v>79595</v>
      </c>
      <c r="C50" s="42">
        <f>C51+C52</f>
        <v>74080</v>
      </c>
      <c r="D50" s="42">
        <f>D51+D52</f>
        <v>51767</v>
      </c>
      <c r="E50" s="201">
        <f t="shared" si="0"/>
        <v>0.6503800489980527</v>
      </c>
      <c r="F50" s="42">
        <f>F51+F52</f>
        <v>3942</v>
      </c>
      <c r="G50" s="93" t="s">
        <v>192</v>
      </c>
      <c r="H50" s="175">
        <f>H51+H52</f>
        <v>80</v>
      </c>
      <c r="I50" s="175">
        <f>I51+I52</f>
        <v>74</v>
      </c>
      <c r="J50" s="175">
        <f>J51+J52</f>
        <v>51</v>
      </c>
      <c r="K50" s="96">
        <f t="shared" si="1"/>
        <v>0.6375</v>
      </c>
      <c r="L50" s="175">
        <f>L51+L52</f>
        <v>4</v>
      </c>
    </row>
    <row r="51" spans="1:12" ht="12.75">
      <c r="A51" s="93" t="s">
        <v>184</v>
      </c>
      <c r="B51" s="209">
        <v>67595</v>
      </c>
      <c r="C51" s="209">
        <v>62080</v>
      </c>
      <c r="D51" s="209">
        <v>45406</v>
      </c>
      <c r="E51" s="201">
        <f t="shared" si="0"/>
        <v>0.6717360751534877</v>
      </c>
      <c r="F51" s="42">
        <f>D51-'[3]Augusts'!D51</f>
        <v>3365</v>
      </c>
      <c r="G51" s="93" t="s">
        <v>184</v>
      </c>
      <c r="H51" s="202">
        <f aca="true" t="shared" si="6" ref="H51:J52">ROUND(B51/1000,0)</f>
        <v>68</v>
      </c>
      <c r="I51" s="202">
        <f t="shared" si="6"/>
        <v>62</v>
      </c>
      <c r="J51" s="202">
        <f t="shared" si="6"/>
        <v>45</v>
      </c>
      <c r="K51" s="96">
        <f t="shared" si="1"/>
        <v>0.6617647058823529</v>
      </c>
      <c r="L51" s="202">
        <f>J51-'[3]Augusts'!J51+1</f>
        <v>4</v>
      </c>
    </row>
    <row r="52" spans="1:12" ht="12.75">
      <c r="A52" s="93" t="s">
        <v>185</v>
      </c>
      <c r="B52" s="42">
        <v>12000</v>
      </c>
      <c r="C52" s="42">
        <v>12000</v>
      </c>
      <c r="D52" s="42">
        <v>6361</v>
      </c>
      <c r="E52" s="201">
        <f t="shared" si="0"/>
        <v>0.5300833333333334</v>
      </c>
      <c r="F52" s="42">
        <f>D52-'[3]Augusts'!D52</f>
        <v>577</v>
      </c>
      <c r="G52" s="93" t="s">
        <v>185</v>
      </c>
      <c r="H52" s="202">
        <f t="shared" si="6"/>
        <v>12</v>
      </c>
      <c r="I52" s="202">
        <f t="shared" si="6"/>
        <v>12</v>
      </c>
      <c r="J52" s="202">
        <f t="shared" si="6"/>
        <v>6</v>
      </c>
      <c r="K52" s="96">
        <f t="shared" si="1"/>
        <v>0.5</v>
      </c>
      <c r="L52" s="202">
        <f>J52-'[3]Augusts'!J52</f>
        <v>0</v>
      </c>
    </row>
    <row r="53" spans="1:12" ht="16.5" customHeight="1">
      <c r="A53" s="54" t="s">
        <v>205</v>
      </c>
      <c r="B53" s="13"/>
      <c r="C53" s="13"/>
      <c r="D53" s="13"/>
      <c r="E53" s="201" t="str">
        <f t="shared" si="0"/>
        <v> </v>
      </c>
      <c r="F53" s="13"/>
      <c r="G53" s="54" t="s">
        <v>205</v>
      </c>
      <c r="H53" s="158"/>
      <c r="I53" s="158"/>
      <c r="J53" s="158"/>
      <c r="K53" s="96"/>
      <c r="L53" s="158"/>
    </row>
    <row r="54" spans="1:12" ht="19.5" customHeight="1">
      <c r="A54" s="204" t="s">
        <v>206</v>
      </c>
      <c r="B54" s="42"/>
      <c r="C54" s="42"/>
      <c r="D54" s="42"/>
      <c r="E54" s="201" t="str">
        <f t="shared" si="0"/>
        <v> </v>
      </c>
      <c r="F54" s="42"/>
      <c r="G54" s="204" t="s">
        <v>206</v>
      </c>
      <c r="H54" s="175"/>
      <c r="I54" s="175"/>
      <c r="J54" s="175"/>
      <c r="K54" s="96"/>
      <c r="L54" s="175"/>
    </row>
    <row r="55" spans="1:12" ht="12.75">
      <c r="A55" s="93" t="s">
        <v>191</v>
      </c>
      <c r="B55" s="42">
        <f>B56</f>
        <v>2032476</v>
      </c>
      <c r="C55" s="42">
        <v>1294299</v>
      </c>
      <c r="D55" s="42">
        <f>D56</f>
        <v>1196133</v>
      </c>
      <c r="E55" s="201">
        <f t="shared" si="0"/>
        <v>0.5885102702319732</v>
      </c>
      <c r="F55" s="42">
        <f>F56</f>
        <v>42776</v>
      </c>
      <c r="G55" s="93" t="s">
        <v>191</v>
      </c>
      <c r="H55" s="175">
        <f>H56</f>
        <v>2032</v>
      </c>
      <c r="I55" s="202">
        <f>ROUND(C55/1000,0)</f>
        <v>1294</v>
      </c>
      <c r="J55" s="175">
        <f>J56</f>
        <v>1196</v>
      </c>
      <c r="K55" s="96">
        <f t="shared" si="1"/>
        <v>0.5885826771653543</v>
      </c>
      <c r="L55" s="175">
        <f>L56</f>
        <v>43</v>
      </c>
    </row>
    <row r="56" spans="1:12" ht="22.5">
      <c r="A56" s="98" t="s">
        <v>207</v>
      </c>
      <c r="B56" s="42">
        <v>2032476</v>
      </c>
      <c r="C56" s="42"/>
      <c r="D56" s="42">
        <v>1196133</v>
      </c>
      <c r="E56" s="201">
        <f t="shared" si="0"/>
        <v>0.5885102702319732</v>
      </c>
      <c r="F56" s="42">
        <f>D56-'[3]Augusts'!D56</f>
        <v>42776</v>
      </c>
      <c r="G56" s="98" t="s">
        <v>207</v>
      </c>
      <c r="H56" s="202">
        <f>ROUND(B56/1000,0)</f>
        <v>2032</v>
      </c>
      <c r="I56" s="202">
        <f>ROUND(C56/1000,0)</f>
        <v>0</v>
      </c>
      <c r="J56" s="202">
        <f>ROUND(D56/1000,0)</f>
        <v>1196</v>
      </c>
      <c r="K56" s="96">
        <f t="shared" si="1"/>
        <v>0.5885826771653543</v>
      </c>
      <c r="L56" s="202">
        <f>J56-'[3]Augusts'!J56</f>
        <v>43</v>
      </c>
    </row>
    <row r="57" spans="1:12" ht="12.75">
      <c r="A57" s="93" t="s">
        <v>192</v>
      </c>
      <c r="B57" s="42">
        <f>B58+B59</f>
        <v>2032476</v>
      </c>
      <c r="C57" s="42">
        <f>C58+C59</f>
        <v>1294299</v>
      </c>
      <c r="D57" s="42">
        <f>D58+D59</f>
        <v>1286659</v>
      </c>
      <c r="E57" s="201">
        <f t="shared" si="0"/>
        <v>0.6330500335551318</v>
      </c>
      <c r="F57" s="42">
        <f>F58+F59</f>
        <v>99977</v>
      </c>
      <c r="G57" s="93" t="s">
        <v>192</v>
      </c>
      <c r="H57" s="175">
        <f>H58+H59</f>
        <v>2032</v>
      </c>
      <c r="I57" s="175">
        <f>I58+I59</f>
        <v>1294</v>
      </c>
      <c r="J57" s="175">
        <f>J58+J59</f>
        <v>1286</v>
      </c>
      <c r="K57" s="96">
        <f t="shared" si="1"/>
        <v>0.6328740157480315</v>
      </c>
      <c r="L57" s="175">
        <f>L58+L59</f>
        <v>99</v>
      </c>
    </row>
    <row r="58" spans="1:12" ht="12.75">
      <c r="A58" s="93" t="s">
        <v>184</v>
      </c>
      <c r="B58" s="42">
        <v>1391476</v>
      </c>
      <c r="C58" s="42">
        <v>653299</v>
      </c>
      <c r="D58" s="42">
        <v>651659</v>
      </c>
      <c r="E58" s="201">
        <f t="shared" si="0"/>
        <v>0.4683221270075804</v>
      </c>
      <c r="F58" s="42">
        <f>D58-'[3]Augusts'!D58</f>
        <v>75977</v>
      </c>
      <c r="G58" s="93" t="s">
        <v>184</v>
      </c>
      <c r="H58" s="202">
        <f aca="true" t="shared" si="7" ref="H58:J59">ROUND(B58/1000,0)</f>
        <v>1391</v>
      </c>
      <c r="I58" s="202">
        <f t="shared" si="7"/>
        <v>653</v>
      </c>
      <c r="J58" s="202">
        <f>ROUND(D58/1000,0)-1</f>
        <v>651</v>
      </c>
      <c r="K58" s="96">
        <f t="shared" si="1"/>
        <v>0.4680086268871316</v>
      </c>
      <c r="L58" s="202">
        <f>J58-'[3]Augusts'!J58</f>
        <v>75</v>
      </c>
    </row>
    <row r="59" spans="1:12" ht="12.75">
      <c r="A59" s="93" t="s">
        <v>185</v>
      </c>
      <c r="B59" s="42">
        <v>641000</v>
      </c>
      <c r="C59" s="42">
        <v>641000</v>
      </c>
      <c r="D59" s="42">
        <v>635000</v>
      </c>
      <c r="E59" s="201">
        <f t="shared" si="0"/>
        <v>0.9906396255850234</v>
      </c>
      <c r="F59" s="42">
        <f>D59-'[3]Augusts'!D59</f>
        <v>24000</v>
      </c>
      <c r="G59" s="93" t="s">
        <v>185</v>
      </c>
      <c r="H59" s="202">
        <f t="shared" si="7"/>
        <v>641</v>
      </c>
      <c r="I59" s="202">
        <f t="shared" si="7"/>
        <v>641</v>
      </c>
      <c r="J59" s="202">
        <f t="shared" si="7"/>
        <v>635</v>
      </c>
      <c r="K59" s="96">
        <f t="shared" si="1"/>
        <v>0.9906396255850234</v>
      </c>
      <c r="L59" s="202">
        <f>J59-'[3]Augusts'!J59</f>
        <v>24</v>
      </c>
    </row>
    <row r="60" spans="1:12" ht="16.5" customHeight="1">
      <c r="A60" s="207" t="s">
        <v>208</v>
      </c>
      <c r="B60" s="42"/>
      <c r="C60" s="42"/>
      <c r="D60" s="42"/>
      <c r="E60" s="201" t="str">
        <f t="shared" si="0"/>
        <v> </v>
      </c>
      <c r="F60" s="42"/>
      <c r="G60" s="207" t="s">
        <v>208</v>
      </c>
      <c r="H60" s="175"/>
      <c r="I60" s="175"/>
      <c r="J60" s="175"/>
      <c r="K60" s="96"/>
      <c r="L60" s="175"/>
    </row>
    <row r="61" spans="1:12" ht="12.75">
      <c r="A61" s="93" t="s">
        <v>191</v>
      </c>
      <c r="B61" s="42">
        <f>B62</f>
        <v>257230</v>
      </c>
      <c r="C61" s="42">
        <v>175931</v>
      </c>
      <c r="D61" s="42">
        <f>D62</f>
        <v>175931</v>
      </c>
      <c r="E61" s="201">
        <f t="shared" si="0"/>
        <v>0.6839443299770633</v>
      </c>
      <c r="F61" s="42">
        <f>F62</f>
        <v>146253</v>
      </c>
      <c r="G61" s="93" t="s">
        <v>191</v>
      </c>
      <c r="H61" s="175">
        <f>H62</f>
        <v>257</v>
      </c>
      <c r="I61" s="202">
        <f>ROUND(C61/1000,0)</f>
        <v>176</v>
      </c>
      <c r="J61" s="175">
        <f>J62</f>
        <v>176</v>
      </c>
      <c r="K61" s="96">
        <f t="shared" si="1"/>
        <v>0.6848249027237354</v>
      </c>
      <c r="L61" s="175">
        <f>L62</f>
        <v>146</v>
      </c>
    </row>
    <row r="62" spans="1:12" ht="12.75">
      <c r="A62" s="98" t="s">
        <v>209</v>
      </c>
      <c r="B62" s="42">
        <v>257230</v>
      </c>
      <c r="C62" s="42"/>
      <c r="D62" s="42">
        <v>175931</v>
      </c>
      <c r="E62" s="201">
        <f t="shared" si="0"/>
        <v>0.6839443299770633</v>
      </c>
      <c r="F62" s="42">
        <f>D62-'[3]Augusts'!D62</f>
        <v>146253</v>
      </c>
      <c r="G62" s="98" t="s">
        <v>209</v>
      </c>
      <c r="H62" s="202">
        <f>ROUND(B62/1000,0)</f>
        <v>257</v>
      </c>
      <c r="I62" s="202">
        <f>ROUND(C62/1000,0)</f>
        <v>0</v>
      </c>
      <c r="J62" s="202">
        <f>ROUND(D62/1000,0)</f>
        <v>176</v>
      </c>
      <c r="K62" s="96">
        <f t="shared" si="1"/>
        <v>0.6848249027237354</v>
      </c>
      <c r="L62" s="202">
        <f>J62-'[3]Augusts'!J62</f>
        <v>146</v>
      </c>
    </row>
    <row r="63" spans="1:12" ht="12.75">
      <c r="A63" s="93" t="s">
        <v>192</v>
      </c>
      <c r="B63" s="42">
        <f>B64+B65</f>
        <v>262480</v>
      </c>
      <c r="C63" s="42">
        <f>C64+C65</f>
        <v>177243</v>
      </c>
      <c r="D63" s="42">
        <f>D64+D65</f>
        <v>31138</v>
      </c>
      <c r="E63" s="201">
        <f t="shared" si="0"/>
        <v>0.11862999085644621</v>
      </c>
      <c r="F63" s="42">
        <f>F64+F65</f>
        <v>1460</v>
      </c>
      <c r="G63" s="93" t="s">
        <v>192</v>
      </c>
      <c r="H63" s="175">
        <f>H64+H65</f>
        <v>262</v>
      </c>
      <c r="I63" s="175">
        <f>I64+I65</f>
        <v>177</v>
      </c>
      <c r="J63" s="175">
        <f>J64+J65</f>
        <v>31</v>
      </c>
      <c r="K63" s="96">
        <f t="shared" si="1"/>
        <v>0.1183206106870229</v>
      </c>
      <c r="L63" s="175">
        <f>L64+L65</f>
        <v>1</v>
      </c>
    </row>
    <row r="64" spans="1:12" ht="12.75">
      <c r="A64" s="93" t="s">
        <v>184</v>
      </c>
      <c r="B64" s="42">
        <v>260480</v>
      </c>
      <c r="C64" s="42">
        <v>175243</v>
      </c>
      <c r="D64" s="42">
        <v>31138</v>
      </c>
      <c r="E64" s="201">
        <f t="shared" si="0"/>
        <v>0.11954084766584766</v>
      </c>
      <c r="F64" s="42">
        <f>D64-'[3]Augusts'!D64</f>
        <v>1460</v>
      </c>
      <c r="G64" s="93" t="s">
        <v>184</v>
      </c>
      <c r="H64" s="202">
        <f aca="true" t="shared" si="8" ref="H64:J69">ROUND(B64/1000,0)</f>
        <v>260</v>
      </c>
      <c r="I64" s="202">
        <f t="shared" si="8"/>
        <v>175</v>
      </c>
      <c r="J64" s="202">
        <f t="shared" si="8"/>
        <v>31</v>
      </c>
      <c r="K64" s="96">
        <f t="shared" si="1"/>
        <v>0.11923076923076924</v>
      </c>
      <c r="L64" s="202">
        <f>J64-'[3]Augusts'!J64</f>
        <v>1</v>
      </c>
    </row>
    <row r="65" spans="1:12" ht="12.75">
      <c r="A65" s="93" t="s">
        <v>185</v>
      </c>
      <c r="B65" s="42">
        <v>2000</v>
      </c>
      <c r="C65" s="42">
        <v>2000</v>
      </c>
      <c r="D65" s="42"/>
      <c r="E65" s="201">
        <f t="shared" si="0"/>
        <v>0</v>
      </c>
      <c r="F65" s="42">
        <f>D65-'[3]Augusts'!D65</f>
        <v>0</v>
      </c>
      <c r="G65" s="93" t="s">
        <v>185</v>
      </c>
      <c r="H65" s="202">
        <f t="shared" si="8"/>
        <v>2</v>
      </c>
      <c r="I65" s="202">
        <f t="shared" si="8"/>
        <v>2</v>
      </c>
      <c r="J65" s="202">
        <f t="shared" si="8"/>
        <v>0</v>
      </c>
      <c r="K65" s="96">
        <f t="shared" si="1"/>
        <v>0</v>
      </c>
      <c r="L65" s="202">
        <f>J65-'[3]Augusts'!J65</f>
        <v>0</v>
      </c>
    </row>
    <row r="66" spans="1:12" ht="12.75">
      <c r="A66" s="93" t="s">
        <v>186</v>
      </c>
      <c r="B66" s="42">
        <v>3756000</v>
      </c>
      <c r="C66" s="42"/>
      <c r="D66" s="42">
        <v>1716033</v>
      </c>
      <c r="E66" s="201">
        <f t="shared" si="0"/>
        <v>0.45687779552715657</v>
      </c>
      <c r="F66" s="42">
        <f>D66-'[3]Augusts'!D66</f>
        <v>223394</v>
      </c>
      <c r="G66" s="93" t="s">
        <v>186</v>
      </c>
      <c r="H66" s="202">
        <f t="shared" si="8"/>
        <v>3756</v>
      </c>
      <c r="I66" s="202">
        <f t="shared" si="8"/>
        <v>0</v>
      </c>
      <c r="J66" s="202">
        <f t="shared" si="8"/>
        <v>1716</v>
      </c>
      <c r="K66" s="96">
        <f t="shared" si="1"/>
        <v>0.45686900958466453</v>
      </c>
      <c r="L66" s="202">
        <f>J66-'[3]Augusts'!J66</f>
        <v>223</v>
      </c>
    </row>
    <row r="67" spans="1:12" ht="12.75">
      <c r="A67" s="93" t="s">
        <v>187</v>
      </c>
      <c r="B67" s="42">
        <v>5250</v>
      </c>
      <c r="C67" s="42"/>
      <c r="D67" s="42">
        <v>11287</v>
      </c>
      <c r="E67" s="201">
        <f t="shared" si="0"/>
        <v>2.1499047619047618</v>
      </c>
      <c r="F67" s="42">
        <f>D67-'[3]Augusts'!D67</f>
        <v>9963</v>
      </c>
      <c r="G67" s="93" t="s">
        <v>187</v>
      </c>
      <c r="H67" s="202">
        <f t="shared" si="8"/>
        <v>5</v>
      </c>
      <c r="I67" s="202">
        <f t="shared" si="8"/>
        <v>0</v>
      </c>
      <c r="J67" s="202">
        <f t="shared" si="8"/>
        <v>11</v>
      </c>
      <c r="K67" s="96">
        <f t="shared" si="1"/>
        <v>2.2</v>
      </c>
      <c r="L67" s="202">
        <f>J67-'[3]Augusts'!J67</f>
        <v>10</v>
      </c>
    </row>
    <row r="68" spans="1:12" ht="12.75">
      <c r="A68" s="93" t="s">
        <v>188</v>
      </c>
      <c r="B68" s="42">
        <v>-3756000</v>
      </c>
      <c r="C68" s="42">
        <f>C61-C63-C66+C67</f>
        <v>-1312</v>
      </c>
      <c r="D68" s="42">
        <f>D61-D63-D66+D67</f>
        <v>-1559953</v>
      </c>
      <c r="E68" s="201">
        <f t="shared" si="0"/>
        <v>0.41532294994675184</v>
      </c>
      <c r="F68" s="42">
        <f>D68-'[3]Augusts'!D68</f>
        <v>-68638</v>
      </c>
      <c r="G68" s="93" t="s">
        <v>188</v>
      </c>
      <c r="H68" s="202">
        <f t="shared" si="8"/>
        <v>-3756</v>
      </c>
      <c r="I68" s="202">
        <f t="shared" si="8"/>
        <v>-1</v>
      </c>
      <c r="J68" s="202">
        <f t="shared" si="8"/>
        <v>-1560</v>
      </c>
      <c r="K68" s="96">
        <f t="shared" si="1"/>
        <v>0.41533546325878595</v>
      </c>
      <c r="L68" s="202">
        <f>J68-'[3]Augusts'!J68</f>
        <v>-69</v>
      </c>
    </row>
    <row r="69" spans="1:12" ht="12.75">
      <c r="A69" s="93" t="s">
        <v>174</v>
      </c>
      <c r="B69" s="42">
        <v>3756000</v>
      </c>
      <c r="C69" s="42"/>
      <c r="D69" s="42">
        <v>1706033</v>
      </c>
      <c r="E69" s="201">
        <f t="shared" si="0"/>
        <v>0.4542153887113951</v>
      </c>
      <c r="F69" s="42">
        <f>D69-'[3]Augusts'!D69</f>
        <v>213396</v>
      </c>
      <c r="G69" s="93" t="s">
        <v>174</v>
      </c>
      <c r="H69" s="202">
        <f t="shared" si="8"/>
        <v>3756</v>
      </c>
      <c r="I69" s="202">
        <f t="shared" si="8"/>
        <v>0</v>
      </c>
      <c r="J69" s="202">
        <f t="shared" si="8"/>
        <v>1706</v>
      </c>
      <c r="K69" s="96">
        <f t="shared" si="1"/>
        <v>0.45420660276890307</v>
      </c>
      <c r="L69" s="202">
        <f>J69-'[3]Augusts'!J69</f>
        <v>213</v>
      </c>
    </row>
    <row r="70" spans="1:12" ht="15.75" customHeight="1">
      <c r="A70" s="177" t="s">
        <v>210</v>
      </c>
      <c r="B70" s="13"/>
      <c r="C70" s="13"/>
      <c r="D70" s="13"/>
      <c r="E70" s="201" t="str">
        <f t="shared" si="0"/>
        <v> </v>
      </c>
      <c r="F70" s="13"/>
      <c r="G70" s="177" t="s">
        <v>210</v>
      </c>
      <c r="H70" s="158"/>
      <c r="I70" s="158"/>
      <c r="J70" s="158"/>
      <c r="K70" s="96"/>
      <c r="L70" s="158"/>
    </row>
    <row r="71" spans="1:12" ht="16.5" customHeight="1">
      <c r="A71" s="204" t="s">
        <v>211</v>
      </c>
      <c r="B71" s="42"/>
      <c r="C71" s="42"/>
      <c r="D71" s="42"/>
      <c r="E71" s="201" t="str">
        <f t="shared" si="0"/>
        <v> </v>
      </c>
      <c r="F71" s="42"/>
      <c r="G71" s="204" t="s">
        <v>211</v>
      </c>
      <c r="H71" s="175"/>
      <c r="I71" s="175"/>
      <c r="J71" s="175"/>
      <c r="K71" s="96"/>
      <c r="L71" s="175"/>
    </row>
    <row r="72" spans="1:12" ht="12.75">
      <c r="A72" s="93" t="s">
        <v>191</v>
      </c>
      <c r="B72" s="42">
        <f>B73+B74</f>
        <v>784500</v>
      </c>
      <c r="C72" s="42">
        <v>586314</v>
      </c>
      <c r="D72" s="42">
        <f>D73+D74</f>
        <v>466662</v>
      </c>
      <c r="E72" s="201">
        <f t="shared" si="0"/>
        <v>0.5948527724665392</v>
      </c>
      <c r="F72" s="42">
        <f>F73+F74</f>
        <v>6066</v>
      </c>
      <c r="G72" s="93" t="s">
        <v>191</v>
      </c>
      <c r="H72" s="175">
        <f>H73+H74</f>
        <v>785</v>
      </c>
      <c r="I72" s="202">
        <f>ROUND(C72/1000,0)</f>
        <v>586</v>
      </c>
      <c r="J72" s="175">
        <f>J73+J74</f>
        <v>466</v>
      </c>
      <c r="K72" s="96">
        <f t="shared" si="1"/>
        <v>0.5936305732484076</v>
      </c>
      <c r="L72" s="175">
        <f>L73+L74</f>
        <v>6</v>
      </c>
    </row>
    <row r="73" spans="1:12" ht="27.75" customHeight="1">
      <c r="A73" s="98" t="s">
        <v>212</v>
      </c>
      <c r="B73" s="42">
        <f>380000+65000+55000+10000</f>
        <v>510000</v>
      </c>
      <c r="C73" s="42"/>
      <c r="D73" s="42">
        <v>230163</v>
      </c>
      <c r="E73" s="201">
        <f t="shared" si="0"/>
        <v>0.4513</v>
      </c>
      <c r="F73" s="42">
        <f>D73-'[3]Augusts'!D73</f>
        <v>-83095</v>
      </c>
      <c r="G73" s="98" t="s">
        <v>212</v>
      </c>
      <c r="H73" s="202">
        <f>ROUND(B73/1000,0)</f>
        <v>510</v>
      </c>
      <c r="I73" s="202">
        <f>ROUND(C73/1000,0)</f>
        <v>0</v>
      </c>
      <c r="J73" s="202">
        <f>ROUND(D73/1000,0)</f>
        <v>230</v>
      </c>
      <c r="K73" s="96">
        <f t="shared" si="1"/>
        <v>0.45098039215686275</v>
      </c>
      <c r="L73" s="202">
        <f>J73-'[3]Augusts'!J73</f>
        <v>-83</v>
      </c>
    </row>
    <row r="74" spans="1:12" ht="12.75">
      <c r="A74" s="98" t="s">
        <v>198</v>
      </c>
      <c r="B74" s="42">
        <v>274500</v>
      </c>
      <c r="C74" s="42"/>
      <c r="D74" s="42">
        <v>236499</v>
      </c>
      <c r="E74" s="201">
        <f aca="true" t="shared" si="9" ref="E74:E137">IF(ISERROR(D74/B74)," ",(D74/B74))</f>
        <v>0.8615628415300547</v>
      </c>
      <c r="F74" s="42">
        <f>D74-'[3]Augusts'!D74</f>
        <v>89161</v>
      </c>
      <c r="G74" s="98" t="s">
        <v>198</v>
      </c>
      <c r="H74" s="202">
        <f>ROUND(B74/1000,0)</f>
        <v>275</v>
      </c>
      <c r="I74" s="202">
        <f>ROUND(C74/1000,0)</f>
        <v>0</v>
      </c>
      <c r="J74" s="202">
        <f>ROUND(D74/1000,0)</f>
        <v>236</v>
      </c>
      <c r="K74" s="96">
        <f aca="true" t="shared" si="10" ref="K74:K137">IF(ISERROR(ROUND(J74,0)/ROUND(H74,0))," ",(ROUND(J74,)/ROUND(H74,)))</f>
        <v>0.8581818181818182</v>
      </c>
      <c r="L74" s="202">
        <f>J74-'[3]Augusts'!J74</f>
        <v>89</v>
      </c>
    </row>
    <row r="75" spans="1:12" ht="12.75">
      <c r="A75" s="93" t="s">
        <v>192</v>
      </c>
      <c r="B75" s="42">
        <f>B76+B77</f>
        <v>784500</v>
      </c>
      <c r="C75" s="42">
        <f>C76+C77</f>
        <v>586314</v>
      </c>
      <c r="D75" s="42">
        <f>D76+D77</f>
        <v>513116</v>
      </c>
      <c r="E75" s="201">
        <f t="shared" si="9"/>
        <v>0.6540675589547482</v>
      </c>
      <c r="F75" s="42">
        <f>F76+F77</f>
        <v>42445</v>
      </c>
      <c r="G75" s="93" t="s">
        <v>192</v>
      </c>
      <c r="H75" s="175">
        <f>H76+H77</f>
        <v>785</v>
      </c>
      <c r="I75" s="175">
        <f>I76+I77</f>
        <v>587</v>
      </c>
      <c r="J75" s="175">
        <f>J76+J77</f>
        <v>513</v>
      </c>
      <c r="K75" s="96">
        <f t="shared" si="10"/>
        <v>0.6535031847133758</v>
      </c>
      <c r="L75" s="175">
        <f>L76+L77</f>
        <v>42</v>
      </c>
    </row>
    <row r="76" spans="1:12" ht="12.75">
      <c r="A76" s="93" t="s">
        <v>184</v>
      </c>
      <c r="B76" s="42">
        <v>700577</v>
      </c>
      <c r="C76" s="42">
        <v>511614</v>
      </c>
      <c r="D76" s="42">
        <v>441124</v>
      </c>
      <c r="E76" s="201">
        <f t="shared" si="9"/>
        <v>0.6296581246601016</v>
      </c>
      <c r="F76" s="42">
        <f>D76-'[3]Augusts'!D76</f>
        <v>42252</v>
      </c>
      <c r="G76" s="93" t="s">
        <v>184</v>
      </c>
      <c r="H76" s="202">
        <f aca="true" t="shared" si="11" ref="H76:J77">ROUND(B76/1000,0)</f>
        <v>701</v>
      </c>
      <c r="I76" s="202">
        <f t="shared" si="11"/>
        <v>512</v>
      </c>
      <c r="J76" s="202">
        <f t="shared" si="11"/>
        <v>441</v>
      </c>
      <c r="K76" s="96">
        <f t="shared" si="10"/>
        <v>0.6291012838801712</v>
      </c>
      <c r="L76" s="202">
        <f>J76-'[3]Augusts'!J76</f>
        <v>42</v>
      </c>
    </row>
    <row r="77" spans="1:12" ht="12.75">
      <c r="A77" s="93" t="s">
        <v>185</v>
      </c>
      <c r="B77" s="42">
        <v>83923</v>
      </c>
      <c r="C77" s="42">
        <v>74700</v>
      </c>
      <c r="D77" s="42">
        <v>71992</v>
      </c>
      <c r="E77" s="201">
        <f t="shared" si="9"/>
        <v>0.8578339668505655</v>
      </c>
      <c r="F77" s="42">
        <f>D77-'[3]Augusts'!D77</f>
        <v>193</v>
      </c>
      <c r="G77" s="93" t="s">
        <v>185</v>
      </c>
      <c r="H77" s="202">
        <f t="shared" si="11"/>
        <v>84</v>
      </c>
      <c r="I77" s="202">
        <f t="shared" si="11"/>
        <v>75</v>
      </c>
      <c r="J77" s="202">
        <f t="shared" si="11"/>
        <v>72</v>
      </c>
      <c r="K77" s="96">
        <f t="shared" si="10"/>
        <v>0.8571428571428571</v>
      </c>
      <c r="L77" s="202">
        <f>J77-'[3]Augusts'!J77</f>
        <v>0</v>
      </c>
    </row>
    <row r="78" spans="1:12" ht="15.75" customHeight="1">
      <c r="A78" s="204" t="s">
        <v>213</v>
      </c>
      <c r="B78" s="42"/>
      <c r="C78" s="42"/>
      <c r="D78" s="42"/>
      <c r="E78" s="201" t="str">
        <f t="shared" si="9"/>
        <v> </v>
      </c>
      <c r="F78" s="42"/>
      <c r="G78" s="204" t="s">
        <v>213</v>
      </c>
      <c r="H78" s="175"/>
      <c r="I78" s="175"/>
      <c r="J78" s="175"/>
      <c r="K78" s="96"/>
      <c r="L78" s="175"/>
    </row>
    <row r="79" spans="1:12" ht="12.75">
      <c r="A79" s="93" t="s">
        <v>191</v>
      </c>
      <c r="B79" s="42">
        <f>B80+B81</f>
        <v>24000000</v>
      </c>
      <c r="C79" s="42">
        <v>19820310</v>
      </c>
      <c r="D79" s="42">
        <f>D80+D81</f>
        <v>13556121</v>
      </c>
      <c r="E79" s="201">
        <f t="shared" si="9"/>
        <v>0.564838375</v>
      </c>
      <c r="F79" s="42">
        <f>F80+F81</f>
        <v>1895880</v>
      </c>
      <c r="G79" s="93" t="s">
        <v>191</v>
      </c>
      <c r="H79" s="175">
        <f>H80+H81</f>
        <v>24000</v>
      </c>
      <c r="I79" s="202">
        <f>ROUND(C79/1000,0)</f>
        <v>19820</v>
      </c>
      <c r="J79" s="175">
        <f>J80+J81</f>
        <v>13555</v>
      </c>
      <c r="K79" s="96">
        <f t="shared" si="10"/>
        <v>0.5647916666666667</v>
      </c>
      <c r="L79" s="175">
        <f>L80+L81</f>
        <v>1895</v>
      </c>
    </row>
    <row r="80" spans="1:12" ht="12.75">
      <c r="A80" s="98" t="s">
        <v>214</v>
      </c>
      <c r="B80" s="42">
        <v>18919004</v>
      </c>
      <c r="C80" s="42"/>
      <c r="D80" s="42">
        <v>12333366</v>
      </c>
      <c r="E80" s="201">
        <f t="shared" si="9"/>
        <v>0.6519035568680043</v>
      </c>
      <c r="F80" s="42">
        <f>D80-'[3]Augusts'!D80</f>
        <v>1760401</v>
      </c>
      <c r="G80" s="98" t="s">
        <v>214</v>
      </c>
      <c r="H80" s="202">
        <f>ROUND(B80/1000,0)</f>
        <v>18919</v>
      </c>
      <c r="I80" s="202">
        <f>ROUND(C80/1000,0)</f>
        <v>0</v>
      </c>
      <c r="J80" s="202">
        <f>ROUND(D80/1000,0)</f>
        <v>12333</v>
      </c>
      <c r="K80" s="96">
        <f t="shared" si="10"/>
        <v>0.6518843490670754</v>
      </c>
      <c r="L80" s="202">
        <f>J80-'[3]Augusts'!J80</f>
        <v>1760</v>
      </c>
    </row>
    <row r="81" spans="1:12" ht="12.75">
      <c r="A81" s="93" t="s">
        <v>215</v>
      </c>
      <c r="B81" s="42">
        <v>5080996</v>
      </c>
      <c r="C81" s="42"/>
      <c r="D81" s="42">
        <v>1222755</v>
      </c>
      <c r="E81" s="201">
        <f t="shared" si="9"/>
        <v>0.24065262007685106</v>
      </c>
      <c r="F81" s="42">
        <f>D81-'[3]Augusts'!D81</f>
        <v>135479</v>
      </c>
      <c r="G81" s="93" t="s">
        <v>215</v>
      </c>
      <c r="H81" s="202">
        <f>ROUND(B81/1000,0)</f>
        <v>5081</v>
      </c>
      <c r="I81" s="202">
        <f>ROUND(C81/1000,0)</f>
        <v>0</v>
      </c>
      <c r="J81" s="202">
        <f>ROUND(D81/1000,0)-1</f>
        <v>1222</v>
      </c>
      <c r="K81" s="96">
        <f t="shared" si="10"/>
        <v>0.24050383782719936</v>
      </c>
      <c r="L81" s="202">
        <f>J81-'[3]Augusts'!J81</f>
        <v>135</v>
      </c>
    </row>
    <row r="82" spans="1:12" ht="12.75">
      <c r="A82" s="93" t="s">
        <v>192</v>
      </c>
      <c r="B82" s="42">
        <f>B83+B84</f>
        <v>23000000</v>
      </c>
      <c r="C82" s="42">
        <f>C83+C84</f>
        <v>18820310</v>
      </c>
      <c r="D82" s="42">
        <f>D83+D84</f>
        <v>14870105</v>
      </c>
      <c r="E82" s="201">
        <f t="shared" si="9"/>
        <v>0.6465263043478261</v>
      </c>
      <c r="F82" s="42">
        <f>F83+F84</f>
        <v>1695179</v>
      </c>
      <c r="G82" s="93" t="s">
        <v>192</v>
      </c>
      <c r="H82" s="175">
        <f>H83+H84</f>
        <v>23000</v>
      </c>
      <c r="I82" s="175">
        <f>I83+I84</f>
        <v>18821</v>
      </c>
      <c r="J82" s="175">
        <f>J83+J84</f>
        <v>14870</v>
      </c>
      <c r="K82" s="96">
        <f t="shared" si="10"/>
        <v>0.6465217391304348</v>
      </c>
      <c r="L82" s="175">
        <f>L83+L84</f>
        <v>1695</v>
      </c>
    </row>
    <row r="83" spans="1:12" ht="12.75">
      <c r="A83" s="93" t="s">
        <v>184</v>
      </c>
      <c r="B83" s="42">
        <v>21037468</v>
      </c>
      <c r="C83" s="42">
        <v>16957563</v>
      </c>
      <c r="D83" s="42">
        <v>13601849</v>
      </c>
      <c r="E83" s="201">
        <f t="shared" si="9"/>
        <v>0.6465535206042856</v>
      </c>
      <c r="F83" s="42">
        <f>D83-'[3]Augusts'!D83</f>
        <v>1480529</v>
      </c>
      <c r="G83" s="93" t="s">
        <v>184</v>
      </c>
      <c r="H83" s="202">
        <f aca="true" t="shared" si="12" ref="H83:J84">ROUND(B83/1000,0)</f>
        <v>21037</v>
      </c>
      <c r="I83" s="202">
        <f t="shared" si="12"/>
        <v>16958</v>
      </c>
      <c r="J83" s="202">
        <f>ROUND(D83/1000,0)</f>
        <v>13602</v>
      </c>
      <c r="K83" s="96">
        <f t="shared" si="10"/>
        <v>0.6465750819983838</v>
      </c>
      <c r="L83" s="202">
        <f>J83-'[3]Augusts'!J83</f>
        <v>1481</v>
      </c>
    </row>
    <row r="84" spans="1:12" ht="12.75">
      <c r="A84" s="93" t="s">
        <v>185</v>
      </c>
      <c r="B84" s="42">
        <v>1962532</v>
      </c>
      <c r="C84" s="42">
        <v>1862747</v>
      </c>
      <c r="D84" s="42">
        <v>1268256</v>
      </c>
      <c r="E84" s="201">
        <f t="shared" si="9"/>
        <v>0.6462345582135731</v>
      </c>
      <c r="F84" s="42">
        <f>D84-'[3]Augusts'!D84</f>
        <v>214650</v>
      </c>
      <c r="G84" s="93" t="s">
        <v>185</v>
      </c>
      <c r="H84" s="202">
        <f t="shared" si="12"/>
        <v>1963</v>
      </c>
      <c r="I84" s="202">
        <f t="shared" si="12"/>
        <v>1863</v>
      </c>
      <c r="J84" s="202">
        <f t="shared" si="12"/>
        <v>1268</v>
      </c>
      <c r="K84" s="96">
        <f t="shared" si="10"/>
        <v>0.6459500764136525</v>
      </c>
      <c r="L84" s="202">
        <f>J84-'[3]Augusts'!J84</f>
        <v>214</v>
      </c>
    </row>
    <row r="85" spans="1:12" ht="18" customHeight="1">
      <c r="A85" s="54" t="s">
        <v>216</v>
      </c>
      <c r="B85" s="13"/>
      <c r="C85" s="13"/>
      <c r="D85" s="13"/>
      <c r="E85" s="201" t="str">
        <f t="shared" si="9"/>
        <v> </v>
      </c>
      <c r="F85" s="13"/>
      <c r="G85" s="54" t="s">
        <v>216</v>
      </c>
      <c r="H85" s="202"/>
      <c r="I85" s="202"/>
      <c r="J85" s="202"/>
      <c r="K85" s="96"/>
      <c r="L85" s="202"/>
    </row>
    <row r="86" spans="1:12" ht="21" customHeight="1">
      <c r="A86" s="204" t="s">
        <v>217</v>
      </c>
      <c r="B86" s="42"/>
      <c r="C86" s="42"/>
      <c r="D86" s="42"/>
      <c r="E86" s="201" t="str">
        <f t="shared" si="9"/>
        <v> </v>
      </c>
      <c r="F86" s="42"/>
      <c r="G86" s="204" t="s">
        <v>217</v>
      </c>
      <c r="H86" s="175"/>
      <c r="I86" s="175"/>
      <c r="J86" s="175"/>
      <c r="K86" s="96"/>
      <c r="L86" s="175"/>
    </row>
    <row r="87" spans="1:12" ht="12.75">
      <c r="A87" s="93" t="s">
        <v>191</v>
      </c>
      <c r="B87" s="42">
        <f>SUM(B88:B90)</f>
        <v>61798609</v>
      </c>
      <c r="C87" s="42">
        <v>52011000</v>
      </c>
      <c r="D87" s="42">
        <f>SUM(D88:D90)</f>
        <v>42368836</v>
      </c>
      <c r="E87" s="201">
        <f t="shared" si="9"/>
        <v>0.6855953019913442</v>
      </c>
      <c r="F87" s="42">
        <f>SUM(F88:F90)</f>
        <v>4163133</v>
      </c>
      <c r="G87" s="93" t="s">
        <v>191</v>
      </c>
      <c r="H87" s="175">
        <f>SUM(H88:H90)</f>
        <v>61799</v>
      </c>
      <c r="I87" s="202">
        <f>ROUND(C87/1000,0)</f>
        <v>52011</v>
      </c>
      <c r="J87" s="175">
        <f>SUM(J88:J90)</f>
        <v>42369</v>
      </c>
      <c r="K87" s="96">
        <f t="shared" si="10"/>
        <v>0.6855936180197091</v>
      </c>
      <c r="L87" s="175">
        <f>SUM(L88:L90)</f>
        <v>4163</v>
      </c>
    </row>
    <row r="88" spans="1:12" ht="12.75">
      <c r="A88" s="93" t="s">
        <v>218</v>
      </c>
      <c r="B88" s="42">
        <v>7800000</v>
      </c>
      <c r="C88" s="42"/>
      <c r="D88" s="42">
        <v>6639658</v>
      </c>
      <c r="E88" s="201">
        <f t="shared" si="9"/>
        <v>0.8512382051282051</v>
      </c>
      <c r="F88" s="42">
        <f>D88-'[3]Augusts'!D88</f>
        <v>633332</v>
      </c>
      <c r="G88" s="93" t="s">
        <v>218</v>
      </c>
      <c r="H88" s="202">
        <f>ROUND(B88/1000,0)</f>
        <v>7800</v>
      </c>
      <c r="I88" s="202">
        <f>ROUND(C88/1000,0)</f>
        <v>0</v>
      </c>
      <c r="J88" s="202">
        <f>ROUND(D88/1000,0)</f>
        <v>6640</v>
      </c>
      <c r="K88" s="96">
        <f t="shared" si="10"/>
        <v>0.8512820512820513</v>
      </c>
      <c r="L88" s="202">
        <f>J88-'[3]Augusts'!J88</f>
        <v>634</v>
      </c>
    </row>
    <row r="89" spans="1:12" ht="12.75">
      <c r="A89" s="93" t="s">
        <v>219</v>
      </c>
      <c r="B89" s="42">
        <v>53948609</v>
      </c>
      <c r="C89" s="42"/>
      <c r="D89" s="42">
        <v>35707920</v>
      </c>
      <c r="E89" s="201">
        <f t="shared" si="9"/>
        <v>0.6618876864832604</v>
      </c>
      <c r="F89" s="42">
        <f>D89-'[3]Augusts'!D89</f>
        <v>3528046</v>
      </c>
      <c r="G89" s="93" t="s">
        <v>219</v>
      </c>
      <c r="H89" s="202">
        <f>ROUND(B89/1000,0)</f>
        <v>53949</v>
      </c>
      <c r="I89" s="202">
        <f>ROUND(C89/1000,0)</f>
        <v>0</v>
      </c>
      <c r="J89" s="202">
        <f>ROUND(D89/1000,0)</f>
        <v>35708</v>
      </c>
      <c r="K89" s="96">
        <f t="shared" si="10"/>
        <v>0.6618843722775214</v>
      </c>
      <c r="L89" s="202">
        <f>J89-'[3]Augusts'!J89</f>
        <v>3528</v>
      </c>
    </row>
    <row r="90" spans="1:12" ht="12.75">
      <c r="A90" s="93" t="s">
        <v>220</v>
      </c>
      <c r="B90" s="42">
        <v>50000</v>
      </c>
      <c r="C90" s="42"/>
      <c r="D90" s="42">
        <f>21258</f>
        <v>21258</v>
      </c>
      <c r="E90" s="201">
        <f t="shared" si="9"/>
        <v>0.42516</v>
      </c>
      <c r="F90" s="42">
        <f>D90-'[3]Augusts'!D90</f>
        <v>1755</v>
      </c>
      <c r="G90" s="93" t="s">
        <v>220</v>
      </c>
      <c r="H90" s="202">
        <f>ROUND(B90/1000,0)</f>
        <v>50</v>
      </c>
      <c r="I90" s="202">
        <f>ROUND(C90/1000,0)</f>
        <v>0</v>
      </c>
      <c r="J90" s="202">
        <f>ROUND(D90/1000,0)</f>
        <v>21</v>
      </c>
      <c r="K90" s="96">
        <f t="shared" si="10"/>
        <v>0.42</v>
      </c>
      <c r="L90" s="202">
        <f>J90-'[3]Augusts'!J90</f>
        <v>1</v>
      </c>
    </row>
    <row r="91" spans="1:12" ht="12.75">
      <c r="A91" s="93" t="s">
        <v>192</v>
      </c>
      <c r="B91" s="42">
        <f>B92+B93</f>
        <v>81512640</v>
      </c>
      <c r="C91" s="42">
        <f>C92+C93</f>
        <v>72375942</v>
      </c>
      <c r="D91" s="42">
        <f>D92+D93</f>
        <v>63146800</v>
      </c>
      <c r="E91" s="201">
        <f t="shared" si="9"/>
        <v>0.7746872141547617</v>
      </c>
      <c r="F91" s="42">
        <f>F92+F93</f>
        <v>6878698</v>
      </c>
      <c r="G91" s="93" t="s">
        <v>192</v>
      </c>
      <c r="H91" s="175">
        <f>H92+H93</f>
        <v>81513</v>
      </c>
      <c r="I91" s="175">
        <f>I92+I93</f>
        <v>72376</v>
      </c>
      <c r="J91" s="175">
        <f>J92+J93</f>
        <v>63147</v>
      </c>
      <c r="K91" s="96">
        <f t="shared" si="10"/>
        <v>0.7746862463656103</v>
      </c>
      <c r="L91" s="175">
        <f>L92+L93</f>
        <v>6880</v>
      </c>
    </row>
    <row r="92" spans="1:12" ht="12.75">
      <c r="A92" s="93" t="s">
        <v>184</v>
      </c>
      <c r="B92" s="42">
        <v>52743056</v>
      </c>
      <c r="C92" s="42">
        <f>44779028+1444000</f>
        <v>46223028</v>
      </c>
      <c r="D92" s="42">
        <v>38336769</v>
      </c>
      <c r="E92" s="201">
        <f t="shared" si="9"/>
        <v>0.7268590769560263</v>
      </c>
      <c r="F92" s="42">
        <f>D92-'[3]Augusts'!D92</f>
        <v>3156996</v>
      </c>
      <c r="G92" s="93" t="s">
        <v>184</v>
      </c>
      <c r="H92" s="202">
        <f aca="true" t="shared" si="13" ref="H92:J95">ROUND(B92/1000,0)</f>
        <v>52743</v>
      </c>
      <c r="I92" s="202">
        <f t="shared" si="13"/>
        <v>46223</v>
      </c>
      <c r="J92" s="202">
        <f>ROUND(D92/1000,0)</f>
        <v>38337</v>
      </c>
      <c r="K92" s="96">
        <f t="shared" si="10"/>
        <v>0.726864228428417</v>
      </c>
      <c r="L92" s="202">
        <f>J92-'[3]Augusts'!J92</f>
        <v>3158</v>
      </c>
    </row>
    <row r="93" spans="1:12" ht="12.75">
      <c r="A93" s="93" t="s">
        <v>221</v>
      </c>
      <c r="B93" s="42">
        <v>28769584</v>
      </c>
      <c r="C93" s="42">
        <v>26152914</v>
      </c>
      <c r="D93" s="42">
        <v>24810031</v>
      </c>
      <c r="E93" s="201">
        <f t="shared" si="9"/>
        <v>0.8623701684390014</v>
      </c>
      <c r="F93" s="42">
        <f>D93-'[3]Augusts'!D93</f>
        <v>3721702</v>
      </c>
      <c r="G93" s="93" t="s">
        <v>221</v>
      </c>
      <c r="H93" s="202">
        <f t="shared" si="13"/>
        <v>28770</v>
      </c>
      <c r="I93" s="202">
        <f t="shared" si="13"/>
        <v>26153</v>
      </c>
      <c r="J93" s="202">
        <f t="shared" si="13"/>
        <v>24810</v>
      </c>
      <c r="K93" s="96">
        <f t="shared" si="10"/>
        <v>0.862356621480709</v>
      </c>
      <c r="L93" s="202">
        <f>J93-'[3]Augusts'!J93</f>
        <v>3722</v>
      </c>
    </row>
    <row r="94" spans="1:12" ht="15.75" customHeight="1">
      <c r="A94" s="93" t="s">
        <v>188</v>
      </c>
      <c r="B94" s="42">
        <f>B87-B91</f>
        <v>-19714031</v>
      </c>
      <c r="C94" s="42">
        <f>C87-C91</f>
        <v>-20364942</v>
      </c>
      <c r="D94" s="42">
        <f>D87-D91</f>
        <v>-20777964</v>
      </c>
      <c r="E94" s="201">
        <f t="shared" si="9"/>
        <v>1.0539683132282789</v>
      </c>
      <c r="F94" s="42">
        <f>F87-F91</f>
        <v>-2715565</v>
      </c>
      <c r="G94" s="93" t="s">
        <v>188</v>
      </c>
      <c r="H94" s="175">
        <f>H87-H91</f>
        <v>-19714</v>
      </c>
      <c r="I94" s="175">
        <f>I87-I91</f>
        <v>-20365</v>
      </c>
      <c r="J94" s="175">
        <f>J87-J91</f>
        <v>-20778</v>
      </c>
      <c r="K94" s="96">
        <f t="shared" si="10"/>
        <v>1.0539717966927058</v>
      </c>
      <c r="L94" s="175">
        <f>L87-L91</f>
        <v>-2717</v>
      </c>
    </row>
    <row r="95" spans="1:12" ht="15.75" customHeight="1">
      <c r="A95" s="93" t="s">
        <v>174</v>
      </c>
      <c r="B95" s="42">
        <v>15750000</v>
      </c>
      <c r="C95" s="42"/>
      <c r="D95" s="42">
        <v>16549997</v>
      </c>
      <c r="E95" s="201">
        <f t="shared" si="9"/>
        <v>1.0507934603174602</v>
      </c>
      <c r="F95" s="42">
        <f>D95-'[3]Augusts'!D95</f>
        <v>2581052</v>
      </c>
      <c r="G95" s="93" t="s">
        <v>174</v>
      </c>
      <c r="H95" s="202">
        <f t="shared" si="13"/>
        <v>15750</v>
      </c>
      <c r="I95" s="175">
        <f>-I94</f>
        <v>20365</v>
      </c>
      <c r="J95" s="202">
        <f t="shared" si="13"/>
        <v>16550</v>
      </c>
      <c r="K95" s="96">
        <f t="shared" si="10"/>
        <v>1.0507936507936508</v>
      </c>
      <c r="L95" s="202">
        <f>J95-'[3]Augusts'!J95</f>
        <v>2581</v>
      </c>
    </row>
    <row r="96" spans="1:12" ht="16.5" customHeight="1">
      <c r="A96" s="204" t="s">
        <v>222</v>
      </c>
      <c r="B96" s="42"/>
      <c r="C96" s="42"/>
      <c r="D96" s="42"/>
      <c r="E96" s="201" t="str">
        <f t="shared" si="9"/>
        <v> </v>
      </c>
      <c r="F96" s="42"/>
      <c r="G96" s="204" t="s">
        <v>222</v>
      </c>
      <c r="H96" s="175"/>
      <c r="I96" s="175"/>
      <c r="J96" s="175"/>
      <c r="K96" s="96"/>
      <c r="L96" s="202"/>
    </row>
    <row r="97" spans="1:12" ht="12.75">
      <c r="A97" s="93" t="s">
        <v>191</v>
      </c>
      <c r="B97" s="42">
        <f>B98+B99</f>
        <v>21878279</v>
      </c>
      <c r="C97" s="42">
        <f>C98+C99</f>
        <v>12191432</v>
      </c>
      <c r="D97" s="42">
        <f>D98+D99</f>
        <v>2083117</v>
      </c>
      <c r="E97" s="201">
        <f t="shared" si="9"/>
        <v>0.0952139334177062</v>
      </c>
      <c r="F97" s="42">
        <f>F98+F99</f>
        <v>1203358</v>
      </c>
      <c r="G97" s="93" t="s">
        <v>191</v>
      </c>
      <c r="H97" s="175">
        <f>H98+H99</f>
        <v>21878</v>
      </c>
      <c r="I97" s="175">
        <f>I98+I99</f>
        <v>12191</v>
      </c>
      <c r="J97" s="175">
        <f>J98+J99</f>
        <v>2083</v>
      </c>
      <c r="K97" s="96">
        <f t="shared" si="10"/>
        <v>0.09520979979888472</v>
      </c>
      <c r="L97" s="175">
        <f>L98+L99</f>
        <v>1203</v>
      </c>
    </row>
    <row r="98" spans="1:12" ht="12.75">
      <c r="A98" s="93" t="s">
        <v>223</v>
      </c>
      <c r="B98" s="42">
        <v>19278279</v>
      </c>
      <c r="C98" s="42">
        <v>10747432</v>
      </c>
      <c r="D98" s="42">
        <v>1308016</v>
      </c>
      <c r="E98" s="201">
        <f t="shared" si="9"/>
        <v>0.06784920998394099</v>
      </c>
      <c r="F98" s="42">
        <f>D98-'[3]Augusts'!D98</f>
        <v>821845</v>
      </c>
      <c r="G98" s="93" t="s">
        <v>223</v>
      </c>
      <c r="H98" s="202">
        <f aca="true" t="shared" si="14" ref="H98:J99">ROUND(B98/1000,0)</f>
        <v>19278</v>
      </c>
      <c r="I98" s="202">
        <f t="shared" si="14"/>
        <v>10747</v>
      </c>
      <c r="J98" s="202">
        <f t="shared" si="14"/>
        <v>1308</v>
      </c>
      <c r="K98" s="96">
        <f t="shared" si="10"/>
        <v>0.06784936196700903</v>
      </c>
      <c r="L98" s="202">
        <f>J98-'[3]Augusts'!J98</f>
        <v>822</v>
      </c>
    </row>
    <row r="99" spans="1:12" ht="12.75">
      <c r="A99" s="93" t="s">
        <v>224</v>
      </c>
      <c r="B99" s="42">
        <v>2600000</v>
      </c>
      <c r="C99" s="42">
        <v>1444000</v>
      </c>
      <c r="D99" s="42">
        <v>775101</v>
      </c>
      <c r="E99" s="201">
        <f t="shared" si="9"/>
        <v>0.2981157692307692</v>
      </c>
      <c r="F99" s="42">
        <f>D99-'[3]Augusts'!D99</f>
        <v>381513</v>
      </c>
      <c r="G99" s="93" t="s">
        <v>224</v>
      </c>
      <c r="H99" s="202">
        <f t="shared" si="14"/>
        <v>2600</v>
      </c>
      <c r="I99" s="202">
        <f t="shared" si="14"/>
        <v>1444</v>
      </c>
      <c r="J99" s="202">
        <f t="shared" si="14"/>
        <v>775</v>
      </c>
      <c r="K99" s="96">
        <f t="shared" si="10"/>
        <v>0.2980769230769231</v>
      </c>
      <c r="L99" s="202">
        <f>J99-'[3]Augusts'!J99</f>
        <v>381</v>
      </c>
    </row>
    <row r="100" spans="1:12" ht="12.75">
      <c r="A100" s="93" t="s">
        <v>192</v>
      </c>
      <c r="B100" s="42">
        <f>B101+B102</f>
        <v>21878279</v>
      </c>
      <c r="C100" s="42">
        <f>C101+C102</f>
        <v>12191432</v>
      </c>
      <c r="D100" s="42">
        <f>D101+D102</f>
        <v>1917743</v>
      </c>
      <c r="E100" s="201">
        <f t="shared" si="9"/>
        <v>0.08765511217769917</v>
      </c>
      <c r="F100" s="42">
        <f>F101+F102</f>
        <v>1387640</v>
      </c>
      <c r="G100" s="93" t="s">
        <v>192</v>
      </c>
      <c r="H100" s="175">
        <f>H101+H102</f>
        <v>21878</v>
      </c>
      <c r="I100" s="175">
        <f>I101+I102</f>
        <v>12192</v>
      </c>
      <c r="J100" s="175">
        <f>J101+J102</f>
        <v>1917</v>
      </c>
      <c r="K100" s="96">
        <f t="shared" si="10"/>
        <v>0.08762226894597312</v>
      </c>
      <c r="L100" s="175">
        <f>L101+L102</f>
        <v>1388</v>
      </c>
    </row>
    <row r="101" spans="1:12" ht="12.75">
      <c r="A101" s="93" t="s">
        <v>184</v>
      </c>
      <c r="B101" s="42">
        <v>21860229</v>
      </c>
      <c r="C101" s="42">
        <v>12185920</v>
      </c>
      <c r="D101" s="42">
        <v>1913480</v>
      </c>
      <c r="E101" s="201">
        <f t="shared" si="9"/>
        <v>0.08753247735876875</v>
      </c>
      <c r="F101" s="42">
        <f>D101-'[3]Augusts'!D101</f>
        <v>1384870</v>
      </c>
      <c r="G101" s="93" t="s">
        <v>184</v>
      </c>
      <c r="H101" s="202">
        <f aca="true" t="shared" si="15" ref="H101:J102">ROUND(B101/1000,0)</f>
        <v>21860</v>
      </c>
      <c r="I101" s="202">
        <f t="shared" si="15"/>
        <v>12186</v>
      </c>
      <c r="J101" s="202">
        <f>ROUND(D101/1000,0)</f>
        <v>1913</v>
      </c>
      <c r="K101" s="96">
        <f t="shared" si="10"/>
        <v>0.08751143641354071</v>
      </c>
      <c r="L101" s="202">
        <f>J101-'[3]Augusts'!J101</f>
        <v>1385</v>
      </c>
    </row>
    <row r="102" spans="1:12" ht="12.75">
      <c r="A102" s="93" t="s">
        <v>185</v>
      </c>
      <c r="B102" s="42">
        <v>18050</v>
      </c>
      <c r="C102" s="42">
        <v>5512</v>
      </c>
      <c r="D102" s="42">
        <v>4263</v>
      </c>
      <c r="E102" s="201">
        <f t="shared" si="9"/>
        <v>0.23617728531855955</v>
      </c>
      <c r="F102" s="42">
        <f>D102-'[3]Augusts'!D102</f>
        <v>2770</v>
      </c>
      <c r="G102" s="93" t="s">
        <v>185</v>
      </c>
      <c r="H102" s="202">
        <f t="shared" si="15"/>
        <v>18</v>
      </c>
      <c r="I102" s="202">
        <f t="shared" si="15"/>
        <v>6</v>
      </c>
      <c r="J102" s="202">
        <f t="shared" si="15"/>
        <v>4</v>
      </c>
      <c r="K102" s="96">
        <f t="shared" si="10"/>
        <v>0.2222222222222222</v>
      </c>
      <c r="L102" s="202">
        <f>J102-'[3]Augusts'!J102</f>
        <v>3</v>
      </c>
    </row>
    <row r="103" spans="1:12" ht="15.75" customHeight="1">
      <c r="A103" s="204" t="s">
        <v>225</v>
      </c>
      <c r="B103" s="42"/>
      <c r="C103" s="42"/>
      <c r="D103" s="42"/>
      <c r="E103" s="201" t="str">
        <f t="shared" si="9"/>
        <v> </v>
      </c>
      <c r="F103" s="42"/>
      <c r="G103" s="204" t="s">
        <v>225</v>
      </c>
      <c r="H103" s="175"/>
      <c r="I103" s="175"/>
      <c r="J103" s="175"/>
      <c r="K103" s="96"/>
      <c r="L103" s="175"/>
    </row>
    <row r="104" spans="1:12" ht="12.75">
      <c r="A104" s="93" t="s">
        <v>191</v>
      </c>
      <c r="B104" s="42">
        <f>B105+B106</f>
        <v>840000</v>
      </c>
      <c r="C104" s="42">
        <v>770000</v>
      </c>
      <c r="D104" s="42">
        <f>D105+D106</f>
        <v>580442</v>
      </c>
      <c r="E104" s="201">
        <f t="shared" si="9"/>
        <v>0.691002380952381</v>
      </c>
      <c r="F104" s="42">
        <f>F105+F106</f>
        <v>52986</v>
      </c>
      <c r="G104" s="93" t="s">
        <v>191</v>
      </c>
      <c r="H104" s="175">
        <f>H105+H106</f>
        <v>840</v>
      </c>
      <c r="I104" s="202">
        <f>ROUND(C104/1000,0)</f>
        <v>770</v>
      </c>
      <c r="J104" s="175">
        <f>J105+J106</f>
        <v>581</v>
      </c>
      <c r="K104" s="96">
        <f t="shared" si="10"/>
        <v>0.6916666666666667</v>
      </c>
      <c r="L104" s="175">
        <f>L105+L106</f>
        <v>54</v>
      </c>
    </row>
    <row r="105" spans="1:12" ht="12.75">
      <c r="A105" s="93" t="s">
        <v>226</v>
      </c>
      <c r="B105" s="42">
        <v>840000</v>
      </c>
      <c r="C105" s="42"/>
      <c r="D105" s="42">
        <v>577665</v>
      </c>
      <c r="E105" s="201">
        <f t="shared" si="9"/>
        <v>0.6876964285714285</v>
      </c>
      <c r="F105" s="42">
        <f>D105-'[3]Augusts'!D105</f>
        <v>55379</v>
      </c>
      <c r="G105" s="93" t="s">
        <v>226</v>
      </c>
      <c r="H105" s="202">
        <f>ROUND(B105/1000,0)</f>
        <v>840</v>
      </c>
      <c r="I105" s="202">
        <f>ROUND(C105/1000,0)</f>
        <v>0</v>
      </c>
      <c r="J105" s="202">
        <f>ROUND(D105/1000,0)</f>
        <v>578</v>
      </c>
      <c r="K105" s="96">
        <f t="shared" si="10"/>
        <v>0.6880952380952381</v>
      </c>
      <c r="L105" s="202">
        <f>J105-'[3]Augusts'!J105</f>
        <v>56</v>
      </c>
    </row>
    <row r="106" spans="1:12" ht="12.75">
      <c r="A106" s="93" t="s">
        <v>198</v>
      </c>
      <c r="B106" s="42"/>
      <c r="C106" s="42"/>
      <c r="D106" s="42">
        <v>2777</v>
      </c>
      <c r="E106" s="201" t="str">
        <f t="shared" si="9"/>
        <v> </v>
      </c>
      <c r="F106" s="42">
        <f>D106-'[3]Augusts'!D106</f>
        <v>-2393</v>
      </c>
      <c r="G106" s="93" t="s">
        <v>198</v>
      </c>
      <c r="H106" s="202">
        <f>ROUND(B106/1000,0)</f>
        <v>0</v>
      </c>
      <c r="I106" s="202">
        <f>ROUND(C106/1000,0)</f>
        <v>0</v>
      </c>
      <c r="J106" s="202">
        <f>ROUND(D106/1000,0)</f>
        <v>3</v>
      </c>
      <c r="K106" s="96" t="str">
        <f t="shared" si="10"/>
        <v> </v>
      </c>
      <c r="L106" s="202">
        <f>J106-'[3]Augusts'!J106</f>
        <v>-2</v>
      </c>
    </row>
    <row r="107" spans="1:12" ht="12.75">
      <c r="A107" s="93" t="s">
        <v>192</v>
      </c>
      <c r="B107" s="42">
        <f>B108+B109</f>
        <v>840000</v>
      </c>
      <c r="C107" s="42">
        <f>C108+C109</f>
        <v>770000</v>
      </c>
      <c r="D107" s="42">
        <f>D108+D109</f>
        <v>496183</v>
      </c>
      <c r="E107" s="201">
        <f t="shared" si="9"/>
        <v>0.5906940476190476</v>
      </c>
      <c r="F107" s="42">
        <f>F108+F109</f>
        <v>49107</v>
      </c>
      <c r="G107" s="93" t="s">
        <v>192</v>
      </c>
      <c r="H107" s="175">
        <f>H108+H109</f>
        <v>840</v>
      </c>
      <c r="I107" s="175">
        <f>I108+I109</f>
        <v>770</v>
      </c>
      <c r="J107" s="175">
        <f>J108+J109</f>
        <v>497</v>
      </c>
      <c r="K107" s="96">
        <f t="shared" si="10"/>
        <v>0.5916666666666667</v>
      </c>
      <c r="L107" s="175">
        <f>L108+L109</f>
        <v>50</v>
      </c>
    </row>
    <row r="108" spans="1:12" ht="12.75">
      <c r="A108" s="93" t="s">
        <v>184</v>
      </c>
      <c r="B108" s="42">
        <v>487506</v>
      </c>
      <c r="C108" s="42">
        <v>437506</v>
      </c>
      <c r="D108" s="42">
        <v>310507</v>
      </c>
      <c r="E108" s="201">
        <f t="shared" si="9"/>
        <v>0.6369295967639372</v>
      </c>
      <c r="F108" s="42">
        <f>D108-'[3]Augusts'!D108</f>
        <v>33614</v>
      </c>
      <c r="G108" s="93" t="s">
        <v>184</v>
      </c>
      <c r="H108" s="202">
        <f aca="true" t="shared" si="16" ref="H108:J109">ROUND(B108/1000,0)</f>
        <v>488</v>
      </c>
      <c r="I108" s="202">
        <f t="shared" si="16"/>
        <v>438</v>
      </c>
      <c r="J108" s="202">
        <f t="shared" si="16"/>
        <v>311</v>
      </c>
      <c r="K108" s="96">
        <f t="shared" si="10"/>
        <v>0.6372950819672131</v>
      </c>
      <c r="L108" s="202">
        <f>J108-'[3]Augusts'!J108</f>
        <v>34</v>
      </c>
    </row>
    <row r="109" spans="1:12" ht="12.75">
      <c r="A109" s="93" t="s">
        <v>185</v>
      </c>
      <c r="B109" s="42">
        <v>352494</v>
      </c>
      <c r="C109" s="42">
        <v>332494</v>
      </c>
      <c r="D109" s="42">
        <v>185676</v>
      </c>
      <c r="E109" s="201">
        <f t="shared" si="9"/>
        <v>0.5267493914790039</v>
      </c>
      <c r="F109" s="42">
        <f>D109-'[3]Augusts'!D109</f>
        <v>15493</v>
      </c>
      <c r="G109" s="93" t="s">
        <v>185</v>
      </c>
      <c r="H109" s="202">
        <f t="shared" si="16"/>
        <v>352</v>
      </c>
      <c r="I109" s="202">
        <f t="shared" si="16"/>
        <v>332</v>
      </c>
      <c r="J109" s="202">
        <f>ROUND(D109/1000,0)</f>
        <v>186</v>
      </c>
      <c r="K109" s="96">
        <f t="shared" si="10"/>
        <v>0.5284090909090909</v>
      </c>
      <c r="L109" s="202">
        <f>J109-'[3]Augusts'!J109</f>
        <v>16</v>
      </c>
    </row>
    <row r="110" spans="1:12" ht="16.5" customHeight="1">
      <c r="A110" s="204" t="s">
        <v>227</v>
      </c>
      <c r="B110" s="42"/>
      <c r="C110" s="42"/>
      <c r="D110" s="42"/>
      <c r="E110" s="201" t="str">
        <f t="shared" si="9"/>
        <v> </v>
      </c>
      <c r="F110" s="42"/>
      <c r="G110" s="204" t="s">
        <v>227</v>
      </c>
      <c r="H110" s="175"/>
      <c r="I110" s="175"/>
      <c r="J110" s="175"/>
      <c r="K110" s="96"/>
      <c r="L110" s="175"/>
    </row>
    <row r="111" spans="1:12" ht="12.75">
      <c r="A111" s="93" t="s">
        <v>191</v>
      </c>
      <c r="B111" s="42">
        <v>1881705</v>
      </c>
      <c r="C111" s="42">
        <v>1838573</v>
      </c>
      <c r="D111" s="42">
        <v>1540870</v>
      </c>
      <c r="E111" s="201">
        <f t="shared" si="9"/>
        <v>0.818869057583415</v>
      </c>
      <c r="F111" s="42">
        <f>D111-'[3]Augusts'!D111</f>
        <v>170347</v>
      </c>
      <c r="G111" s="93" t="s">
        <v>191</v>
      </c>
      <c r="H111" s="202">
        <f>ROUND(B111/1000,0)</f>
        <v>1882</v>
      </c>
      <c r="I111" s="202">
        <f>ROUND(C111/1000,0)</f>
        <v>1839</v>
      </c>
      <c r="J111" s="202">
        <f>ROUND(D111/1000,0)</f>
        <v>1541</v>
      </c>
      <c r="K111" s="96">
        <f t="shared" si="10"/>
        <v>0.8188097768331563</v>
      </c>
      <c r="L111" s="202">
        <f>J111-'[3]Augusts'!J111</f>
        <v>170</v>
      </c>
    </row>
    <row r="112" spans="1:12" ht="12.75">
      <c r="A112" s="93" t="s">
        <v>192</v>
      </c>
      <c r="B112" s="42">
        <f>B113</f>
        <v>3610882</v>
      </c>
      <c r="C112" s="42">
        <f>C113</f>
        <v>3020344</v>
      </c>
      <c r="D112" s="42">
        <f>D113</f>
        <v>2817261</v>
      </c>
      <c r="E112" s="201">
        <f t="shared" si="9"/>
        <v>0.7802140861983304</v>
      </c>
      <c r="F112" s="42">
        <f>F113</f>
        <v>550778</v>
      </c>
      <c r="G112" s="93" t="s">
        <v>192</v>
      </c>
      <c r="H112" s="175">
        <f>H113</f>
        <v>3611</v>
      </c>
      <c r="I112" s="175">
        <f>I113</f>
        <v>3020</v>
      </c>
      <c r="J112" s="175">
        <f>J113</f>
        <v>2817</v>
      </c>
      <c r="K112" s="96">
        <f t="shared" si="10"/>
        <v>0.780116311271116</v>
      </c>
      <c r="L112" s="175">
        <f>L113</f>
        <v>551</v>
      </c>
    </row>
    <row r="113" spans="1:12" ht="12.75">
      <c r="A113" s="93" t="s">
        <v>185</v>
      </c>
      <c r="B113" s="42">
        <v>3610882</v>
      </c>
      <c r="C113" s="42">
        <v>3020344</v>
      </c>
      <c r="D113" s="42">
        <v>2817261</v>
      </c>
      <c r="E113" s="201">
        <f t="shared" si="9"/>
        <v>0.7802140861983304</v>
      </c>
      <c r="F113" s="42">
        <f>D113-'[3]Augusts'!D113</f>
        <v>550778</v>
      </c>
      <c r="G113" s="93" t="s">
        <v>185</v>
      </c>
      <c r="H113" s="202">
        <f>ROUND(B113/1000,0)</f>
        <v>3611</v>
      </c>
      <c r="I113" s="202">
        <f>ROUND(C113/1000,0)</f>
        <v>3020</v>
      </c>
      <c r="J113" s="202">
        <f>ROUND(D113/1000,0)</f>
        <v>2817</v>
      </c>
      <c r="K113" s="96">
        <f t="shared" si="10"/>
        <v>0.780116311271116</v>
      </c>
      <c r="L113" s="202">
        <f>J113-'[3]Augusts'!J113</f>
        <v>551</v>
      </c>
    </row>
    <row r="114" spans="1:12" ht="15" customHeight="1">
      <c r="A114" s="54" t="s">
        <v>228</v>
      </c>
      <c r="B114" s="42"/>
      <c r="C114" s="42"/>
      <c r="D114" s="42"/>
      <c r="E114" s="201" t="str">
        <f t="shared" si="9"/>
        <v> </v>
      </c>
      <c r="F114" s="42"/>
      <c r="G114" s="54" t="s">
        <v>228</v>
      </c>
      <c r="H114" s="175"/>
      <c r="I114" s="175"/>
      <c r="J114" s="175"/>
      <c r="K114" s="96"/>
      <c r="L114" s="175"/>
    </row>
    <row r="115" spans="1:12" ht="15.75" customHeight="1">
      <c r="A115" s="204" t="s">
        <v>229</v>
      </c>
      <c r="B115" s="42"/>
      <c r="C115" s="42"/>
      <c r="D115" s="42"/>
      <c r="E115" s="201" t="str">
        <f t="shared" si="9"/>
        <v> </v>
      </c>
      <c r="F115" s="42"/>
      <c r="G115" s="204" t="s">
        <v>229</v>
      </c>
      <c r="H115" s="175"/>
      <c r="I115" s="175"/>
      <c r="J115" s="175"/>
      <c r="K115" s="96"/>
      <c r="L115" s="175"/>
    </row>
    <row r="116" spans="1:12" ht="12.75">
      <c r="A116" s="93" t="s">
        <v>191</v>
      </c>
      <c r="B116" s="42">
        <f>SUM(B117:B119)</f>
        <v>453488313</v>
      </c>
      <c r="C116" s="42">
        <f>310465799+38176546</f>
        <v>348642345</v>
      </c>
      <c r="D116" s="42">
        <f>SUM(D117:D119)</f>
        <v>337089206</v>
      </c>
      <c r="E116" s="201">
        <f t="shared" si="9"/>
        <v>0.7433250126558388</v>
      </c>
      <c r="F116" s="42">
        <f>SUM(F117:F119)</f>
        <v>40146862</v>
      </c>
      <c r="G116" s="93" t="s">
        <v>191</v>
      </c>
      <c r="H116" s="175">
        <f>SUM(H117:H119)</f>
        <v>453488</v>
      </c>
      <c r="I116" s="202">
        <f aca="true" t="shared" si="17" ref="H116:J119">ROUND(C116/1000,0)</f>
        <v>348642</v>
      </c>
      <c r="J116" s="175">
        <f>SUM(J117:J119)</f>
        <v>337089</v>
      </c>
      <c r="K116" s="96">
        <f t="shared" si="10"/>
        <v>0.7433250714462125</v>
      </c>
      <c r="L116" s="202">
        <f>SUM(L117:L119)</f>
        <v>40147</v>
      </c>
    </row>
    <row r="117" spans="1:33" s="22" customFormat="1" ht="12.75">
      <c r="A117" s="205" t="s">
        <v>230</v>
      </c>
      <c r="B117" s="45">
        <v>445475000</v>
      </c>
      <c r="C117" s="45"/>
      <c r="D117" s="45">
        <f>331522051</f>
        <v>331522051</v>
      </c>
      <c r="E117" s="201">
        <f t="shared" si="9"/>
        <v>0.7441990033110725</v>
      </c>
      <c r="F117" s="42">
        <f>D117-'[3]Augusts'!D117</f>
        <v>39619707</v>
      </c>
      <c r="G117" s="93" t="s">
        <v>230</v>
      </c>
      <c r="H117" s="202">
        <f t="shared" si="17"/>
        <v>445475</v>
      </c>
      <c r="I117" s="202">
        <f t="shared" si="17"/>
        <v>0</v>
      </c>
      <c r="J117" s="202">
        <f t="shared" si="17"/>
        <v>331522</v>
      </c>
      <c r="K117" s="96">
        <f t="shared" si="10"/>
        <v>0.7441988888265335</v>
      </c>
      <c r="L117" s="202">
        <f>J117-'[3]Augusts'!J117</f>
        <v>39620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2" customFormat="1" ht="12.75">
      <c r="A118" s="205" t="s">
        <v>231</v>
      </c>
      <c r="B118" s="45">
        <f>1890000+3597299+200000</f>
        <v>5687299</v>
      </c>
      <c r="C118" s="45"/>
      <c r="D118" s="45">
        <f>1370250+188303+2653116</f>
        <v>4211669</v>
      </c>
      <c r="E118" s="201">
        <f t="shared" si="9"/>
        <v>0.7405394019199624</v>
      </c>
      <c r="F118" s="42">
        <f>D118-'[3]Augusts'!D118</f>
        <v>480015</v>
      </c>
      <c r="G118" s="93" t="s">
        <v>231</v>
      </c>
      <c r="H118" s="202">
        <f t="shared" si="17"/>
        <v>5687</v>
      </c>
      <c r="I118" s="202">
        <f t="shared" si="17"/>
        <v>0</v>
      </c>
      <c r="J118" s="202">
        <f t="shared" si="17"/>
        <v>4212</v>
      </c>
      <c r="K118" s="96">
        <f t="shared" si="10"/>
        <v>0.7406365394759978</v>
      </c>
      <c r="L118" s="202">
        <f>J118-'[3]Augusts'!J118</f>
        <v>480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22" customFormat="1" ht="12.75">
      <c r="A119" s="205" t="s">
        <v>232</v>
      </c>
      <c r="B119" s="45">
        <v>2326014</v>
      </c>
      <c r="C119" s="45"/>
      <c r="D119" s="45">
        <v>1355486</v>
      </c>
      <c r="E119" s="201">
        <f t="shared" si="9"/>
        <v>0.5827505767377152</v>
      </c>
      <c r="F119" s="42">
        <f>D119-'[3]Augusts'!D119</f>
        <v>47140</v>
      </c>
      <c r="G119" s="93" t="s">
        <v>232</v>
      </c>
      <c r="H119" s="202">
        <f t="shared" si="17"/>
        <v>2326</v>
      </c>
      <c r="I119" s="202">
        <f t="shared" si="17"/>
        <v>0</v>
      </c>
      <c r="J119" s="202">
        <f>ROUND(D119/1000,0)</f>
        <v>1355</v>
      </c>
      <c r="K119" s="96">
        <f t="shared" si="10"/>
        <v>0.5825451418744626</v>
      </c>
      <c r="L119" s="202">
        <f>J119-'[3]Augusts'!J119</f>
        <v>47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22" customFormat="1" ht="12.75">
      <c r="A120" s="93" t="s">
        <v>192</v>
      </c>
      <c r="B120" s="42">
        <v>523210392</v>
      </c>
      <c r="C120" s="42">
        <f>SUM(C121:C122)</f>
        <v>396613668</v>
      </c>
      <c r="D120" s="42">
        <f>SUM(D121:D122)</f>
        <v>385580749</v>
      </c>
      <c r="E120" s="201">
        <f t="shared" si="9"/>
        <v>0.736951625762051</v>
      </c>
      <c r="F120" s="42">
        <f>SUM(F121:F122)</f>
        <v>45451895</v>
      </c>
      <c r="G120" s="93" t="s">
        <v>192</v>
      </c>
      <c r="H120" s="42">
        <f>SUM(H121:H122)</f>
        <v>523210</v>
      </c>
      <c r="I120" s="42">
        <f>SUM(I121:I122)</f>
        <v>396614</v>
      </c>
      <c r="J120" s="42">
        <f>SUM(J121:J122)</f>
        <v>385580</v>
      </c>
      <c r="K120" s="96">
        <f t="shared" si="10"/>
        <v>0.7369507463542363</v>
      </c>
      <c r="L120" s="175">
        <f>SUM(L121:L122)</f>
        <v>45451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12" ht="12.75">
      <c r="A121" s="93" t="s">
        <v>184</v>
      </c>
      <c r="B121" s="42">
        <v>519554392</v>
      </c>
      <c r="C121" s="42">
        <f>348837092+45333774</f>
        <v>394170866</v>
      </c>
      <c r="D121" s="42">
        <v>383910447</v>
      </c>
      <c r="E121" s="201">
        <f t="shared" si="9"/>
        <v>0.7389225322918644</v>
      </c>
      <c r="F121" s="42">
        <f>D121-'[3]Augusts'!D121</f>
        <v>45396159</v>
      </c>
      <c r="G121" s="93" t="s">
        <v>184</v>
      </c>
      <c r="H121" s="202">
        <f aca="true" t="shared" si="18" ref="H121:J124">ROUND(B121/1000,0)</f>
        <v>519554</v>
      </c>
      <c r="I121" s="202">
        <f t="shared" si="18"/>
        <v>394171</v>
      </c>
      <c r="J121" s="202">
        <f t="shared" si="18"/>
        <v>383910</v>
      </c>
      <c r="K121" s="96">
        <f t="shared" si="10"/>
        <v>0.7389222294506442</v>
      </c>
      <c r="L121" s="202">
        <f>J121-'[3]Augusts'!J121</f>
        <v>45396</v>
      </c>
    </row>
    <row r="122" spans="1:12" ht="12.75">
      <c r="A122" s="93" t="s">
        <v>185</v>
      </c>
      <c r="B122" s="42">
        <v>3656000</v>
      </c>
      <c r="C122" s="42">
        <f>1867705+575097</f>
        <v>2442802</v>
      </c>
      <c r="D122" s="42">
        <v>1670302</v>
      </c>
      <c r="E122" s="201">
        <f t="shared" si="9"/>
        <v>0.45686597374179433</v>
      </c>
      <c r="F122" s="42">
        <f>D122-'[3]Augusts'!D122</f>
        <v>55736</v>
      </c>
      <c r="G122" s="93" t="s">
        <v>185</v>
      </c>
      <c r="H122" s="202">
        <f t="shared" si="18"/>
        <v>3656</v>
      </c>
      <c r="I122" s="202">
        <f t="shared" si="18"/>
        <v>2443</v>
      </c>
      <c r="J122" s="202">
        <f t="shared" si="18"/>
        <v>1670</v>
      </c>
      <c r="K122" s="96">
        <f t="shared" si="10"/>
        <v>0.45678336980306344</v>
      </c>
      <c r="L122" s="202">
        <f>J122-'[3]Augusts'!J122</f>
        <v>55</v>
      </c>
    </row>
    <row r="123" spans="1:12" ht="12.75">
      <c r="A123" s="93" t="s">
        <v>188</v>
      </c>
      <c r="B123" s="42">
        <v>-69722079</v>
      </c>
      <c r="C123" s="42">
        <f>SUM(C116-C120)</f>
        <v>-47971323</v>
      </c>
      <c r="D123" s="42">
        <f>SUM(D116-D120)</f>
        <v>-48491543</v>
      </c>
      <c r="E123" s="201">
        <f t="shared" si="9"/>
        <v>0.6954976629426096</v>
      </c>
      <c r="F123" s="42">
        <f>SUM(F116-F120)</f>
        <v>-5305033</v>
      </c>
      <c r="G123" s="93" t="s">
        <v>188</v>
      </c>
      <c r="H123" s="202">
        <f t="shared" si="18"/>
        <v>-69722</v>
      </c>
      <c r="I123" s="202">
        <f t="shared" si="18"/>
        <v>-47971</v>
      </c>
      <c r="J123" s="202">
        <f t="shared" si="18"/>
        <v>-48492</v>
      </c>
      <c r="K123" s="96">
        <f t="shared" si="10"/>
        <v>0.6955050055936434</v>
      </c>
      <c r="L123" s="202">
        <f>J123-'[3]Augusts'!J123</f>
        <v>-5305</v>
      </c>
    </row>
    <row r="124" spans="1:12" ht="12.75">
      <c r="A124" s="93" t="s">
        <v>174</v>
      </c>
      <c r="B124" s="42">
        <v>54693986</v>
      </c>
      <c r="C124" s="42"/>
      <c r="D124" s="42">
        <f>30874880+981169</f>
        <v>31856049</v>
      </c>
      <c r="E124" s="201">
        <f t="shared" si="9"/>
        <v>0.5824415320543652</v>
      </c>
      <c r="F124" s="42">
        <f>D124-'[3]Augusts'!D124</f>
        <v>4320703</v>
      </c>
      <c r="G124" s="93" t="s">
        <v>174</v>
      </c>
      <c r="H124" s="202">
        <f t="shared" si="18"/>
        <v>54694</v>
      </c>
      <c r="I124" s="202">
        <f t="shared" si="18"/>
        <v>0</v>
      </c>
      <c r="J124" s="202">
        <f>ROUND(D124/1000,0)</f>
        <v>31856</v>
      </c>
      <c r="K124" s="96">
        <f t="shared" si="10"/>
        <v>0.5824404870735364</v>
      </c>
      <c r="L124" s="202">
        <f>J124-'[3]Augusts'!J124</f>
        <v>4321</v>
      </c>
    </row>
    <row r="125" spans="1:12" ht="12.75">
      <c r="A125" s="204" t="s">
        <v>233</v>
      </c>
      <c r="B125" s="42"/>
      <c r="C125" s="42"/>
      <c r="D125" s="42"/>
      <c r="E125" s="201" t="str">
        <f t="shared" si="9"/>
        <v> </v>
      </c>
      <c r="F125" s="42"/>
      <c r="G125" s="204" t="s">
        <v>233</v>
      </c>
      <c r="H125" s="175"/>
      <c r="I125" s="175"/>
      <c r="J125" s="175"/>
      <c r="K125" s="96"/>
      <c r="L125" s="175"/>
    </row>
    <row r="126" spans="1:12" ht="12.75">
      <c r="A126" s="93" t="s">
        <v>191</v>
      </c>
      <c r="B126" s="42">
        <f>SUM(B127:B129)</f>
        <v>359238385</v>
      </c>
      <c r="C126" s="42">
        <f>28576600+29016476+29423097+31977699+30239101+31555760+33111902+31751102+30012677</f>
        <v>275664414</v>
      </c>
      <c r="D126" s="42">
        <f>SUM(D127:D129)</f>
        <v>266775086</v>
      </c>
      <c r="E126" s="201">
        <f t="shared" si="9"/>
        <v>0.7426129755037174</v>
      </c>
      <c r="F126" s="42">
        <f>SUM(F127:F129)</f>
        <v>31846070</v>
      </c>
      <c r="G126" s="93" t="s">
        <v>191</v>
      </c>
      <c r="H126" s="175">
        <f>SUM(H127:H129)</f>
        <v>359238</v>
      </c>
      <c r="I126" s="206">
        <f aca="true" t="shared" si="19" ref="H126:J131">ROUND(C126/1000,0)</f>
        <v>275664</v>
      </c>
      <c r="J126" s="175">
        <f>SUM(J127:J129)</f>
        <v>266775</v>
      </c>
      <c r="K126" s="96">
        <f t="shared" si="10"/>
        <v>0.7426135319760159</v>
      </c>
      <c r="L126" s="202">
        <f>SUM(L127:L129)</f>
        <v>31847</v>
      </c>
    </row>
    <row r="127" spans="1:33" s="22" customFormat="1" ht="12.75">
      <c r="A127" s="205" t="s">
        <v>230</v>
      </c>
      <c r="B127" s="45">
        <v>336834000</v>
      </c>
      <c r="C127" s="45"/>
      <c r="D127" s="206">
        <v>250637215</v>
      </c>
      <c r="E127" s="201" t="str">
        <f>IF(ISERROR(#REF!/B127)," ",(#REF!/B127))</f>
        <v> </v>
      </c>
      <c r="F127" s="42">
        <f>D127-'[3]Augusts'!D127</f>
        <v>29954426</v>
      </c>
      <c r="G127" s="205" t="s">
        <v>230</v>
      </c>
      <c r="H127" s="206">
        <f t="shared" si="19"/>
        <v>336834</v>
      </c>
      <c r="I127" s="206">
        <f t="shared" si="19"/>
        <v>0</v>
      </c>
      <c r="J127" s="206">
        <f>ROUND(D127/1000,0)</f>
        <v>250637</v>
      </c>
      <c r="K127" s="172">
        <f t="shared" si="10"/>
        <v>0.7440964985719969</v>
      </c>
      <c r="L127" s="206">
        <f>J127-'[3]Augusts'!J127</f>
        <v>29955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22" customFormat="1" ht="12.75">
      <c r="A128" s="205" t="s">
        <v>231</v>
      </c>
      <c r="B128" s="45">
        <v>3224892</v>
      </c>
      <c r="C128" s="45"/>
      <c r="D128" s="206">
        <v>2336347</v>
      </c>
      <c r="E128" s="201" t="str">
        <f>IF(ISERROR(#REF!/B128)," ",(#REF!/B128))</f>
        <v> </v>
      </c>
      <c r="F128" s="42">
        <f>D128-'[3]Augusts'!D128</f>
        <v>280007</v>
      </c>
      <c r="G128" s="205" t="s">
        <v>231</v>
      </c>
      <c r="H128" s="206">
        <f t="shared" si="19"/>
        <v>3225</v>
      </c>
      <c r="I128" s="206">
        <f t="shared" si="19"/>
        <v>0</v>
      </c>
      <c r="J128" s="206">
        <f t="shared" si="19"/>
        <v>2336</v>
      </c>
      <c r="K128" s="172">
        <f t="shared" si="10"/>
        <v>0.7243410852713178</v>
      </c>
      <c r="L128" s="206">
        <f>J128-'[3]Augusts'!J128</f>
        <v>280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22" customFormat="1" ht="12.75">
      <c r="A129" s="205" t="s">
        <v>232</v>
      </c>
      <c r="B129" s="45">
        <v>19179493</v>
      </c>
      <c r="C129" s="45"/>
      <c r="D129" s="206">
        <v>13801524</v>
      </c>
      <c r="E129" s="201" t="str">
        <f>IF(ISERROR(#REF!/B129)," ",(#REF!/B129))</f>
        <v> </v>
      </c>
      <c r="F129" s="42">
        <f>D129-'[3]Augusts'!D129</f>
        <v>1611637</v>
      </c>
      <c r="G129" s="205" t="s">
        <v>232</v>
      </c>
      <c r="H129" s="206">
        <f t="shared" si="19"/>
        <v>19179</v>
      </c>
      <c r="I129" s="206">
        <f t="shared" si="19"/>
        <v>0</v>
      </c>
      <c r="J129" s="206">
        <f t="shared" si="19"/>
        <v>13802</v>
      </c>
      <c r="K129" s="172">
        <f t="shared" si="10"/>
        <v>0.7196412743104437</v>
      </c>
      <c r="L129" s="206">
        <f>J129-'[3]Augusts'!J129</f>
        <v>1612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22" customFormat="1" ht="12.75">
      <c r="A130" s="93" t="s">
        <v>192</v>
      </c>
      <c r="B130" s="45">
        <f>SUM(B131)</f>
        <v>405035050</v>
      </c>
      <c r="C130" s="45">
        <f>SUM(C131)</f>
        <v>306382372</v>
      </c>
      <c r="D130" s="45">
        <f>SUM(D131)</f>
        <v>299474156</v>
      </c>
      <c r="E130" s="201">
        <f t="shared" si="9"/>
        <v>0.7393783723161736</v>
      </c>
      <c r="F130" s="45">
        <f>SUM(F131)</f>
        <v>35777152</v>
      </c>
      <c r="G130" s="93" t="s">
        <v>192</v>
      </c>
      <c r="H130" s="175">
        <f>SUM(H131)</f>
        <v>405035</v>
      </c>
      <c r="I130" s="175">
        <f>SUM(I131)</f>
        <v>306382</v>
      </c>
      <c r="J130" s="175">
        <f>SUM(J131)</f>
        <v>299474</v>
      </c>
      <c r="K130" s="96">
        <f t="shared" si="10"/>
        <v>0.7393780784376659</v>
      </c>
      <c r="L130" s="175">
        <f>SUM(L131)</f>
        <v>35777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2" ht="12.75">
      <c r="A131" s="93" t="s">
        <v>234</v>
      </c>
      <c r="B131" s="42">
        <v>405035050</v>
      </c>
      <c r="C131" s="42">
        <f>29634910+32118610+35602310+32281900+30694982+36054614+34669982+40139682+35185382</f>
        <v>306382372</v>
      </c>
      <c r="D131" s="206">
        <v>299474156</v>
      </c>
      <c r="E131" s="201" t="str">
        <f>IF(ISERROR(#REF!/B131)," ",(#REF!/B131))</f>
        <v> </v>
      </c>
      <c r="F131" s="42">
        <f>D131-'[3]Augusts'!D131</f>
        <v>35777152</v>
      </c>
      <c r="G131" s="205" t="s">
        <v>234</v>
      </c>
      <c r="H131" s="206">
        <f>ROUND(B131/1000,0)</f>
        <v>405035</v>
      </c>
      <c r="I131" s="206">
        <f>ROUND(C131/1000,0)</f>
        <v>306382</v>
      </c>
      <c r="J131" s="206">
        <f t="shared" si="19"/>
        <v>299474</v>
      </c>
      <c r="K131" s="172">
        <f t="shared" si="10"/>
        <v>0.7393780784376659</v>
      </c>
      <c r="L131" s="206">
        <f>J131-'[3]Augusts'!J131</f>
        <v>35777</v>
      </c>
    </row>
    <row r="132" spans="1:12" ht="12.75">
      <c r="A132" s="93" t="s">
        <v>188</v>
      </c>
      <c r="B132" s="42">
        <f>SUM(B126-B130)</f>
        <v>-45796665</v>
      </c>
      <c r="C132" s="42">
        <f>SUM(C126-C130)</f>
        <v>-30717958</v>
      </c>
      <c r="D132" s="42">
        <f>SUM(D126-D130)</f>
        <v>-32699070</v>
      </c>
      <c r="E132" s="201">
        <f t="shared" si="9"/>
        <v>0.7140054848972082</v>
      </c>
      <c r="F132" s="42">
        <f>SUM(F126-F130)</f>
        <v>-3931082</v>
      </c>
      <c r="G132" s="93" t="s">
        <v>188</v>
      </c>
      <c r="H132" s="175">
        <f>SUM(H126-H130)</f>
        <v>-45797</v>
      </c>
      <c r="I132" s="175">
        <f>SUM(I126-I130)</f>
        <v>-30718</v>
      </c>
      <c r="J132" s="175">
        <f>SUM(J126-J130)</f>
        <v>-32699</v>
      </c>
      <c r="K132" s="96">
        <f t="shared" si="10"/>
        <v>0.7139987335414983</v>
      </c>
      <c r="L132" s="175">
        <f>SUM(L126-L130)</f>
        <v>-3930</v>
      </c>
    </row>
    <row r="133" spans="1:12" ht="12.75">
      <c r="A133" s="93" t="s">
        <v>174</v>
      </c>
      <c r="B133" s="42">
        <v>40394886</v>
      </c>
      <c r="C133" s="42"/>
      <c r="D133" s="42">
        <v>25166962</v>
      </c>
      <c r="E133" s="201">
        <f t="shared" si="9"/>
        <v>0.6230234688618752</v>
      </c>
      <c r="F133" s="42">
        <f>D133-'[3]Augusts'!D133</f>
        <v>3932304</v>
      </c>
      <c r="G133" s="93" t="s">
        <v>174</v>
      </c>
      <c r="H133" s="202">
        <f>ROUND(B133/1000,0)</f>
        <v>40395</v>
      </c>
      <c r="I133" s="202">
        <f>ROUND(C133/1000,0)</f>
        <v>0</v>
      </c>
      <c r="J133" s="202">
        <f>ROUND(D133/1000,0)</f>
        <v>25167</v>
      </c>
      <c r="K133" s="96">
        <f t="shared" si="10"/>
        <v>0.6230226513182324</v>
      </c>
      <c r="L133" s="202">
        <f>J133-'[3]Augusts'!J133</f>
        <v>3932</v>
      </c>
    </row>
    <row r="134" spans="1:12" ht="12.75">
      <c r="A134" s="204" t="s">
        <v>235</v>
      </c>
      <c r="B134" s="42"/>
      <c r="C134" s="42"/>
      <c r="D134" s="42"/>
      <c r="E134" s="201" t="str">
        <f t="shared" si="9"/>
        <v> </v>
      </c>
      <c r="F134" s="42"/>
      <c r="G134" s="204" t="s">
        <v>235</v>
      </c>
      <c r="H134" s="175"/>
      <c r="I134" s="175"/>
      <c r="J134" s="175"/>
      <c r="K134" s="96"/>
      <c r="L134" s="175"/>
    </row>
    <row r="135" spans="1:12" ht="12.75">
      <c r="A135" s="93" t="s">
        <v>191</v>
      </c>
      <c r="B135" s="42">
        <f>SUM(B136:B138)</f>
        <v>32506731</v>
      </c>
      <c r="C135" s="42">
        <f>2874933+2862264+2903690+1320586+2813701+2920858+3054241+2940301+3015393</f>
        <v>24705967</v>
      </c>
      <c r="D135" s="42">
        <f>SUM(D136:D138)</f>
        <v>25500981</v>
      </c>
      <c r="E135" s="201">
        <f t="shared" si="9"/>
        <v>0.7844830967469476</v>
      </c>
      <c r="F135" s="42">
        <f>SUM(F136:F138)</f>
        <v>2942618</v>
      </c>
      <c r="G135" s="93" t="s">
        <v>191</v>
      </c>
      <c r="H135" s="175">
        <f>SUM(H136:H138)</f>
        <v>32507</v>
      </c>
      <c r="I135" s="206">
        <f aca="true" t="shared" si="20" ref="H135:J138">ROUND(C135/1000,0)</f>
        <v>24706</v>
      </c>
      <c r="J135" s="175">
        <f>SUM(J136:J138)</f>
        <v>25501</v>
      </c>
      <c r="K135" s="96">
        <f t="shared" si="10"/>
        <v>0.7844771895284093</v>
      </c>
      <c r="L135" s="202">
        <f>SUM(L136:L138)</f>
        <v>2944</v>
      </c>
    </row>
    <row r="136" spans="1:33" s="22" customFormat="1" ht="12.75">
      <c r="A136" s="205" t="s">
        <v>230</v>
      </c>
      <c r="B136" s="45">
        <v>28184325</v>
      </c>
      <c r="C136" s="45"/>
      <c r="D136" s="45">
        <v>22381273</v>
      </c>
      <c r="E136" s="201">
        <f t="shared" si="9"/>
        <v>0.79410356643276</v>
      </c>
      <c r="F136" s="42">
        <f>D136-'[3]Augusts'!D136</f>
        <v>2507427</v>
      </c>
      <c r="G136" s="205" t="s">
        <v>230</v>
      </c>
      <c r="H136" s="206">
        <f t="shared" si="20"/>
        <v>28184</v>
      </c>
      <c r="I136" s="206">
        <f t="shared" si="20"/>
        <v>0</v>
      </c>
      <c r="J136" s="206">
        <f t="shared" si="20"/>
        <v>22381</v>
      </c>
      <c r="K136" s="172">
        <f t="shared" si="10"/>
        <v>0.794103037184218</v>
      </c>
      <c r="L136" s="206">
        <f>J136-'[3]Augusts'!J136</f>
        <v>2507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22" customFormat="1" ht="12.75">
      <c r="A137" s="205" t="s">
        <v>231</v>
      </c>
      <c r="B137" s="45">
        <v>372407</v>
      </c>
      <c r="C137" s="45"/>
      <c r="D137" s="45">
        <v>316769</v>
      </c>
      <c r="E137" s="201">
        <f t="shared" si="9"/>
        <v>0.8505989414806918</v>
      </c>
      <c r="F137" s="42">
        <f>D137-'[3]Augusts'!D137</f>
        <v>34721</v>
      </c>
      <c r="G137" s="205" t="s">
        <v>231</v>
      </c>
      <c r="H137" s="206">
        <f>ROUND(B137/1000,0)+1</f>
        <v>373</v>
      </c>
      <c r="I137" s="206">
        <f t="shared" si="20"/>
        <v>0</v>
      </c>
      <c r="J137" s="206">
        <f>ROUND(D137/1000,0)</f>
        <v>317</v>
      </c>
      <c r="K137" s="172">
        <f t="shared" si="10"/>
        <v>0.8498659517426274</v>
      </c>
      <c r="L137" s="206">
        <f>J137-'[3]Augusts'!J137</f>
        <v>36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22" customFormat="1" ht="12.75">
      <c r="A138" s="205" t="s">
        <v>232</v>
      </c>
      <c r="B138" s="45">
        <v>3949999</v>
      </c>
      <c r="C138" s="45"/>
      <c r="D138" s="45">
        <v>2802939</v>
      </c>
      <c r="E138" s="201">
        <f aca="true" t="shared" si="21" ref="E138:E201">IF(ISERROR(D138/B138)," ",(D138/B138))</f>
        <v>0.7096049897734151</v>
      </c>
      <c r="F138" s="42">
        <f>D138-'[3]Augusts'!D138</f>
        <v>400470</v>
      </c>
      <c r="G138" s="205" t="s">
        <v>232</v>
      </c>
      <c r="H138" s="206">
        <f>ROUND(B138/1000,0)</f>
        <v>3950</v>
      </c>
      <c r="I138" s="206">
        <f t="shared" si="20"/>
        <v>0</v>
      </c>
      <c r="J138" s="206">
        <f t="shared" si="20"/>
        <v>2803</v>
      </c>
      <c r="K138" s="172">
        <f aca="true" t="shared" si="22" ref="K138:K201">IF(ISERROR(ROUND(J138,0)/ROUND(H138,0))," ",(ROUND(J138,)/ROUND(H138,)))</f>
        <v>0.709620253164557</v>
      </c>
      <c r="L138" s="206">
        <f>J138-'[3]Augusts'!J138</f>
        <v>401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22" customFormat="1" ht="12.75">
      <c r="A139" s="93" t="s">
        <v>192</v>
      </c>
      <c r="B139" s="45">
        <f>SUM(B140:B141)</f>
        <v>43019897</v>
      </c>
      <c r="C139" s="45">
        <f>SUM(C140:C141)</f>
        <v>34130623</v>
      </c>
      <c r="D139" s="45">
        <f>SUM(D140:D141)</f>
        <v>33912164</v>
      </c>
      <c r="E139" s="201">
        <f t="shared" si="21"/>
        <v>0.7882902183610528</v>
      </c>
      <c r="F139" s="45">
        <f>SUM(F140:F141)</f>
        <v>3926259</v>
      </c>
      <c r="G139" s="93" t="s">
        <v>192</v>
      </c>
      <c r="H139" s="175">
        <f>SUM(H140:H141)</f>
        <v>43020</v>
      </c>
      <c r="I139" s="175">
        <f>SUM(I140:I141)</f>
        <v>34131</v>
      </c>
      <c r="J139" s="175">
        <f>SUM(J140:J141)</f>
        <v>33912</v>
      </c>
      <c r="K139" s="96">
        <f t="shared" si="22"/>
        <v>0.7882845188284519</v>
      </c>
      <c r="L139" s="175">
        <f>SUM(L140:L141)</f>
        <v>3926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22" customFormat="1" ht="12.75">
      <c r="A140" s="205" t="s">
        <v>234</v>
      </c>
      <c r="B140" s="45">
        <v>43004897</v>
      </c>
      <c r="C140" s="45">
        <f>2831969+4032909+3877164+6234911+3314456+3312456+3344456+3318246+3849056</f>
        <v>34115623</v>
      </c>
      <c r="D140" s="45">
        <v>33897164</v>
      </c>
      <c r="E140" s="211">
        <f t="shared" si="21"/>
        <v>0.7882163745212551</v>
      </c>
      <c r="F140" s="42">
        <f>D140-'[3]Augusts'!D140</f>
        <v>3926259</v>
      </c>
      <c r="G140" s="205" t="s">
        <v>234</v>
      </c>
      <c r="H140" s="206">
        <f aca="true" t="shared" si="23" ref="H140:J141">ROUND(B140/1000,0)</f>
        <v>43005</v>
      </c>
      <c r="I140" s="206">
        <f t="shared" si="23"/>
        <v>34116</v>
      </c>
      <c r="J140" s="206">
        <f t="shared" si="23"/>
        <v>33897</v>
      </c>
      <c r="K140" s="172">
        <f t="shared" si="22"/>
        <v>0.7882106731775375</v>
      </c>
      <c r="L140" s="206">
        <f>J140-'[3]Augusts'!J140</f>
        <v>3926</v>
      </c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</row>
    <row r="141" spans="1:33" s="22" customFormat="1" ht="12.75">
      <c r="A141" s="205" t="s">
        <v>236</v>
      </c>
      <c r="B141" s="45">
        <v>15000</v>
      </c>
      <c r="C141" s="45">
        <f>5000+10000</f>
        <v>15000</v>
      </c>
      <c r="D141" s="45">
        <v>15000</v>
      </c>
      <c r="E141" s="211">
        <f t="shared" si="21"/>
        <v>1</v>
      </c>
      <c r="F141" s="42">
        <f>D141-'[3]Augusts'!D141</f>
        <v>0</v>
      </c>
      <c r="G141" s="205" t="s">
        <v>236</v>
      </c>
      <c r="H141" s="206">
        <f t="shared" si="23"/>
        <v>15</v>
      </c>
      <c r="I141" s="206">
        <f t="shared" si="23"/>
        <v>15</v>
      </c>
      <c r="J141" s="206">
        <f t="shared" si="23"/>
        <v>15</v>
      </c>
      <c r="K141" s="172">
        <f t="shared" si="22"/>
        <v>1</v>
      </c>
      <c r="L141" s="206">
        <f>J141-'[3]Augusts'!J141</f>
        <v>0</v>
      </c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</row>
    <row r="142" spans="1:12" ht="12.75">
      <c r="A142" s="93" t="s">
        <v>188</v>
      </c>
      <c r="B142" s="42">
        <f>SUM(B135-B139)</f>
        <v>-10513166</v>
      </c>
      <c r="C142" s="42">
        <f>SUM(C135-C139)</f>
        <v>-9424656</v>
      </c>
      <c r="D142" s="42">
        <f>SUM(D135-D139)</f>
        <v>-8411183</v>
      </c>
      <c r="E142" s="201">
        <f t="shared" si="21"/>
        <v>0.8000618462602036</v>
      </c>
      <c r="F142" s="42">
        <f>SUM(F135-F139)</f>
        <v>-983641</v>
      </c>
      <c r="G142" s="93" t="s">
        <v>188</v>
      </c>
      <c r="H142" s="175">
        <f>SUM(H135-H139)</f>
        <v>-10513</v>
      </c>
      <c r="I142" s="175">
        <f>SUM(I135-I139)</f>
        <v>-9425</v>
      </c>
      <c r="J142" s="175">
        <f>SUM(J135-J139)</f>
        <v>-8411</v>
      </c>
      <c r="K142" s="96">
        <f t="shared" si="22"/>
        <v>0.8000570721963284</v>
      </c>
      <c r="L142" s="175">
        <f>SUM(L135-L139)</f>
        <v>-982</v>
      </c>
    </row>
    <row r="143" spans="1:12" ht="12.75">
      <c r="A143" s="93" t="s">
        <v>174</v>
      </c>
      <c r="B143" s="213">
        <v>1262595</v>
      </c>
      <c r="C143" s="213"/>
      <c r="D143" s="213"/>
      <c r="E143" s="201">
        <f t="shared" si="21"/>
        <v>0</v>
      </c>
      <c r="F143" s="42">
        <f>D143-'[3]Augusts'!D143</f>
        <v>0</v>
      </c>
      <c r="G143" s="93" t="s">
        <v>174</v>
      </c>
      <c r="H143" s="202">
        <f>ROUND(B143/1000,0)</f>
        <v>1263</v>
      </c>
      <c r="I143" s="202">
        <f>ROUND(C143/1000,0)</f>
        <v>0</v>
      </c>
      <c r="J143" s="202">
        <f>ROUND(D143/1000,0)</f>
        <v>0</v>
      </c>
      <c r="K143" s="96"/>
      <c r="L143" s="202">
        <f>J143-'[3]Augusts'!J143</f>
        <v>0</v>
      </c>
    </row>
    <row r="144" spans="1:12" ht="12.75">
      <c r="A144" s="204" t="s">
        <v>237</v>
      </c>
      <c r="B144" s="42"/>
      <c r="C144" s="42"/>
      <c r="D144" s="42"/>
      <c r="E144" s="201" t="str">
        <f t="shared" si="21"/>
        <v> </v>
      </c>
      <c r="F144" s="42"/>
      <c r="G144" s="204" t="s">
        <v>237</v>
      </c>
      <c r="H144" s="175"/>
      <c r="I144" s="175"/>
      <c r="J144" s="175"/>
      <c r="K144" s="96" t="str">
        <f t="shared" si="22"/>
        <v> </v>
      </c>
      <c r="L144" s="175"/>
    </row>
    <row r="145" spans="1:12" ht="12.75">
      <c r="A145" s="93" t="s">
        <v>191</v>
      </c>
      <c r="B145" s="42">
        <f>SUM(B146:B148)</f>
        <v>1071605</v>
      </c>
      <c r="C145" s="42">
        <f>92080+93535+94879+67436+89805+93767+98545+94405+99832</f>
        <v>824284</v>
      </c>
      <c r="D145" s="42">
        <f>SUM(D146:D148)</f>
        <v>795377</v>
      </c>
      <c r="E145" s="201">
        <f t="shared" si="21"/>
        <v>0.7422296461849283</v>
      </c>
      <c r="F145" s="42">
        <f>SUM(F146:F148)</f>
        <v>89271</v>
      </c>
      <c r="G145" s="93" t="s">
        <v>191</v>
      </c>
      <c r="H145" s="175">
        <f>SUM(H146:H148)</f>
        <v>1072</v>
      </c>
      <c r="I145" s="206">
        <f>ROUND(C145/1000,0)</f>
        <v>824</v>
      </c>
      <c r="J145" s="175">
        <f>SUM(J146:J148)</f>
        <v>796</v>
      </c>
      <c r="K145" s="96">
        <f t="shared" si="22"/>
        <v>0.7425373134328358</v>
      </c>
      <c r="L145" s="175">
        <f>SUM(L146:L148)</f>
        <v>90</v>
      </c>
    </row>
    <row r="146" spans="1:33" s="22" customFormat="1" ht="12.75">
      <c r="A146" s="205" t="s">
        <v>230</v>
      </c>
      <c r="B146" s="45">
        <v>1024075</v>
      </c>
      <c r="C146" s="45"/>
      <c r="D146" s="45">
        <v>782684</v>
      </c>
      <c r="E146" s="201">
        <f t="shared" si="21"/>
        <v>0.7642838659277885</v>
      </c>
      <c r="F146" s="42">
        <f>D146-'[3]Augusts'!D146</f>
        <v>91107</v>
      </c>
      <c r="G146" s="205" t="s">
        <v>230</v>
      </c>
      <c r="H146" s="206">
        <f>ROUND(B146/1000,0)</f>
        <v>1024</v>
      </c>
      <c r="I146" s="206">
        <f>ROUND(C146/1000,0)</f>
        <v>0</v>
      </c>
      <c r="J146" s="206">
        <f>ROUND(D146/1000,0)</f>
        <v>783</v>
      </c>
      <c r="K146" s="172">
        <f t="shared" si="22"/>
        <v>0.7646484375</v>
      </c>
      <c r="L146" s="206">
        <f>J146-'[3]Augusts'!J146</f>
        <v>91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22" customFormat="1" ht="13.5" customHeight="1" hidden="1">
      <c r="A147" s="205"/>
      <c r="B147" s="45"/>
      <c r="C147" s="45"/>
      <c r="D147" s="45"/>
      <c r="E147" s="201" t="str">
        <f t="shared" si="21"/>
        <v> </v>
      </c>
      <c r="F147" s="45"/>
      <c r="G147" s="205"/>
      <c r="H147" s="214"/>
      <c r="I147" s="214"/>
      <c r="J147" s="214"/>
      <c r="K147" s="172" t="str">
        <f t="shared" si="22"/>
        <v> </v>
      </c>
      <c r="L147" s="214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22" customFormat="1" ht="12.75">
      <c r="A148" s="205" t="s">
        <v>232</v>
      </c>
      <c r="B148" s="45">
        <v>47530</v>
      </c>
      <c r="C148" s="45"/>
      <c r="D148" s="45">
        <v>12693</v>
      </c>
      <c r="E148" s="201">
        <f t="shared" si="21"/>
        <v>0.26705238796549546</v>
      </c>
      <c r="F148" s="42">
        <f>D148-'[3]Augusts'!D148</f>
        <v>-1836</v>
      </c>
      <c r="G148" s="205" t="s">
        <v>232</v>
      </c>
      <c r="H148" s="206">
        <f>ROUND(B148/1000,0)</f>
        <v>48</v>
      </c>
      <c r="I148" s="206">
        <f>ROUND(C148/1000,0)</f>
        <v>0</v>
      </c>
      <c r="J148" s="206">
        <f>ROUND(D148/1000,0)</f>
        <v>13</v>
      </c>
      <c r="K148" s="172">
        <f t="shared" si="22"/>
        <v>0.2708333333333333</v>
      </c>
      <c r="L148" s="202">
        <f>J148-'[3]Augusts'!J148</f>
        <v>-1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22" customFormat="1" ht="12.75">
      <c r="A149" s="93" t="s">
        <v>192</v>
      </c>
      <c r="B149" s="45">
        <f>SUM(B150:B151)</f>
        <v>1184169</v>
      </c>
      <c r="C149" s="45">
        <f>SUM(C150:C151)</f>
        <v>619935</v>
      </c>
      <c r="D149" s="45">
        <f>SUM(D150:D151)</f>
        <v>435264</v>
      </c>
      <c r="E149" s="201">
        <f t="shared" si="21"/>
        <v>0.3675691560917403</v>
      </c>
      <c r="F149" s="45">
        <f>SUM(F150:F151)</f>
        <v>52262</v>
      </c>
      <c r="G149" s="93" t="s">
        <v>192</v>
      </c>
      <c r="H149" s="175">
        <f>SUM(H150:H151)</f>
        <v>1184</v>
      </c>
      <c r="I149" s="175">
        <f>SUM(I150:I151)</f>
        <v>620</v>
      </c>
      <c r="J149" s="175">
        <f>SUM(J150:J151)</f>
        <v>435</v>
      </c>
      <c r="K149" s="96">
        <f t="shared" si="22"/>
        <v>0.36739864864864863</v>
      </c>
      <c r="L149" s="175">
        <f>SUM(L150:L151)</f>
        <v>52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12" ht="12.75">
      <c r="A150" s="93" t="s">
        <v>234</v>
      </c>
      <c r="B150" s="42">
        <v>1184169</v>
      </c>
      <c r="C150" s="42">
        <f>45717+45717+45717+58947+63488+70488+73888+74487+141486</f>
        <v>619935</v>
      </c>
      <c r="D150" s="42">
        <v>435264</v>
      </c>
      <c r="E150" s="201">
        <f t="shared" si="21"/>
        <v>0.3675691560917403</v>
      </c>
      <c r="F150" s="42">
        <f>D150-'[3]Augusts'!D150</f>
        <v>52262</v>
      </c>
      <c r="G150" s="205" t="s">
        <v>234</v>
      </c>
      <c r="H150" s="206">
        <f>ROUND(B150/1000,0)</f>
        <v>1184</v>
      </c>
      <c r="I150" s="206">
        <f>ROUND(C150/1000,0)</f>
        <v>620</v>
      </c>
      <c r="J150" s="206">
        <f>ROUND(D150/1000,0)</f>
        <v>435</v>
      </c>
      <c r="K150" s="172">
        <f t="shared" si="22"/>
        <v>0.36739864864864863</v>
      </c>
      <c r="L150" s="206">
        <f>J150-'[3]Augusts'!J150</f>
        <v>52</v>
      </c>
    </row>
    <row r="151" spans="1:12" ht="12.75" hidden="1">
      <c r="A151" s="93"/>
      <c r="B151" s="42"/>
      <c r="C151" s="42"/>
      <c r="D151" s="42"/>
      <c r="E151" s="201" t="str">
        <f t="shared" si="21"/>
        <v> </v>
      </c>
      <c r="F151" s="42"/>
      <c r="G151" s="93"/>
      <c r="H151" s="175"/>
      <c r="I151" s="175"/>
      <c r="J151" s="175"/>
      <c r="K151" s="96" t="str">
        <f t="shared" si="22"/>
        <v> </v>
      </c>
      <c r="L151" s="175"/>
    </row>
    <row r="152" spans="1:12" ht="12.75">
      <c r="A152" s="93" t="s">
        <v>188</v>
      </c>
      <c r="B152" s="42">
        <f>SUM(B145-B149)</f>
        <v>-112564</v>
      </c>
      <c r="C152" s="42">
        <f>SUM(C145-C149)</f>
        <v>204349</v>
      </c>
      <c r="D152" s="42">
        <f>SUM(D145-D149)</f>
        <v>360113</v>
      </c>
      <c r="E152" s="201">
        <f t="shared" si="21"/>
        <v>-3.199184463949398</v>
      </c>
      <c r="F152" s="42">
        <f>SUM(F145-F149)</f>
        <v>37009</v>
      </c>
      <c r="G152" s="93" t="s">
        <v>188</v>
      </c>
      <c r="H152" s="175">
        <f>SUM(H145-H149)</f>
        <v>-112</v>
      </c>
      <c r="I152" s="175">
        <f>SUM(I145-I149)</f>
        <v>204</v>
      </c>
      <c r="J152" s="175">
        <f>SUM(J145-J149)</f>
        <v>361</v>
      </c>
      <c r="K152" s="96">
        <f t="shared" si="22"/>
        <v>-3.2232142857142856</v>
      </c>
      <c r="L152" s="175">
        <f>SUM(L145-L149)</f>
        <v>38</v>
      </c>
    </row>
    <row r="153" spans="1:12" ht="12.75">
      <c r="A153" s="93" t="s">
        <v>174</v>
      </c>
      <c r="B153" s="213">
        <v>47445</v>
      </c>
      <c r="C153" s="213"/>
      <c r="D153" s="213"/>
      <c r="E153" s="201">
        <f t="shared" si="21"/>
        <v>0</v>
      </c>
      <c r="F153" s="42">
        <f>D153-'[3]Augusts'!D153</f>
        <v>0</v>
      </c>
      <c r="G153" s="93" t="s">
        <v>174</v>
      </c>
      <c r="H153" s="202">
        <f>ROUND(B153/1000,0)</f>
        <v>47</v>
      </c>
      <c r="I153" s="202">
        <f>ROUND(C153/1000,0)</f>
        <v>0</v>
      </c>
      <c r="J153" s="202">
        <f>ROUND(D153/1000,0)</f>
        <v>0</v>
      </c>
      <c r="K153" s="96">
        <f t="shared" si="22"/>
        <v>0</v>
      </c>
      <c r="L153" s="202">
        <f>J153-'[3]Augusts'!J153</f>
        <v>0</v>
      </c>
    </row>
    <row r="154" spans="1:12" ht="28.5" customHeight="1">
      <c r="A154" s="207" t="s">
        <v>238</v>
      </c>
      <c r="B154" s="42"/>
      <c r="C154" s="42"/>
      <c r="D154" s="42"/>
      <c r="E154" s="201" t="str">
        <f t="shared" si="21"/>
        <v> </v>
      </c>
      <c r="F154" s="42"/>
      <c r="G154" s="207" t="s">
        <v>238</v>
      </c>
      <c r="H154" s="175"/>
      <c r="I154" s="175"/>
      <c r="J154" s="175"/>
      <c r="K154" s="96"/>
      <c r="L154" s="175"/>
    </row>
    <row r="155" spans="1:12" ht="12.75">
      <c r="A155" s="93" t="s">
        <v>191</v>
      </c>
      <c r="B155" s="42">
        <f>SUM(B156:B158)</f>
        <v>83134340</v>
      </c>
      <c r="C155" s="42">
        <f>5919030+6014886+6103495+9437657+6789327+7403102+7767247+7646127+7331269</f>
        <v>64412140</v>
      </c>
      <c r="D155" s="42">
        <f>SUM(D156:D158)</f>
        <v>60399858</v>
      </c>
      <c r="E155" s="201">
        <f t="shared" si="21"/>
        <v>0.7265331991569308</v>
      </c>
      <c r="F155" s="42">
        <f>SUM(F156:F158)</f>
        <v>7467112</v>
      </c>
      <c r="G155" s="93" t="s">
        <v>191</v>
      </c>
      <c r="H155" s="175">
        <f>SUM(H156:H158)</f>
        <v>83135</v>
      </c>
      <c r="I155" s="202">
        <f>ROUND(C155/1000,0)</f>
        <v>64412</v>
      </c>
      <c r="J155" s="175">
        <f>SUM(J156:J158)</f>
        <v>60400</v>
      </c>
      <c r="K155" s="96">
        <f t="shared" si="22"/>
        <v>0.726529139351657</v>
      </c>
      <c r="L155" s="175">
        <f>SUM(L156:L158)</f>
        <v>7467</v>
      </c>
    </row>
    <row r="156" spans="1:33" s="22" customFormat="1" ht="12" customHeight="1">
      <c r="A156" s="205" t="s">
        <v>230</v>
      </c>
      <c r="B156" s="45">
        <v>79432600</v>
      </c>
      <c r="C156" s="45"/>
      <c r="D156" s="45">
        <v>57720879</v>
      </c>
      <c r="E156" s="201">
        <f t="shared" si="21"/>
        <v>0.7266648580054034</v>
      </c>
      <c r="F156" s="42">
        <f>D156-'[3]Augusts'!D156</f>
        <v>7066747</v>
      </c>
      <c r="G156" s="205" t="s">
        <v>230</v>
      </c>
      <c r="H156" s="206">
        <f>ROUND(B156/1000,0)</f>
        <v>79433</v>
      </c>
      <c r="I156" s="206">
        <f>ROUND(C156/1000,0)</f>
        <v>0</v>
      </c>
      <c r="J156" s="206">
        <f>ROUND(D156/1000,0)</f>
        <v>57721</v>
      </c>
      <c r="K156" s="172">
        <f t="shared" si="22"/>
        <v>0.7266627220424761</v>
      </c>
      <c r="L156" s="206">
        <f>J156-'[3]Augusts'!J156</f>
        <v>7067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22" customFormat="1" ht="12.75" hidden="1">
      <c r="A157" s="205"/>
      <c r="B157" s="45"/>
      <c r="C157" s="45"/>
      <c r="D157" s="45"/>
      <c r="E157" s="201" t="str">
        <f t="shared" si="21"/>
        <v> </v>
      </c>
      <c r="F157" s="45"/>
      <c r="G157" s="205"/>
      <c r="H157" s="214"/>
      <c r="I157" s="214"/>
      <c r="J157" s="214"/>
      <c r="K157" s="172" t="str">
        <f t="shared" si="22"/>
        <v> </v>
      </c>
      <c r="L157" s="214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22" customFormat="1" ht="12.75">
      <c r="A158" s="205" t="s">
        <v>232</v>
      </c>
      <c r="B158" s="45">
        <v>3701740</v>
      </c>
      <c r="C158" s="45"/>
      <c r="D158" s="45">
        <v>2678979</v>
      </c>
      <c r="E158" s="201">
        <f t="shared" si="21"/>
        <v>0.7237080400028095</v>
      </c>
      <c r="F158" s="42">
        <f>D158-'[3]Augusts'!D158</f>
        <v>400365</v>
      </c>
      <c r="G158" s="205" t="s">
        <v>232</v>
      </c>
      <c r="H158" s="206">
        <f>ROUND(B158/1000,0)</f>
        <v>3702</v>
      </c>
      <c r="I158" s="206">
        <f>ROUND(C158/1000,0)</f>
        <v>0</v>
      </c>
      <c r="J158" s="206">
        <f>ROUND(D158/1000,0)</f>
        <v>2679</v>
      </c>
      <c r="K158" s="172">
        <f t="shared" si="22"/>
        <v>0.7236628849270664</v>
      </c>
      <c r="L158" s="206">
        <f>J158-'[3]Augusts'!J158</f>
        <v>400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22" customFormat="1" ht="12.75">
      <c r="A159" s="93" t="s">
        <v>192</v>
      </c>
      <c r="B159" s="45">
        <f>B160</f>
        <v>92906905</v>
      </c>
      <c r="C159" s="45">
        <f>C160</f>
        <v>70087669</v>
      </c>
      <c r="D159" s="45">
        <f>D160</f>
        <v>67263239</v>
      </c>
      <c r="E159" s="201">
        <f t="shared" si="21"/>
        <v>0.723985359322862</v>
      </c>
      <c r="F159" s="45">
        <f>F160</f>
        <v>7779906</v>
      </c>
      <c r="G159" s="93" t="s">
        <v>192</v>
      </c>
      <c r="H159" s="175">
        <f>H160</f>
        <v>92907</v>
      </c>
      <c r="I159" s="175">
        <f>I160</f>
        <v>70088</v>
      </c>
      <c r="J159" s="175">
        <f>J160</f>
        <v>67263</v>
      </c>
      <c r="K159" s="96">
        <f t="shared" si="22"/>
        <v>0.7239820465626917</v>
      </c>
      <c r="L159" s="175">
        <f>L160</f>
        <v>7780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12" ht="12.75">
      <c r="A160" s="93" t="s">
        <v>234</v>
      </c>
      <c r="B160" s="42">
        <v>92906905</v>
      </c>
      <c r="C160" s="42">
        <f>7238745+7440262+7959262+7641994+7816481+8326481+7516481+7821481+8326482</f>
        <v>70087669</v>
      </c>
      <c r="D160" s="42">
        <v>67263239</v>
      </c>
      <c r="E160" s="201">
        <f t="shared" si="21"/>
        <v>0.723985359322862</v>
      </c>
      <c r="F160" s="42">
        <f>D160-'[3]Augusts'!D160</f>
        <v>7779906</v>
      </c>
      <c r="G160" s="205" t="s">
        <v>234</v>
      </c>
      <c r="H160" s="206">
        <f>ROUND(B160/1000,0)</f>
        <v>92907</v>
      </c>
      <c r="I160" s="206">
        <f>ROUND(C160/1000,0)</f>
        <v>70088</v>
      </c>
      <c r="J160" s="206">
        <f>ROUND(D160/1000,0)</f>
        <v>67263</v>
      </c>
      <c r="K160" s="172">
        <f t="shared" si="22"/>
        <v>0.7239820465626917</v>
      </c>
      <c r="L160" s="206">
        <f>J160-'[3]Augusts'!J160</f>
        <v>7780</v>
      </c>
    </row>
    <row r="161" spans="1:12" ht="12.75">
      <c r="A161" s="93" t="s">
        <v>188</v>
      </c>
      <c r="B161" s="42">
        <f>SUM(B155-B159)</f>
        <v>-9772565</v>
      </c>
      <c r="C161" s="42">
        <f>SUM(C155-C159)</f>
        <v>-5675529</v>
      </c>
      <c r="D161" s="42">
        <f>SUM(D155-D159)</f>
        <v>-6863381</v>
      </c>
      <c r="E161" s="201">
        <f t="shared" si="21"/>
        <v>0.7023111127938264</v>
      </c>
      <c r="F161" s="42">
        <f>SUM(F155-F159)</f>
        <v>-312794</v>
      </c>
      <c r="G161" s="93" t="s">
        <v>188</v>
      </c>
      <c r="H161" s="175">
        <f>SUM(H155-H159)</f>
        <v>-9772</v>
      </c>
      <c r="I161" s="175">
        <f>SUM(I155-I159)</f>
        <v>-5676</v>
      </c>
      <c r="J161" s="175">
        <f>SUM(J155-J159)</f>
        <v>-6863</v>
      </c>
      <c r="K161" s="96">
        <f t="shared" si="22"/>
        <v>0.702312730249693</v>
      </c>
      <c r="L161" s="175">
        <f>SUM(L155-L159)</f>
        <v>-313</v>
      </c>
    </row>
    <row r="162" spans="1:12" ht="12.75">
      <c r="A162" s="93" t="s">
        <v>174</v>
      </c>
      <c r="B162" s="42">
        <v>9548060</v>
      </c>
      <c r="C162" s="42"/>
      <c r="D162" s="42">
        <v>5707918</v>
      </c>
      <c r="E162" s="201">
        <f t="shared" si="21"/>
        <v>0.5978091884634156</v>
      </c>
      <c r="F162" s="42">
        <f>D162-'[3]Augusts'!D162</f>
        <v>312180</v>
      </c>
      <c r="G162" s="93" t="s">
        <v>174</v>
      </c>
      <c r="H162" s="202">
        <f>ROUND(B162/1000,0)</f>
        <v>9548</v>
      </c>
      <c r="I162" s="202">
        <f>ROUND(C162/1000,0)</f>
        <v>0</v>
      </c>
      <c r="J162" s="202">
        <f>ROUND(D162/1000,0)</f>
        <v>5708</v>
      </c>
      <c r="K162" s="96">
        <f t="shared" si="22"/>
        <v>0.5978215333054042</v>
      </c>
      <c r="L162" s="202">
        <f>J162-'[3]Augusts'!J162</f>
        <v>312</v>
      </c>
    </row>
    <row r="163" spans="1:12" ht="12.75">
      <c r="A163" s="204" t="s">
        <v>239</v>
      </c>
      <c r="B163" s="42"/>
      <c r="C163" s="42"/>
      <c r="D163" s="42"/>
      <c r="E163" s="201" t="str">
        <f t="shared" si="21"/>
        <v> </v>
      </c>
      <c r="F163" s="42"/>
      <c r="G163" s="204" t="s">
        <v>239</v>
      </c>
      <c r="H163" s="175"/>
      <c r="I163" s="175"/>
      <c r="J163" s="175"/>
      <c r="K163" s="96"/>
      <c r="L163" s="175"/>
    </row>
    <row r="164" spans="1:12" ht="12.75">
      <c r="A164" s="93" t="s">
        <v>191</v>
      </c>
      <c r="B164" s="42">
        <f>SUM(B165:B166)</f>
        <v>9906668</v>
      </c>
      <c r="C164" s="42">
        <f>4413437+913502+913502+913501+688284</f>
        <v>7842226</v>
      </c>
      <c r="D164" s="42">
        <f>SUM(D165:D166)</f>
        <v>7806226</v>
      </c>
      <c r="E164" s="201">
        <f t="shared" si="21"/>
        <v>0.787976946436481</v>
      </c>
      <c r="F164" s="42">
        <f>SUM(F165:F166)</f>
        <v>678663</v>
      </c>
      <c r="G164" s="93" t="s">
        <v>191</v>
      </c>
      <c r="H164" s="175">
        <f>SUM(H165:H166)</f>
        <v>9907</v>
      </c>
      <c r="I164" s="202">
        <f aca="true" t="shared" si="24" ref="H164:J166">ROUND(C164/1000,0)</f>
        <v>7842</v>
      </c>
      <c r="J164" s="175">
        <f>SUM(J165:J166)</f>
        <v>7807</v>
      </c>
      <c r="K164" s="96">
        <f t="shared" si="22"/>
        <v>0.7880286665993742</v>
      </c>
      <c r="L164" s="202">
        <f>SUM(L165:L166)</f>
        <v>680</v>
      </c>
    </row>
    <row r="165" spans="1:33" s="22" customFormat="1" ht="12.75">
      <c r="A165" s="205" t="s">
        <v>231</v>
      </c>
      <c r="B165" s="45">
        <f>200000+1890000</f>
        <v>2090000</v>
      </c>
      <c r="C165" s="45"/>
      <c r="D165" s="45">
        <f>188303+1370250</f>
        <v>1558553</v>
      </c>
      <c r="E165" s="201">
        <f t="shared" si="21"/>
        <v>0.7457191387559808</v>
      </c>
      <c r="F165" s="42">
        <f>D165-'[3]Augusts'!D165</f>
        <v>165287</v>
      </c>
      <c r="G165" s="205" t="s">
        <v>231</v>
      </c>
      <c r="H165" s="206">
        <f t="shared" si="24"/>
        <v>2090</v>
      </c>
      <c r="I165" s="206">
        <f t="shared" si="24"/>
        <v>0</v>
      </c>
      <c r="J165" s="206">
        <f t="shared" si="24"/>
        <v>1559</v>
      </c>
      <c r="K165" s="172">
        <f t="shared" si="22"/>
        <v>0.745933014354067</v>
      </c>
      <c r="L165" s="206">
        <f>J165-'[3]Augusts'!J165</f>
        <v>166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22" customFormat="1" ht="12.75">
      <c r="A166" s="205" t="s">
        <v>232</v>
      </c>
      <c r="B166" s="45">
        <v>7816668</v>
      </c>
      <c r="C166" s="45"/>
      <c r="D166" s="45">
        <v>6247673</v>
      </c>
      <c r="E166" s="201">
        <f t="shared" si="21"/>
        <v>0.7992757272024346</v>
      </c>
      <c r="F166" s="42">
        <f>D166-'[3]Augusts'!D166</f>
        <v>513376</v>
      </c>
      <c r="G166" s="205" t="s">
        <v>232</v>
      </c>
      <c r="H166" s="206">
        <f t="shared" si="24"/>
        <v>7817</v>
      </c>
      <c r="I166" s="206">
        <f t="shared" si="24"/>
        <v>0</v>
      </c>
      <c r="J166" s="206">
        <f t="shared" si="24"/>
        <v>6248</v>
      </c>
      <c r="K166" s="172">
        <f t="shared" si="22"/>
        <v>0.7992836126391198</v>
      </c>
      <c r="L166" s="206">
        <f>J166-'[3]Augusts'!J166</f>
        <v>514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22" customFormat="1" ht="12.75">
      <c r="A167" s="93" t="s">
        <v>192</v>
      </c>
      <c r="B167" s="42">
        <f>SUM(B168:B169)</f>
        <v>13433787</v>
      </c>
      <c r="C167" s="42">
        <f>SUM(C168:C169)</f>
        <v>10199755</v>
      </c>
      <c r="D167" s="42">
        <f>SUM(D168:D169)</f>
        <v>8684248</v>
      </c>
      <c r="E167" s="201">
        <f t="shared" si="21"/>
        <v>0.6464482427777067</v>
      </c>
      <c r="F167" s="42">
        <f>SUM(F168:F169)</f>
        <v>793188</v>
      </c>
      <c r="G167" s="93" t="s">
        <v>192</v>
      </c>
      <c r="H167" s="175">
        <f>SUM(H168:H169)</f>
        <v>13434</v>
      </c>
      <c r="I167" s="175">
        <f>SUM(I168:I169)</f>
        <v>10200</v>
      </c>
      <c r="J167" s="175">
        <f>SUM(J168:J169)</f>
        <v>8684</v>
      </c>
      <c r="K167" s="96">
        <f t="shared" si="22"/>
        <v>0.646419532529403</v>
      </c>
      <c r="L167" s="175">
        <f>SUM(L168:L169)</f>
        <v>793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12" ht="12.75">
      <c r="A168" s="98" t="s">
        <v>234</v>
      </c>
      <c r="B168" s="42">
        <v>9792787</v>
      </c>
      <c r="C168" s="42">
        <f>4339175+876834+876834+876833+802277</f>
        <v>7771953</v>
      </c>
      <c r="D168" s="42">
        <v>7028895</v>
      </c>
      <c r="E168" s="201">
        <f t="shared" si="21"/>
        <v>0.7177624715007076</v>
      </c>
      <c r="F168" s="42">
        <f>D168-'[3]Augusts'!D168</f>
        <v>716969</v>
      </c>
      <c r="G168" s="215" t="s">
        <v>234</v>
      </c>
      <c r="H168" s="206">
        <f aca="true" t="shared" si="25" ref="H168:J169">ROUND(B168/1000,0)</f>
        <v>9793</v>
      </c>
      <c r="I168" s="206">
        <f t="shared" si="25"/>
        <v>7772</v>
      </c>
      <c r="J168" s="206">
        <f t="shared" si="25"/>
        <v>7029</v>
      </c>
      <c r="K168" s="172">
        <f t="shared" si="22"/>
        <v>0.7177575819462881</v>
      </c>
      <c r="L168" s="206">
        <f>J168-'[3]Augusts'!J168</f>
        <v>717</v>
      </c>
    </row>
    <row r="169" spans="1:12" ht="12.75">
      <c r="A169" s="98" t="s">
        <v>236</v>
      </c>
      <c r="B169" s="42">
        <v>3641000</v>
      </c>
      <c r="C169" s="42">
        <f>58000+66182+95182+782839+656269+44714+41525+107994+575097</f>
        <v>2427802</v>
      </c>
      <c r="D169" s="42">
        <v>1655353</v>
      </c>
      <c r="E169" s="201">
        <f t="shared" si="21"/>
        <v>0.45464240593243616</v>
      </c>
      <c r="F169" s="42">
        <f>D169-'[3]Augusts'!D169</f>
        <v>76219</v>
      </c>
      <c r="G169" s="215" t="s">
        <v>236</v>
      </c>
      <c r="H169" s="206">
        <f t="shared" si="25"/>
        <v>3641</v>
      </c>
      <c r="I169" s="206">
        <f t="shared" si="25"/>
        <v>2428</v>
      </c>
      <c r="J169" s="206">
        <f t="shared" si="25"/>
        <v>1655</v>
      </c>
      <c r="K169" s="172">
        <f t="shared" si="22"/>
        <v>0.45454545454545453</v>
      </c>
      <c r="L169" s="206">
        <f>J169-'[3]Augusts'!J169</f>
        <v>76</v>
      </c>
    </row>
    <row r="170" spans="1:12" ht="12.75">
      <c r="A170" s="93" t="s">
        <v>188</v>
      </c>
      <c r="B170" s="42">
        <f>SUM(B164-B167)</f>
        <v>-3527119</v>
      </c>
      <c r="C170" s="42">
        <f>SUM(C164-C167)</f>
        <v>-2357529</v>
      </c>
      <c r="D170" s="42">
        <f>SUM(D164-D167)</f>
        <v>-878022</v>
      </c>
      <c r="E170" s="201">
        <f t="shared" si="21"/>
        <v>0.24893461207291276</v>
      </c>
      <c r="F170" s="42">
        <f>SUM(F164-F167)</f>
        <v>-114525</v>
      </c>
      <c r="G170" s="93" t="s">
        <v>188</v>
      </c>
      <c r="H170" s="175">
        <f>SUM(H164-H167)</f>
        <v>-3527</v>
      </c>
      <c r="I170" s="175">
        <f>SUM(I164-I167)</f>
        <v>-2358</v>
      </c>
      <c r="J170" s="175">
        <f>SUM(J164-J167)</f>
        <v>-877</v>
      </c>
      <c r="K170" s="96">
        <f t="shared" si="22"/>
        <v>0.24865324638502978</v>
      </c>
      <c r="L170" s="175">
        <f>SUM(L164-L167)</f>
        <v>-113</v>
      </c>
    </row>
    <row r="171" spans="1:12" ht="12.75">
      <c r="A171" s="93" t="s">
        <v>174</v>
      </c>
      <c r="B171" s="42">
        <v>3441000</v>
      </c>
      <c r="C171" s="42"/>
      <c r="D171" s="42">
        <v>981169</v>
      </c>
      <c r="E171" s="201">
        <f t="shared" si="21"/>
        <v>0.28514065678581807</v>
      </c>
      <c r="F171" s="42">
        <f>D171-'[3]Augusts'!D171</f>
        <v>76219</v>
      </c>
      <c r="G171" s="93" t="s">
        <v>174</v>
      </c>
      <c r="H171" s="202">
        <f>ROUND(B171/1000,0)</f>
        <v>3441</v>
      </c>
      <c r="I171" s="202">
        <f>ROUND(C171/1000,0)</f>
        <v>0</v>
      </c>
      <c r="J171" s="202">
        <f>ROUND(D171/1000,0)</f>
        <v>981</v>
      </c>
      <c r="K171" s="96">
        <f t="shared" si="22"/>
        <v>0.2850915431560593</v>
      </c>
      <c r="L171" s="202">
        <f>J171-'[3]Augusts'!J171</f>
        <v>76</v>
      </c>
    </row>
    <row r="172" spans="1:12" ht="12.75">
      <c r="A172" s="204" t="s">
        <v>240</v>
      </c>
      <c r="B172" s="42"/>
      <c r="C172" s="42"/>
      <c r="D172" s="42"/>
      <c r="E172" s="201" t="str">
        <f t="shared" si="21"/>
        <v> </v>
      </c>
      <c r="F172" s="42"/>
      <c r="G172" s="204" t="s">
        <v>240</v>
      </c>
      <c r="H172" s="175"/>
      <c r="I172" s="175"/>
      <c r="J172" s="175"/>
      <c r="K172" s="96"/>
      <c r="L172" s="175"/>
    </row>
    <row r="173" spans="1:12" ht="12.75">
      <c r="A173" s="93" t="s">
        <v>191</v>
      </c>
      <c r="B173" s="42">
        <f>SUM(B174:B176)</f>
        <v>137593169</v>
      </c>
      <c r="C173" s="42">
        <f>75754465+15835113+1862006+1297816+9143258+885312+299970</f>
        <v>105077940</v>
      </c>
      <c r="D173" s="42">
        <f>SUM(D174:D176)</f>
        <v>100837972</v>
      </c>
      <c r="E173" s="201">
        <f t="shared" si="21"/>
        <v>0.7328704813826913</v>
      </c>
      <c r="F173" s="42">
        <f>SUM(F174:F176)</f>
        <v>11683058</v>
      </c>
      <c r="G173" s="93" t="s">
        <v>191</v>
      </c>
      <c r="H173" s="175">
        <f>SUM(H174:H176)</f>
        <v>137593</v>
      </c>
      <c r="I173" s="202">
        <f>ROUND(C173/1000,0)</f>
        <v>105078</v>
      </c>
      <c r="J173" s="175">
        <f>SUM(J174:J176)</f>
        <v>100838</v>
      </c>
      <c r="K173" s="96">
        <f t="shared" si="22"/>
        <v>0.7328715850370295</v>
      </c>
      <c r="L173" s="175">
        <f>SUM(L174:L176)</f>
        <v>11683</v>
      </c>
    </row>
    <row r="174" spans="1:12" ht="12.75">
      <c r="A174" s="93" t="s">
        <v>241</v>
      </c>
      <c r="B174" s="42">
        <v>71125600</v>
      </c>
      <c r="C174" s="42"/>
      <c r="D174" s="42">
        <v>50762905</v>
      </c>
      <c r="E174" s="201">
        <f t="shared" si="21"/>
        <v>0.7137079335710349</v>
      </c>
      <c r="F174" s="42">
        <f>D174-'[3]Augusts'!D174</f>
        <v>5938475</v>
      </c>
      <c r="G174" s="93" t="s">
        <v>241</v>
      </c>
      <c r="H174" s="202">
        <f>ROUND(B174/1000,0)</f>
        <v>71126</v>
      </c>
      <c r="I174" s="202">
        <f>ROUND(C174/1000,0)</f>
        <v>0</v>
      </c>
      <c r="J174" s="202">
        <f>ROUND(D174/1000,0)</f>
        <v>50763</v>
      </c>
      <c r="K174" s="96">
        <f t="shared" si="22"/>
        <v>0.7137052554621376</v>
      </c>
      <c r="L174" s="202">
        <f>J174-'[3]Augusts'!J174</f>
        <v>5939</v>
      </c>
    </row>
    <row r="175" spans="1:12" ht="12.75">
      <c r="A175" s="93" t="s">
        <v>242</v>
      </c>
      <c r="B175" s="42">
        <v>55986569</v>
      </c>
      <c r="C175" s="42"/>
      <c r="D175" s="42">
        <v>42952283</v>
      </c>
      <c r="E175" s="201">
        <f t="shared" si="21"/>
        <v>0.7671890556465426</v>
      </c>
      <c r="F175" s="42">
        <f>D175-'[3]Augusts'!D175</f>
        <v>5383740</v>
      </c>
      <c r="G175" s="93" t="s">
        <v>242</v>
      </c>
      <c r="H175" s="202">
        <f>ROUND(B175/1000,0)-1</f>
        <v>55986</v>
      </c>
      <c r="I175" s="202">
        <f>ROUND(C175/1000,0)</f>
        <v>0</v>
      </c>
      <c r="J175" s="202">
        <f>ROUND(D175/1000,0)</f>
        <v>42952</v>
      </c>
      <c r="K175" s="96">
        <f t="shared" si="22"/>
        <v>0.7671917979494873</v>
      </c>
      <c r="L175" s="202">
        <f>J175-'[3]Augusts'!J175</f>
        <v>5383</v>
      </c>
    </row>
    <row r="176" spans="1:12" ht="12.75">
      <c r="A176" s="93" t="s">
        <v>223</v>
      </c>
      <c r="B176" s="42">
        <v>10481000</v>
      </c>
      <c r="C176" s="42"/>
      <c r="D176" s="42">
        <v>7122784</v>
      </c>
      <c r="E176" s="201">
        <f t="shared" si="21"/>
        <v>0.6795901154469993</v>
      </c>
      <c r="F176" s="42">
        <f>D176-'[3]Augusts'!D176</f>
        <v>360843</v>
      </c>
      <c r="G176" s="93" t="s">
        <v>223</v>
      </c>
      <c r="H176" s="202">
        <f>ROUND(B176/1000,0)</f>
        <v>10481</v>
      </c>
      <c r="I176" s="202">
        <f>ROUND(C176/1000,0)</f>
        <v>0</v>
      </c>
      <c r="J176" s="202">
        <f>ROUND(D176/1000,0)</f>
        <v>7123</v>
      </c>
      <c r="K176" s="96">
        <f t="shared" si="22"/>
        <v>0.6796107241675413</v>
      </c>
      <c r="L176" s="202">
        <f>J176-'[3]Augusts'!J176</f>
        <v>361</v>
      </c>
    </row>
    <row r="177" spans="1:12" ht="12.75">
      <c r="A177" s="93" t="s">
        <v>192</v>
      </c>
      <c r="B177" s="42">
        <f>SUM(B178:B179)</f>
        <v>143111169</v>
      </c>
      <c r="C177" s="42">
        <f>SUM(C178:C179)</f>
        <v>108248010</v>
      </c>
      <c r="D177" s="42">
        <f>SUM(D178:D179)</f>
        <v>100971298</v>
      </c>
      <c r="E177" s="201">
        <f t="shared" si="21"/>
        <v>0.7055444987665498</v>
      </c>
      <c r="F177" s="42">
        <f>SUM(F178:F179)</f>
        <v>13359351</v>
      </c>
      <c r="G177" s="93" t="s">
        <v>192</v>
      </c>
      <c r="H177" s="175">
        <f>SUM(H178:H179)</f>
        <v>143111</v>
      </c>
      <c r="I177" s="175">
        <f>SUM(I178:I179)</f>
        <v>108248</v>
      </c>
      <c r="J177" s="175">
        <f>SUM(J178:J179)</f>
        <v>100972</v>
      </c>
      <c r="K177" s="96">
        <f t="shared" si="22"/>
        <v>0.705550237228445</v>
      </c>
      <c r="L177" s="175">
        <f>SUM(L178:L179)</f>
        <v>13360</v>
      </c>
    </row>
    <row r="178" spans="1:12" ht="12.75">
      <c r="A178" s="98" t="s">
        <v>184</v>
      </c>
      <c r="B178" s="42">
        <v>135855869</v>
      </c>
      <c r="C178" s="42">
        <f>75754465+14311605+1862006+1297816+8704615+869782+299970</f>
        <v>103100259</v>
      </c>
      <c r="D178" s="42">
        <v>98146543</v>
      </c>
      <c r="E178" s="201">
        <f t="shared" si="21"/>
        <v>0.7224313805684759</v>
      </c>
      <c r="F178" s="42">
        <f>D178-'[3]Augusts'!D178</f>
        <v>11470665</v>
      </c>
      <c r="G178" s="98" t="s">
        <v>184</v>
      </c>
      <c r="H178" s="202">
        <f aca="true" t="shared" si="26" ref="H178:J179">ROUND(B178/1000,0)</f>
        <v>135856</v>
      </c>
      <c r="I178" s="202">
        <f t="shared" si="26"/>
        <v>103100</v>
      </c>
      <c r="J178" s="202">
        <f t="shared" si="26"/>
        <v>98147</v>
      </c>
      <c r="K178" s="96">
        <f t="shared" si="22"/>
        <v>0.7224340478153339</v>
      </c>
      <c r="L178" s="202">
        <f>J178-'[3]Augusts'!J178</f>
        <v>11471</v>
      </c>
    </row>
    <row r="179" spans="1:12" ht="12.75">
      <c r="A179" s="93" t="s">
        <v>185</v>
      </c>
      <c r="B179" s="42">
        <v>7255300</v>
      </c>
      <c r="C179" s="42">
        <f>4266108+438643+443000</f>
        <v>5147751</v>
      </c>
      <c r="D179" s="42">
        <v>2824755</v>
      </c>
      <c r="E179" s="201">
        <f t="shared" si="21"/>
        <v>0.38933676071285817</v>
      </c>
      <c r="F179" s="42">
        <f>D179-'[3]Augusts'!D179</f>
        <v>1888686</v>
      </c>
      <c r="G179" s="93" t="s">
        <v>185</v>
      </c>
      <c r="H179" s="202">
        <f t="shared" si="26"/>
        <v>7255</v>
      </c>
      <c r="I179" s="202">
        <f t="shared" si="26"/>
        <v>5148</v>
      </c>
      <c r="J179" s="202">
        <f t="shared" si="26"/>
        <v>2825</v>
      </c>
      <c r="K179" s="96">
        <f t="shared" si="22"/>
        <v>0.3893866299104066</v>
      </c>
      <c r="L179" s="202">
        <f>J179-'[3]Augusts'!J179</f>
        <v>1889</v>
      </c>
    </row>
    <row r="180" spans="1:12" ht="12.75">
      <c r="A180" s="93" t="s">
        <v>188</v>
      </c>
      <c r="B180" s="42">
        <f>SUM(B173-B177)</f>
        <v>-5518000</v>
      </c>
      <c r="C180" s="42">
        <f>SUM(C173-C177)</f>
        <v>-3170070</v>
      </c>
      <c r="D180" s="42">
        <f>SUM(D173-D177)</f>
        <v>-133326</v>
      </c>
      <c r="E180" s="201">
        <f t="shared" si="21"/>
        <v>0.02416201522290685</v>
      </c>
      <c r="F180" s="42">
        <f>SUM(F173-F177)</f>
        <v>-1676293</v>
      </c>
      <c r="G180" s="93" t="s">
        <v>188</v>
      </c>
      <c r="H180" s="175">
        <f>SUM(H173-H177)</f>
        <v>-5518</v>
      </c>
      <c r="I180" s="175">
        <f>SUM(I173-I177)</f>
        <v>-3170</v>
      </c>
      <c r="J180" s="175">
        <f>SUM(J173-J177)</f>
        <v>-134</v>
      </c>
      <c r="K180" s="96">
        <f t="shared" si="22"/>
        <v>0.024284160927872417</v>
      </c>
      <c r="L180" s="175">
        <f>SUM(L173-L177)</f>
        <v>-1677</v>
      </c>
    </row>
    <row r="181" spans="1:12" ht="12.75">
      <c r="A181" s="93" t="s">
        <v>174</v>
      </c>
      <c r="B181" s="42">
        <v>5018000</v>
      </c>
      <c r="C181" s="42"/>
      <c r="D181" s="42">
        <v>1740231</v>
      </c>
      <c r="E181" s="201">
        <f t="shared" si="21"/>
        <v>0.3467977281785572</v>
      </c>
      <c r="F181" s="42">
        <f>D181-'[3]Augusts'!D181</f>
        <v>1653759</v>
      </c>
      <c r="G181" s="93" t="s">
        <v>174</v>
      </c>
      <c r="H181" s="202">
        <f>ROUND(B181/1000,0)</f>
        <v>5018</v>
      </c>
      <c r="I181" s="175">
        <f>-I180</f>
        <v>3170</v>
      </c>
      <c r="J181" s="202">
        <f>ROUND(D181/1000,0)</f>
        <v>1740</v>
      </c>
      <c r="K181" s="96"/>
      <c r="L181" s="202">
        <f>J181-'[3]Augusts'!J181</f>
        <v>1654</v>
      </c>
    </row>
    <row r="182" spans="1:12" ht="30" customHeight="1">
      <c r="A182" s="177" t="s">
        <v>243</v>
      </c>
      <c r="B182" s="13"/>
      <c r="C182" s="13"/>
      <c r="D182" s="13"/>
      <c r="E182" s="201" t="str">
        <f t="shared" si="21"/>
        <v> </v>
      </c>
      <c r="F182" s="13"/>
      <c r="G182" s="177" t="s">
        <v>243</v>
      </c>
      <c r="H182" s="158"/>
      <c r="I182" s="158"/>
      <c r="J182" s="158"/>
      <c r="K182" s="96"/>
      <c r="L182" s="158"/>
    </row>
    <row r="183" spans="1:12" ht="15" customHeight="1">
      <c r="A183" s="204" t="s">
        <v>244</v>
      </c>
      <c r="B183" s="42"/>
      <c r="C183" s="42"/>
      <c r="D183" s="42"/>
      <c r="E183" s="201" t="str">
        <f t="shared" si="21"/>
        <v> </v>
      </c>
      <c r="F183" s="42"/>
      <c r="G183" s="204" t="s">
        <v>244</v>
      </c>
      <c r="H183" s="175"/>
      <c r="I183" s="175"/>
      <c r="J183" s="175"/>
      <c r="K183" s="96"/>
      <c r="L183" s="175"/>
    </row>
    <row r="184" spans="1:12" ht="12.75">
      <c r="A184" s="93" t="s">
        <v>191</v>
      </c>
      <c r="B184" s="42">
        <f>SUM(B185:B187)</f>
        <v>8837000</v>
      </c>
      <c r="C184" s="42">
        <v>7816113</v>
      </c>
      <c r="D184" s="42">
        <f>SUM(D185:D187)</f>
        <v>4829887</v>
      </c>
      <c r="E184" s="201">
        <f t="shared" si="21"/>
        <v>0.5465527894081702</v>
      </c>
      <c r="F184" s="42">
        <f>SUM(F185:F187)</f>
        <v>566853</v>
      </c>
      <c r="G184" s="93" t="s">
        <v>191</v>
      </c>
      <c r="H184" s="175">
        <f>SUM(H185:H187)</f>
        <v>8837</v>
      </c>
      <c r="I184" s="202">
        <f>ROUND(C184/1000,0)</f>
        <v>7816</v>
      </c>
      <c r="J184" s="175">
        <f>SUM(J185:J187)</f>
        <v>4830</v>
      </c>
      <c r="K184" s="96">
        <f t="shared" si="22"/>
        <v>0.5465655765531289</v>
      </c>
      <c r="L184" s="175">
        <f>SUM(L185:L187)</f>
        <v>568</v>
      </c>
    </row>
    <row r="185" spans="1:12" ht="12.75">
      <c r="A185" s="93" t="s">
        <v>245</v>
      </c>
      <c r="B185" s="42">
        <v>8245000</v>
      </c>
      <c r="C185" s="42"/>
      <c r="D185" s="42">
        <v>4650903</v>
      </c>
      <c r="E185" s="201">
        <f t="shared" si="21"/>
        <v>0.5640876895087932</v>
      </c>
      <c r="F185" s="42">
        <f>D185-'[3]Augusts'!D185</f>
        <v>555469</v>
      </c>
      <c r="G185" s="93" t="s">
        <v>245</v>
      </c>
      <c r="H185" s="202">
        <f>ROUND(B185/1000,0)</f>
        <v>8245</v>
      </c>
      <c r="I185" s="202">
        <f>ROUND(C185/1000,0)</f>
        <v>0</v>
      </c>
      <c r="J185" s="202">
        <f>ROUND(D185/1000,0)</f>
        <v>4651</v>
      </c>
      <c r="K185" s="96">
        <f t="shared" si="22"/>
        <v>0.5640994542146756</v>
      </c>
      <c r="L185" s="202">
        <f>J185-'[3]Augusts'!J185</f>
        <v>556</v>
      </c>
    </row>
    <row r="186" spans="1:12" ht="12.75">
      <c r="A186" s="93" t="s">
        <v>246</v>
      </c>
      <c r="B186" s="42">
        <v>300000</v>
      </c>
      <c r="C186" s="42"/>
      <c r="D186" s="42"/>
      <c r="E186" s="201">
        <f t="shared" si="21"/>
        <v>0</v>
      </c>
      <c r="F186" s="42">
        <f>D186-'[3]Augusts'!D186</f>
        <v>-141102</v>
      </c>
      <c r="G186" s="93" t="s">
        <v>246</v>
      </c>
      <c r="H186" s="202">
        <f>ROUND(B186/1000,0)</f>
        <v>300</v>
      </c>
      <c r="I186" s="202">
        <f>ROUND(C186/1000,0)</f>
        <v>0</v>
      </c>
      <c r="J186" s="202">
        <f>ROUND(D186/1000,0)</f>
        <v>0</v>
      </c>
      <c r="K186" s="96">
        <f t="shared" si="22"/>
        <v>0</v>
      </c>
      <c r="L186" s="202">
        <f>J186-'[3]Augusts'!J186</f>
        <v>-141</v>
      </c>
    </row>
    <row r="187" spans="1:12" ht="12.75">
      <c r="A187" s="93" t="s">
        <v>223</v>
      </c>
      <c r="B187" s="42">
        <v>292000</v>
      </c>
      <c r="C187" s="42"/>
      <c r="D187" s="42">
        <f>151191+27793</f>
        <v>178984</v>
      </c>
      <c r="E187" s="201">
        <f t="shared" si="21"/>
        <v>0.6129589041095891</v>
      </c>
      <c r="F187" s="42">
        <f>D187-'[3]Augusts'!D187</f>
        <v>152486</v>
      </c>
      <c r="G187" s="93" t="s">
        <v>223</v>
      </c>
      <c r="H187" s="202">
        <f>ROUND(B187/1000,0)</f>
        <v>292</v>
      </c>
      <c r="I187" s="202">
        <f>ROUND(C187/1000,0)</f>
        <v>0</v>
      </c>
      <c r="J187" s="202">
        <f>ROUND(D187/1000,0)</f>
        <v>179</v>
      </c>
      <c r="K187" s="96">
        <f t="shared" si="22"/>
        <v>0.613013698630137</v>
      </c>
      <c r="L187" s="202">
        <f>J187-'[3]Augusts'!J187</f>
        <v>153</v>
      </c>
    </row>
    <row r="188" spans="1:12" ht="12.75">
      <c r="A188" s="93" t="s">
        <v>192</v>
      </c>
      <c r="B188" s="42">
        <f>SUM(B189:B190)</f>
        <v>7808770</v>
      </c>
      <c r="C188" s="42">
        <f>SUM(C189:C190)</f>
        <v>7301468</v>
      </c>
      <c r="D188" s="42">
        <f>SUM(D189:D190)</f>
        <v>5139211</v>
      </c>
      <c r="E188" s="201">
        <f t="shared" si="21"/>
        <v>0.65813322712796</v>
      </c>
      <c r="F188" s="42">
        <f>SUM(F189:F190)</f>
        <v>437510</v>
      </c>
      <c r="G188" s="93" t="s">
        <v>192</v>
      </c>
      <c r="H188" s="175">
        <f>SUM(H189:H190)</f>
        <v>7808</v>
      </c>
      <c r="I188" s="175">
        <f>SUM(I189:I190)</f>
        <v>7302</v>
      </c>
      <c r="J188" s="175">
        <f>SUM(J189:J190)</f>
        <v>5139</v>
      </c>
      <c r="K188" s="96">
        <f t="shared" si="22"/>
        <v>0.6581711065573771</v>
      </c>
      <c r="L188" s="175">
        <f>SUM(L189:L190)</f>
        <v>437</v>
      </c>
    </row>
    <row r="189" spans="1:12" ht="12.75">
      <c r="A189" s="93" t="s">
        <v>184</v>
      </c>
      <c r="B189" s="42">
        <v>5934415</v>
      </c>
      <c r="C189" s="42">
        <v>5611613</v>
      </c>
      <c r="D189" s="42">
        <v>4212370</v>
      </c>
      <c r="E189" s="201">
        <f t="shared" si="21"/>
        <v>0.7098205973124563</v>
      </c>
      <c r="F189" s="42">
        <f>D189-'[3]Augusts'!D189</f>
        <v>199611</v>
      </c>
      <c r="G189" s="93" t="s">
        <v>184</v>
      </c>
      <c r="H189" s="202">
        <f aca="true" t="shared" si="27" ref="H189:J190">ROUND(B189/1000,0)</f>
        <v>5934</v>
      </c>
      <c r="I189" s="202">
        <f t="shared" si="27"/>
        <v>5612</v>
      </c>
      <c r="J189" s="202">
        <f t="shared" si="27"/>
        <v>4212</v>
      </c>
      <c r="K189" s="96">
        <f t="shared" si="22"/>
        <v>0.7098078867542973</v>
      </c>
      <c r="L189" s="202">
        <f>J189-'[3]Augusts'!J189</f>
        <v>199</v>
      </c>
    </row>
    <row r="190" spans="1:12" ht="12.75">
      <c r="A190" s="93" t="s">
        <v>185</v>
      </c>
      <c r="B190" s="42">
        <v>1874355</v>
      </c>
      <c r="C190" s="42">
        <v>1689855</v>
      </c>
      <c r="D190" s="42">
        <v>926841</v>
      </c>
      <c r="E190" s="201">
        <f t="shared" si="21"/>
        <v>0.49448530294421283</v>
      </c>
      <c r="F190" s="42">
        <f>D190-'[3]Augusts'!D190</f>
        <v>237899</v>
      </c>
      <c r="G190" s="93" t="s">
        <v>185</v>
      </c>
      <c r="H190" s="202">
        <f t="shared" si="27"/>
        <v>1874</v>
      </c>
      <c r="I190" s="202">
        <f t="shared" si="27"/>
        <v>1690</v>
      </c>
      <c r="J190" s="202">
        <f t="shared" si="27"/>
        <v>927</v>
      </c>
      <c r="K190" s="96">
        <f t="shared" si="22"/>
        <v>0.49466382070437565</v>
      </c>
      <c r="L190" s="202">
        <f>J190-'[3]Augusts'!J190</f>
        <v>238</v>
      </c>
    </row>
    <row r="191" spans="1:12" ht="16.5" customHeight="1">
      <c r="A191" s="204" t="s">
        <v>247</v>
      </c>
      <c r="B191" s="42"/>
      <c r="C191" s="42"/>
      <c r="D191" s="42"/>
      <c r="E191" s="201" t="str">
        <f t="shared" si="21"/>
        <v> </v>
      </c>
      <c r="F191" s="42"/>
      <c r="G191" s="204" t="s">
        <v>247</v>
      </c>
      <c r="H191" s="175"/>
      <c r="I191" s="175"/>
      <c r="J191" s="175"/>
      <c r="K191" s="96"/>
      <c r="L191" s="175"/>
    </row>
    <row r="192" spans="1:12" ht="12.75">
      <c r="A192" s="93" t="s">
        <v>191</v>
      </c>
      <c r="B192" s="42">
        <v>1450000</v>
      </c>
      <c r="C192" s="42">
        <v>1450000</v>
      </c>
      <c r="D192" s="42">
        <v>1462500</v>
      </c>
      <c r="E192" s="201">
        <f t="shared" si="21"/>
        <v>1.0086206896551724</v>
      </c>
      <c r="F192" s="42">
        <f>D192-'[3]Augusts'!D192</f>
        <v>0</v>
      </c>
      <c r="G192" s="93" t="s">
        <v>191</v>
      </c>
      <c r="H192" s="202">
        <f>ROUND(B192/1000,0)</f>
        <v>1450</v>
      </c>
      <c r="I192" s="202">
        <f>ROUND(C192/1000,0)</f>
        <v>1450</v>
      </c>
      <c r="J192" s="202">
        <f>ROUND(D192/1000,0)</f>
        <v>1463</v>
      </c>
      <c r="K192" s="96">
        <f t="shared" si="22"/>
        <v>1.0089655172413794</v>
      </c>
      <c r="L192" s="202">
        <f>J192-'[3]Augusts'!J192</f>
        <v>0</v>
      </c>
    </row>
    <row r="193" spans="1:12" ht="12.75">
      <c r="A193" s="93" t="s">
        <v>192</v>
      </c>
      <c r="B193" s="42">
        <f>SUM(B194:B195)</f>
        <v>1450000</v>
      </c>
      <c r="C193" s="42">
        <f>SUM(C194:C195)</f>
        <v>1450000</v>
      </c>
      <c r="D193" s="42">
        <f>SUM(D194:D195)</f>
        <v>1381763</v>
      </c>
      <c r="E193" s="201">
        <f t="shared" si="21"/>
        <v>0.95294</v>
      </c>
      <c r="F193" s="42">
        <f>SUM(F194:F195)</f>
        <v>110251</v>
      </c>
      <c r="G193" s="93" t="s">
        <v>192</v>
      </c>
      <c r="H193" s="175">
        <f>SUM(H194:H195)</f>
        <v>1450</v>
      </c>
      <c r="I193" s="175">
        <f>SUM(I194:I195)</f>
        <v>1450</v>
      </c>
      <c r="J193" s="175">
        <f>SUM(J194:J195)</f>
        <v>1382</v>
      </c>
      <c r="K193" s="96">
        <f t="shared" si="22"/>
        <v>0.953103448275862</v>
      </c>
      <c r="L193" s="175">
        <f>SUM(L194:L195)</f>
        <v>110</v>
      </c>
    </row>
    <row r="194" spans="1:12" ht="12.75">
      <c r="A194" s="93" t="s">
        <v>184</v>
      </c>
      <c r="B194" s="42">
        <v>45000</v>
      </c>
      <c r="C194" s="42">
        <v>45000</v>
      </c>
      <c r="D194" s="42">
        <v>33209</v>
      </c>
      <c r="E194" s="201">
        <f t="shared" si="21"/>
        <v>0.7379777777777777</v>
      </c>
      <c r="F194" s="42">
        <f>D194-'[3]Augusts'!D194</f>
        <v>13188</v>
      </c>
      <c r="G194" s="93" t="s">
        <v>184</v>
      </c>
      <c r="H194" s="202">
        <f aca="true" t="shared" si="28" ref="H194:J195">ROUND(B194/1000,0)</f>
        <v>45</v>
      </c>
      <c r="I194" s="202">
        <f t="shared" si="28"/>
        <v>45</v>
      </c>
      <c r="J194" s="202">
        <f t="shared" si="28"/>
        <v>33</v>
      </c>
      <c r="K194" s="96">
        <f t="shared" si="22"/>
        <v>0.7333333333333333</v>
      </c>
      <c r="L194" s="202">
        <f>J194-'[3]Augusts'!J194</f>
        <v>13</v>
      </c>
    </row>
    <row r="195" spans="1:12" ht="12.75">
      <c r="A195" s="93" t="s">
        <v>185</v>
      </c>
      <c r="B195" s="42">
        <v>1405000</v>
      </c>
      <c r="C195" s="42">
        <v>1405000</v>
      </c>
      <c r="D195" s="42">
        <v>1348554</v>
      </c>
      <c r="E195" s="201">
        <f t="shared" si="21"/>
        <v>0.9598249110320285</v>
      </c>
      <c r="F195" s="42">
        <f>D195-'[3]Augusts'!D195</f>
        <v>97063</v>
      </c>
      <c r="G195" s="93" t="s">
        <v>185</v>
      </c>
      <c r="H195" s="202">
        <f t="shared" si="28"/>
        <v>1405</v>
      </c>
      <c r="I195" s="202">
        <f t="shared" si="28"/>
        <v>1405</v>
      </c>
      <c r="J195" s="202">
        <f>ROUND(D195/1000,0)</f>
        <v>1349</v>
      </c>
      <c r="K195" s="96">
        <f t="shared" si="22"/>
        <v>0.9601423487544484</v>
      </c>
      <c r="L195" s="202">
        <f>J195-'[3]Augusts'!J195</f>
        <v>97</v>
      </c>
    </row>
    <row r="196" spans="1:12" ht="16.5" customHeight="1">
      <c r="A196" s="54" t="s">
        <v>248</v>
      </c>
      <c r="B196" s="13"/>
      <c r="C196" s="13"/>
      <c r="D196" s="13"/>
      <c r="E196" s="201" t="str">
        <f t="shared" si="21"/>
        <v> </v>
      </c>
      <c r="F196" s="13"/>
      <c r="G196" s="54" t="s">
        <v>248</v>
      </c>
      <c r="H196" s="158"/>
      <c r="I196" s="158"/>
      <c r="J196" s="158"/>
      <c r="K196" s="96"/>
      <c r="L196" s="158"/>
    </row>
    <row r="197" spans="1:12" ht="15" customHeight="1">
      <c r="A197" s="204" t="s">
        <v>249</v>
      </c>
      <c r="B197" s="42"/>
      <c r="C197" s="42"/>
      <c r="D197" s="42"/>
      <c r="E197" s="201" t="str">
        <f t="shared" si="21"/>
        <v> </v>
      </c>
      <c r="F197" s="42"/>
      <c r="G197" s="204" t="s">
        <v>249</v>
      </c>
      <c r="H197" s="175"/>
      <c r="I197" s="175"/>
      <c r="J197" s="175"/>
      <c r="K197" s="96"/>
      <c r="L197" s="175"/>
    </row>
    <row r="198" spans="1:12" ht="12.75">
      <c r="A198" s="93" t="s">
        <v>191</v>
      </c>
      <c r="B198" s="42">
        <f>SUM(B199:B200)</f>
        <v>2400000</v>
      </c>
      <c r="C198" s="42">
        <v>1873000</v>
      </c>
      <c r="D198" s="42">
        <f>SUM(D199:D200)</f>
        <v>1581781</v>
      </c>
      <c r="E198" s="201">
        <f t="shared" si="21"/>
        <v>0.6590754166666667</v>
      </c>
      <c r="F198" s="42">
        <f>SUM(F199:F200)</f>
        <v>-166081</v>
      </c>
      <c r="G198" s="93" t="s">
        <v>191</v>
      </c>
      <c r="H198" s="175">
        <f>SUM(H199:H200)</f>
        <v>2400</v>
      </c>
      <c r="I198" s="202">
        <f>ROUND(C198/1000,0)</f>
        <v>1873</v>
      </c>
      <c r="J198" s="175">
        <f>SUM(J199:J200)</f>
        <v>1582</v>
      </c>
      <c r="K198" s="96">
        <f t="shared" si="22"/>
        <v>0.6591666666666667</v>
      </c>
      <c r="L198" s="175">
        <f>SUM(L199:L200)</f>
        <v>-166</v>
      </c>
    </row>
    <row r="199" spans="1:12" ht="22.5">
      <c r="A199" s="98" t="s">
        <v>250</v>
      </c>
      <c r="B199" s="42">
        <v>2032476</v>
      </c>
      <c r="C199" s="42"/>
      <c r="D199" s="42">
        <v>1581781</v>
      </c>
      <c r="E199" s="201">
        <f t="shared" si="21"/>
        <v>0.7782532241463122</v>
      </c>
      <c r="F199" s="42">
        <f>D199-'[3]Augusts'!D199</f>
        <v>-166081</v>
      </c>
      <c r="G199" s="98" t="s">
        <v>250</v>
      </c>
      <c r="H199" s="202">
        <f>ROUND(B199/1000,0)</f>
        <v>2032</v>
      </c>
      <c r="I199" s="202">
        <f>ROUND(C199/1000,0)</f>
        <v>0</v>
      </c>
      <c r="J199" s="202">
        <f>ROUND(D199/1000,0)</f>
        <v>1582</v>
      </c>
      <c r="K199" s="96">
        <f t="shared" si="22"/>
        <v>0.7785433070866141</v>
      </c>
      <c r="L199" s="202">
        <f>J199-'[3]Augusts'!J199</f>
        <v>-166</v>
      </c>
    </row>
    <row r="200" spans="1:12" ht="12.75">
      <c r="A200" s="93" t="s">
        <v>242</v>
      </c>
      <c r="B200" s="42">
        <v>367524</v>
      </c>
      <c r="C200" s="42"/>
      <c r="D200" s="42"/>
      <c r="E200" s="201">
        <f t="shared" si="21"/>
        <v>0</v>
      </c>
      <c r="F200" s="42">
        <f>D200-'[3]Augusts'!D200</f>
        <v>0</v>
      </c>
      <c r="G200" s="93" t="s">
        <v>242</v>
      </c>
      <c r="H200" s="202">
        <f>ROUND(B200/1000,0)</f>
        <v>368</v>
      </c>
      <c r="I200" s="202">
        <f>ROUND(C200/1000,0)</f>
        <v>0</v>
      </c>
      <c r="J200" s="202">
        <f>ROUND(D200/1000,0)</f>
        <v>0</v>
      </c>
      <c r="K200" s="96">
        <f t="shared" si="22"/>
        <v>0</v>
      </c>
      <c r="L200" s="202">
        <f>J200-'[3]Augusts'!J200</f>
        <v>0</v>
      </c>
    </row>
    <row r="201" spans="1:12" ht="12.75">
      <c r="A201" s="93" t="s">
        <v>192</v>
      </c>
      <c r="B201" s="42">
        <f>B202</f>
        <v>2750000</v>
      </c>
      <c r="C201" s="42">
        <f>C202</f>
        <v>2223000</v>
      </c>
      <c r="D201" s="42">
        <f>D202</f>
        <v>2223000</v>
      </c>
      <c r="E201" s="201">
        <f t="shared" si="21"/>
        <v>0.8083636363636364</v>
      </c>
      <c r="F201" s="42">
        <f>F202</f>
        <v>300000</v>
      </c>
      <c r="G201" s="93" t="s">
        <v>192</v>
      </c>
      <c r="H201" s="175">
        <f>H202</f>
        <v>2750</v>
      </c>
      <c r="I201" s="175">
        <f>I202</f>
        <v>2223</v>
      </c>
      <c r="J201" s="175">
        <f>J202</f>
        <v>2223</v>
      </c>
      <c r="K201" s="96">
        <f t="shared" si="22"/>
        <v>0.8083636363636364</v>
      </c>
      <c r="L201" s="175">
        <f>L202</f>
        <v>300</v>
      </c>
    </row>
    <row r="202" spans="1:12" ht="12.75">
      <c r="A202" s="93" t="s">
        <v>184</v>
      </c>
      <c r="B202" s="42">
        <v>2750000</v>
      </c>
      <c r="C202" s="42">
        <v>2223000</v>
      </c>
      <c r="D202" s="42">
        <v>2223000</v>
      </c>
      <c r="E202" s="201">
        <f aca="true" t="shared" si="29" ref="E202:E217">IF(ISERROR(D202/B202)," ",(D202/B202))</f>
        <v>0.8083636363636364</v>
      </c>
      <c r="F202" s="42">
        <f>D202-'[3]Augusts'!D202</f>
        <v>300000</v>
      </c>
      <c r="G202" s="93" t="s">
        <v>184</v>
      </c>
      <c r="H202" s="202">
        <f>ROUND(B202/1000,0)</f>
        <v>2750</v>
      </c>
      <c r="I202" s="202">
        <f>ROUND(C202/1000,0)</f>
        <v>2223</v>
      </c>
      <c r="J202" s="202">
        <f>ROUND(D202/1000,0)</f>
        <v>2223</v>
      </c>
      <c r="K202" s="96">
        <f aca="true" t="shared" si="30" ref="K202:K216">IF(ISERROR(ROUND(J202,0)/ROUND(H202,0))," ",(ROUND(J202,)/ROUND(H202,)))</f>
        <v>0.8083636363636364</v>
      </c>
      <c r="L202" s="202">
        <f>J202-'[3]Augusts'!J202</f>
        <v>300</v>
      </c>
    </row>
    <row r="203" spans="1:12" ht="15.75" customHeight="1">
      <c r="A203" s="54" t="s">
        <v>251</v>
      </c>
      <c r="B203" s="13"/>
      <c r="C203" s="13"/>
      <c r="D203" s="13"/>
      <c r="E203" s="201" t="str">
        <f t="shared" si="29"/>
        <v> </v>
      </c>
      <c r="F203" s="13"/>
      <c r="G203" s="54" t="s">
        <v>251</v>
      </c>
      <c r="H203" s="158"/>
      <c r="I203" s="158"/>
      <c r="J203" s="158"/>
      <c r="K203" s="96"/>
      <c r="L203" s="158"/>
    </row>
    <row r="204" spans="1:12" ht="12.75">
      <c r="A204" s="93" t="s">
        <v>191</v>
      </c>
      <c r="B204" s="42">
        <f>SUM(B205:B206)</f>
        <v>105000</v>
      </c>
      <c r="C204" s="42">
        <v>88400</v>
      </c>
      <c r="D204" s="42">
        <f>SUM(D205:D206)</f>
        <v>73976</v>
      </c>
      <c r="E204" s="201">
        <f t="shared" si="29"/>
        <v>0.7045333333333333</v>
      </c>
      <c r="F204" s="42">
        <f>SUM(F205:F206)</f>
        <v>938</v>
      </c>
      <c r="G204" s="93" t="s">
        <v>191</v>
      </c>
      <c r="H204" s="175">
        <f>SUM(H205:H206)</f>
        <v>105</v>
      </c>
      <c r="I204" s="202">
        <f aca="true" t="shared" si="31" ref="I204:J206">ROUND(C204/1000,0)</f>
        <v>88</v>
      </c>
      <c r="J204" s="202">
        <f t="shared" si="31"/>
        <v>74</v>
      </c>
      <c r="K204" s="96">
        <f t="shared" si="30"/>
        <v>0.7047619047619048</v>
      </c>
      <c r="L204" s="175">
        <f>SUM(L205:L206)</f>
        <v>2</v>
      </c>
    </row>
    <row r="205" spans="1:12" ht="12.75">
      <c r="A205" s="93" t="s">
        <v>252</v>
      </c>
      <c r="B205" s="42">
        <v>101000</v>
      </c>
      <c r="C205" s="42"/>
      <c r="D205" s="42">
        <f>53495+295</f>
        <v>53790</v>
      </c>
      <c r="E205" s="201">
        <f t="shared" si="29"/>
        <v>0.5325742574257426</v>
      </c>
      <c r="F205" s="42">
        <f>D205-'[3]Augusts'!D205</f>
        <v>295</v>
      </c>
      <c r="G205" s="93" t="s">
        <v>252</v>
      </c>
      <c r="H205" s="202">
        <f>ROUND(B205/1000,0)</f>
        <v>101</v>
      </c>
      <c r="I205" s="202">
        <f t="shared" si="31"/>
        <v>0</v>
      </c>
      <c r="J205" s="202">
        <f t="shared" si="31"/>
        <v>54</v>
      </c>
      <c r="K205" s="96">
        <f t="shared" si="30"/>
        <v>0.5346534653465347</v>
      </c>
      <c r="L205" s="202">
        <f>J205-'[3]Augusts'!J205</f>
        <v>1</v>
      </c>
    </row>
    <row r="206" spans="1:33" s="39" customFormat="1" ht="12.75">
      <c r="A206" s="93" t="s">
        <v>253</v>
      </c>
      <c r="B206" s="93">
        <v>4000</v>
      </c>
      <c r="C206" s="93"/>
      <c r="D206" s="93">
        <v>20186</v>
      </c>
      <c r="E206" s="201">
        <f t="shared" si="29"/>
        <v>5.0465</v>
      </c>
      <c r="F206" s="42">
        <f>D206-'[3]Augusts'!D206</f>
        <v>643</v>
      </c>
      <c r="G206" s="93" t="s">
        <v>253</v>
      </c>
      <c r="H206" s="202">
        <f>ROUND(B206/1000,0)</f>
        <v>4</v>
      </c>
      <c r="I206" s="202">
        <f t="shared" si="31"/>
        <v>0</v>
      </c>
      <c r="J206" s="202">
        <f>ROUND(D206/1000,0)</f>
        <v>20</v>
      </c>
      <c r="K206" s="96">
        <f t="shared" si="30"/>
        <v>5</v>
      </c>
      <c r="L206" s="202">
        <f>J206-'[3]Augusts'!J206</f>
        <v>1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39" customFormat="1" ht="12.75">
      <c r="A207" s="93" t="s">
        <v>192</v>
      </c>
      <c r="B207" s="42">
        <f>SUM(B208:B209)</f>
        <v>105000</v>
      </c>
      <c r="C207" s="42">
        <f>SUM(C208:C209)</f>
        <v>104249</v>
      </c>
      <c r="D207" s="42">
        <f>SUM(D208:D209)</f>
        <v>92623</v>
      </c>
      <c r="E207" s="201">
        <f t="shared" si="29"/>
        <v>0.8821238095238095</v>
      </c>
      <c r="F207" s="42">
        <f>SUM(F208:F209)</f>
        <v>2034</v>
      </c>
      <c r="G207" s="93" t="s">
        <v>192</v>
      </c>
      <c r="H207" s="175">
        <f>SUM(H208:H209)</f>
        <v>105</v>
      </c>
      <c r="I207" s="175">
        <f>SUM(I208:I209)</f>
        <v>104</v>
      </c>
      <c r="J207" s="175">
        <f>SUM(J208:J209)</f>
        <v>93</v>
      </c>
      <c r="K207" s="96">
        <f t="shared" si="30"/>
        <v>0.8857142857142857</v>
      </c>
      <c r="L207" s="175">
        <f>SUM(L208:L209)</f>
        <v>2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12" ht="12.75">
      <c r="A208" s="93" t="s">
        <v>184</v>
      </c>
      <c r="B208" s="42">
        <v>102000</v>
      </c>
      <c r="C208" s="42">
        <v>101249</v>
      </c>
      <c r="D208" s="42">
        <v>91873</v>
      </c>
      <c r="E208" s="201">
        <f t="shared" si="29"/>
        <v>0.9007156862745098</v>
      </c>
      <c r="F208" s="42">
        <f>D208-'[3]Augusts'!D208</f>
        <v>2034</v>
      </c>
      <c r="G208" s="93" t="s">
        <v>184</v>
      </c>
      <c r="H208" s="202">
        <f aca="true" t="shared" si="32" ref="H208:J209">ROUND(B208/1000,0)</f>
        <v>102</v>
      </c>
      <c r="I208" s="202">
        <f t="shared" si="32"/>
        <v>101</v>
      </c>
      <c r="J208" s="202">
        <f t="shared" si="32"/>
        <v>92</v>
      </c>
      <c r="K208" s="96">
        <f t="shared" si="30"/>
        <v>0.9019607843137255</v>
      </c>
      <c r="L208" s="202">
        <f>J208-'[3]Augusts'!J208</f>
        <v>2</v>
      </c>
    </row>
    <row r="209" spans="1:12" ht="12.75">
      <c r="A209" s="93" t="s">
        <v>185</v>
      </c>
      <c r="B209" s="42">
        <v>3000</v>
      </c>
      <c r="C209" s="42">
        <v>3000</v>
      </c>
      <c r="D209" s="42">
        <v>750</v>
      </c>
      <c r="E209" s="201">
        <f t="shared" si="29"/>
        <v>0.25</v>
      </c>
      <c r="F209" s="42"/>
      <c r="G209" s="93" t="s">
        <v>185</v>
      </c>
      <c r="H209" s="202">
        <f t="shared" si="32"/>
        <v>3</v>
      </c>
      <c r="I209" s="202">
        <f t="shared" si="32"/>
        <v>3</v>
      </c>
      <c r="J209" s="202">
        <f t="shared" si="32"/>
        <v>1</v>
      </c>
      <c r="K209" s="96">
        <f t="shared" si="30"/>
        <v>0.3333333333333333</v>
      </c>
      <c r="L209" s="202">
        <f>J209-'[3]Augusts'!J209</f>
        <v>0</v>
      </c>
    </row>
    <row r="210" spans="1:33" s="39" customFormat="1" ht="27" customHeight="1">
      <c r="A210" s="177" t="s">
        <v>254</v>
      </c>
      <c r="B210" s="93"/>
      <c r="C210" s="93"/>
      <c r="D210" s="93"/>
      <c r="E210" s="201" t="str">
        <f t="shared" si="29"/>
        <v> </v>
      </c>
      <c r="F210" s="93"/>
      <c r="G210" s="177" t="s">
        <v>254</v>
      </c>
      <c r="H210" s="175"/>
      <c r="I210" s="175"/>
      <c r="J210" s="175"/>
      <c r="K210" s="96"/>
      <c r="L210" s="175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39" customFormat="1" ht="12.75">
      <c r="A211" s="93" t="s">
        <v>191</v>
      </c>
      <c r="B211" s="93">
        <f>B212</f>
        <v>69988</v>
      </c>
      <c r="C211" s="93">
        <v>46657</v>
      </c>
      <c r="D211" s="93">
        <f>D212</f>
        <v>57024</v>
      </c>
      <c r="E211" s="201">
        <f t="shared" si="29"/>
        <v>0.814768245985026</v>
      </c>
      <c r="F211" s="93">
        <f>F212</f>
        <v>0</v>
      </c>
      <c r="G211" s="93" t="s">
        <v>191</v>
      </c>
      <c r="H211" s="175">
        <f>H212</f>
        <v>70</v>
      </c>
      <c r="I211" s="202">
        <f>ROUND(C211/1000,0)</f>
        <v>47</v>
      </c>
      <c r="J211" s="175">
        <f>J212</f>
        <v>57</v>
      </c>
      <c r="K211" s="96">
        <f t="shared" si="30"/>
        <v>0.8142857142857143</v>
      </c>
      <c r="L211" s="175">
        <f>L212</f>
        <v>0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39" customFormat="1" ht="15.75" customHeight="1">
      <c r="A212" s="98" t="s">
        <v>255</v>
      </c>
      <c r="B212" s="93">
        <v>69988</v>
      </c>
      <c r="C212" s="93"/>
      <c r="D212" s="93">
        <v>57024</v>
      </c>
      <c r="E212" s="201">
        <f t="shared" si="29"/>
        <v>0.814768245985026</v>
      </c>
      <c r="F212" s="42">
        <f>D212-'[3]Augusts'!D212</f>
        <v>0</v>
      </c>
      <c r="G212" s="98" t="s">
        <v>255</v>
      </c>
      <c r="H212" s="202">
        <f>ROUND(B212/1000,0)</f>
        <v>70</v>
      </c>
      <c r="I212" s="202">
        <f>ROUND(C212/1000,0)</f>
        <v>0</v>
      </c>
      <c r="J212" s="202">
        <f>ROUND(D212/1000,0)</f>
        <v>57</v>
      </c>
      <c r="K212" s="96">
        <f t="shared" si="30"/>
        <v>0.8142857142857143</v>
      </c>
      <c r="L212" s="202">
        <f>J212-'[3]Augusts'!J212</f>
        <v>0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12" ht="12.75">
      <c r="A213" s="93" t="s">
        <v>192</v>
      </c>
      <c r="B213" s="42">
        <f>SUM(B214:B215)</f>
        <v>122568</v>
      </c>
      <c r="C213" s="42">
        <f>SUM(C214:C215)</f>
        <v>85879</v>
      </c>
      <c r="D213" s="42">
        <f>SUM(D214:D215)</f>
        <v>18935</v>
      </c>
      <c r="E213" s="201">
        <f t="shared" si="29"/>
        <v>0.15448567325892565</v>
      </c>
      <c r="F213" s="42">
        <f>SUM(F214:F215)</f>
        <v>5319</v>
      </c>
      <c r="G213" s="93" t="s">
        <v>192</v>
      </c>
      <c r="H213" s="175">
        <f>SUM(H214:H215)</f>
        <v>122</v>
      </c>
      <c r="I213" s="175">
        <f>SUM(I214:I215)</f>
        <v>85</v>
      </c>
      <c r="J213" s="175">
        <f>SUM(J214:J215)</f>
        <v>19</v>
      </c>
      <c r="K213" s="96">
        <f t="shared" si="30"/>
        <v>0.1557377049180328</v>
      </c>
      <c r="L213" s="175">
        <f>SUM(L214:L215)</f>
        <v>6</v>
      </c>
    </row>
    <row r="214" spans="1:12" ht="12.75">
      <c r="A214" s="93" t="s">
        <v>184</v>
      </c>
      <c r="B214" s="42">
        <v>114433</v>
      </c>
      <c r="C214" s="42">
        <v>80455</v>
      </c>
      <c r="D214" s="42">
        <v>13629</v>
      </c>
      <c r="E214" s="201">
        <f t="shared" si="29"/>
        <v>0.11910025954051716</v>
      </c>
      <c r="F214" s="42">
        <f>D214-'[3]Augusts'!D214</f>
        <v>3913</v>
      </c>
      <c r="G214" s="93" t="s">
        <v>184</v>
      </c>
      <c r="H214" s="202">
        <f aca="true" t="shared" si="33" ref="H214:J215">ROUND(B214/1000,0)</f>
        <v>114</v>
      </c>
      <c r="I214" s="202">
        <f t="shared" si="33"/>
        <v>80</v>
      </c>
      <c r="J214" s="202">
        <f>ROUND(D214/1000,0)</f>
        <v>14</v>
      </c>
      <c r="K214" s="96">
        <f t="shared" si="30"/>
        <v>0.12280701754385964</v>
      </c>
      <c r="L214" s="202">
        <f>J214-'[3]Augusts'!J214</f>
        <v>5</v>
      </c>
    </row>
    <row r="215" spans="1:12" ht="12.75">
      <c r="A215" s="93" t="s">
        <v>185</v>
      </c>
      <c r="B215" s="42">
        <v>8135</v>
      </c>
      <c r="C215" s="42">
        <v>5424</v>
      </c>
      <c r="D215" s="42">
        <v>5306</v>
      </c>
      <c r="E215" s="201">
        <f t="shared" si="29"/>
        <v>0.6522433927473879</v>
      </c>
      <c r="F215" s="42">
        <f>D215-'[3]Augusts'!D215</f>
        <v>1406</v>
      </c>
      <c r="G215" s="93" t="s">
        <v>185</v>
      </c>
      <c r="H215" s="202">
        <f t="shared" si="33"/>
        <v>8</v>
      </c>
      <c r="I215" s="202">
        <f t="shared" si="33"/>
        <v>5</v>
      </c>
      <c r="J215" s="202">
        <f t="shared" si="33"/>
        <v>5</v>
      </c>
      <c r="K215" s="96">
        <f t="shared" si="30"/>
        <v>0.625</v>
      </c>
      <c r="L215" s="202">
        <f>J215-'[3]Augusts'!J215</f>
        <v>1</v>
      </c>
    </row>
    <row r="216" spans="1:12" ht="12.75">
      <c r="A216" s="93" t="s">
        <v>188</v>
      </c>
      <c r="B216" s="42">
        <f>SUM(B211-B213)</f>
        <v>-52580</v>
      </c>
      <c r="C216" s="42">
        <f>SUM(C211-C213)</f>
        <v>-39222</v>
      </c>
      <c r="D216" s="42">
        <f>SUM(D211-D213)</f>
        <v>38089</v>
      </c>
      <c r="E216" s="201">
        <f t="shared" si="29"/>
        <v>-0.7244009128946367</v>
      </c>
      <c r="F216" s="42">
        <f>SUM(F211-F213)</f>
        <v>-5319</v>
      </c>
      <c r="G216" s="93" t="s">
        <v>188</v>
      </c>
      <c r="H216" s="175">
        <f>SUM(H211-H213)</f>
        <v>-52</v>
      </c>
      <c r="I216" s="175">
        <f>SUM(I211-I213)</f>
        <v>-38</v>
      </c>
      <c r="J216" s="175">
        <f>SUM(J211-J213)</f>
        <v>38</v>
      </c>
      <c r="K216" s="96">
        <f t="shared" si="30"/>
        <v>-0.7307692307692307</v>
      </c>
      <c r="L216" s="175">
        <f>SUM(L211-L213)</f>
        <v>-6</v>
      </c>
    </row>
    <row r="217" spans="1:12" ht="12.75">
      <c r="A217" s="93" t="s">
        <v>174</v>
      </c>
      <c r="B217" s="42">
        <f>-B216</f>
        <v>52580</v>
      </c>
      <c r="C217" s="42"/>
      <c r="D217" s="42"/>
      <c r="E217" s="201">
        <f t="shared" si="29"/>
        <v>0</v>
      </c>
      <c r="F217" s="42">
        <f>-F216</f>
        <v>5319</v>
      </c>
      <c r="G217" s="93" t="s">
        <v>174</v>
      </c>
      <c r="H217" s="175">
        <f>-H216</f>
        <v>52</v>
      </c>
      <c r="I217" s="175"/>
      <c r="J217" s="175"/>
      <c r="K217" s="96"/>
      <c r="L217" s="175"/>
    </row>
    <row r="218" spans="1:12" ht="14.25">
      <c r="A218" s="216"/>
      <c r="B218" s="146"/>
      <c r="C218" s="146"/>
      <c r="D218" s="146"/>
      <c r="E218" s="146"/>
      <c r="G218" s="216"/>
      <c r="H218" s="146"/>
      <c r="I218" s="146"/>
      <c r="J218" s="146"/>
      <c r="K218" s="146"/>
      <c r="L218" s="4"/>
    </row>
    <row r="219" spans="1:12" ht="14.25">
      <c r="A219" s="216"/>
      <c r="B219" s="146"/>
      <c r="C219" s="146"/>
      <c r="D219" s="146"/>
      <c r="E219" s="146"/>
      <c r="G219" s="216"/>
      <c r="H219" s="146"/>
      <c r="I219" s="146"/>
      <c r="J219" s="146"/>
      <c r="K219" s="146"/>
      <c r="L219" s="4"/>
    </row>
    <row r="220" spans="1:12" ht="12.75">
      <c r="A220" s="143"/>
      <c r="B220" s="146"/>
      <c r="C220" s="146"/>
      <c r="D220" s="146"/>
      <c r="E220" s="146"/>
      <c r="G220" s="143"/>
      <c r="H220" s="146"/>
      <c r="I220" s="146"/>
      <c r="J220" s="146"/>
      <c r="K220" s="146"/>
      <c r="L220" s="4"/>
    </row>
    <row r="221" spans="1:12" ht="12.75">
      <c r="A221" s="77" t="s">
        <v>256</v>
      </c>
      <c r="B221" s="217"/>
      <c r="C221" s="217"/>
      <c r="D221" s="217"/>
      <c r="E221" s="109"/>
      <c r="G221" s="77"/>
      <c r="H221" s="217"/>
      <c r="I221" s="217"/>
      <c r="J221" s="217"/>
      <c r="K221" s="109"/>
      <c r="L221" s="4"/>
    </row>
    <row r="222" spans="1:12" ht="12.75">
      <c r="A222" s="65"/>
      <c r="B222" s="65"/>
      <c r="C222" s="65"/>
      <c r="D222" s="65"/>
      <c r="E222" s="56"/>
      <c r="G222" s="65"/>
      <c r="H222" s="65"/>
      <c r="I222" s="65"/>
      <c r="J222" s="65"/>
      <c r="K222" s="56"/>
      <c r="L222" s="4"/>
    </row>
    <row r="223" spans="1:12" ht="12.75">
      <c r="A223" s="65"/>
      <c r="B223" s="65"/>
      <c r="C223" s="65"/>
      <c r="D223" s="65"/>
      <c r="E223" s="56"/>
      <c r="G223" s="65"/>
      <c r="H223" s="65"/>
      <c r="I223" s="65"/>
      <c r="J223" s="65"/>
      <c r="K223" s="56"/>
      <c r="L223" s="4"/>
    </row>
    <row r="224" spans="1:12" ht="12.75">
      <c r="A224" s="65"/>
      <c r="B224" s="65"/>
      <c r="C224" s="65"/>
      <c r="D224" s="65"/>
      <c r="E224" s="56"/>
      <c r="G224" s="65"/>
      <c r="H224" s="65"/>
      <c r="I224" s="65"/>
      <c r="J224" s="65"/>
      <c r="K224" s="56"/>
      <c r="L224" s="4"/>
    </row>
    <row r="225" spans="1:12" ht="12.75">
      <c r="A225" s="65" t="s">
        <v>144</v>
      </c>
      <c r="B225" s="65"/>
      <c r="C225" s="65"/>
      <c r="D225" s="65"/>
      <c r="E225" s="56"/>
      <c r="G225" s="65"/>
      <c r="H225" s="65"/>
      <c r="I225" s="65"/>
      <c r="J225" s="65"/>
      <c r="K225" s="56"/>
      <c r="L225" s="4"/>
    </row>
    <row r="226" spans="1:12" ht="12.75">
      <c r="A226" s="65" t="s">
        <v>95</v>
      </c>
      <c r="B226" s="65"/>
      <c r="C226" s="65"/>
      <c r="D226" s="65"/>
      <c r="E226" s="56"/>
      <c r="G226" s="65"/>
      <c r="H226" s="65"/>
      <c r="I226" s="65"/>
      <c r="J226" s="65"/>
      <c r="K226" s="56"/>
      <c r="L226" s="4"/>
    </row>
    <row r="227" spans="1:12" ht="12.75">
      <c r="A227" s="65"/>
      <c r="B227" s="65"/>
      <c r="C227" s="65"/>
      <c r="D227" s="65"/>
      <c r="E227" s="56"/>
      <c r="G227" s="65"/>
      <c r="H227" s="65"/>
      <c r="I227" s="65"/>
      <c r="J227" s="65"/>
      <c r="K227" s="56"/>
      <c r="L227" s="4"/>
    </row>
    <row r="228" spans="1:12" ht="12.75">
      <c r="A228" s="65"/>
      <c r="B228" s="65"/>
      <c r="C228" s="65"/>
      <c r="D228" s="65"/>
      <c r="E228" s="56"/>
      <c r="G228" s="65"/>
      <c r="H228" s="65"/>
      <c r="I228" s="65"/>
      <c r="J228" s="65"/>
      <c r="K228" s="56"/>
      <c r="L228" s="4"/>
    </row>
    <row r="229" spans="2:11" ht="12.75">
      <c r="B229" s="65"/>
      <c r="C229" s="65"/>
      <c r="D229" s="65"/>
      <c r="E229" s="56"/>
      <c r="K229" s="218"/>
    </row>
    <row r="230" spans="1:11" ht="12.75">
      <c r="A230" s="65"/>
      <c r="B230" s="65"/>
      <c r="C230" s="65"/>
      <c r="D230" s="65"/>
      <c r="E230" s="56"/>
      <c r="K230" s="218"/>
    </row>
    <row r="231" spans="1:7" ht="12.75">
      <c r="A231" s="65"/>
      <c r="B231" s="65"/>
      <c r="C231" s="65"/>
      <c r="D231" s="65"/>
      <c r="E231" s="56"/>
      <c r="G231" s="77"/>
    </row>
    <row r="232" spans="1:7" ht="12.75">
      <c r="A232" s="65"/>
      <c r="B232" s="56"/>
      <c r="C232" s="56"/>
      <c r="D232" s="56"/>
      <c r="E232" s="56"/>
      <c r="G232" s="65"/>
    </row>
    <row r="233" spans="1:5" ht="12.75">
      <c r="A233" s="65"/>
      <c r="B233" s="56"/>
      <c r="C233" s="56"/>
      <c r="D233" s="56"/>
      <c r="E233" s="56"/>
    </row>
    <row r="234" spans="1:5" ht="12.75">
      <c r="A234" s="56"/>
      <c r="B234" s="56"/>
      <c r="C234" s="56"/>
      <c r="D234" s="56"/>
      <c r="E234" s="56"/>
    </row>
    <row r="235" spans="1:5" ht="12.75">
      <c r="A235" s="56"/>
      <c r="B235" s="56"/>
      <c r="C235" s="56"/>
      <c r="D235" s="56"/>
      <c r="E235" s="56"/>
    </row>
    <row r="236" spans="1:5" ht="12.75">
      <c r="A236" s="56"/>
      <c r="B236" s="56"/>
      <c r="C236" s="56"/>
      <c r="D236" s="56"/>
      <c r="E236" s="56"/>
    </row>
    <row r="237" spans="1:5" ht="12.75">
      <c r="A237" s="56"/>
      <c r="B237" s="56"/>
      <c r="C237" s="56"/>
      <c r="D237" s="56"/>
      <c r="E237" s="56"/>
    </row>
    <row r="238" spans="1:5" ht="12.75">
      <c r="A238" s="56"/>
      <c r="B238" s="56"/>
      <c r="C238" s="56"/>
      <c r="D238" s="56"/>
      <c r="E238" s="56"/>
    </row>
    <row r="239" spans="1:5" ht="12.75">
      <c r="A239" s="56"/>
      <c r="B239" s="56"/>
      <c r="C239" s="56"/>
      <c r="D239" s="56"/>
      <c r="E239" s="56"/>
    </row>
    <row r="240" spans="1:5" ht="12.75">
      <c r="A240" s="56"/>
      <c r="B240" s="56"/>
      <c r="C240" s="56"/>
      <c r="D240" s="56"/>
      <c r="E240" s="56"/>
    </row>
    <row r="241" spans="1:7" ht="12.75">
      <c r="A241" s="56"/>
      <c r="B241" s="56"/>
      <c r="C241" s="56"/>
      <c r="D241" s="56"/>
      <c r="E241" s="56"/>
      <c r="G241" s="77" t="s">
        <v>256</v>
      </c>
    </row>
    <row r="242" spans="1:5" ht="12.75">
      <c r="A242" s="56"/>
      <c r="B242" s="56"/>
      <c r="C242" s="56"/>
      <c r="D242" s="56"/>
      <c r="E242" s="56"/>
    </row>
    <row r="243" spans="1:5" ht="12.75">
      <c r="A243" s="56"/>
      <c r="B243" s="56"/>
      <c r="C243" s="56"/>
      <c r="D243" s="56"/>
      <c r="E243" s="56"/>
    </row>
    <row r="244" spans="1:5" ht="12.75">
      <c r="A244" s="56"/>
      <c r="B244" s="56"/>
      <c r="C244" s="56"/>
      <c r="D244" s="56"/>
      <c r="E244" s="56"/>
    </row>
    <row r="245" spans="1:5" ht="12.75">
      <c r="A245" s="56"/>
      <c r="B245" s="56"/>
      <c r="C245" s="56"/>
      <c r="D245" s="56"/>
      <c r="E245" s="56"/>
    </row>
    <row r="246" ht="12.75">
      <c r="G246" s="65" t="s">
        <v>144</v>
      </c>
    </row>
    <row r="247" ht="12.75">
      <c r="G247" s="65" t="s">
        <v>95</v>
      </c>
    </row>
  </sheetData>
  <mergeCells count="5">
    <mergeCell ref="G2:L2"/>
    <mergeCell ref="A4:F4"/>
    <mergeCell ref="G4:L4"/>
    <mergeCell ref="A5:F5"/>
    <mergeCell ref="G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23"/>
  <sheetViews>
    <sheetView workbookViewId="0" topLeftCell="H1">
      <selection activeCell="H7" sqref="H7"/>
    </sheetView>
  </sheetViews>
  <sheetFormatPr defaultColWidth="9.140625" defaultRowHeight="12.75"/>
  <cols>
    <col min="1" max="1" width="36.140625" style="70" customWidth="1"/>
    <col min="2" max="2" width="11.7109375" style="70" customWidth="1"/>
    <col min="3" max="4" width="11.421875" style="70" customWidth="1"/>
    <col min="5" max="5" width="9.140625" style="70" customWidth="1"/>
    <col min="6" max="6" width="8.28125" style="70" customWidth="1"/>
    <col min="7" max="7" width="10.28125" style="70" customWidth="1"/>
    <col min="8" max="8" width="32.8515625" style="70" customWidth="1"/>
    <col min="9" max="9" width="11.28125" style="70" customWidth="1"/>
    <col min="10" max="10" width="11.140625" style="70" customWidth="1"/>
    <col min="11" max="11" width="11.57421875" style="70" customWidth="1"/>
    <col min="12" max="12" width="11.421875" style="70" customWidth="1"/>
    <col min="13" max="13" width="11.7109375" style="70" customWidth="1"/>
    <col min="14" max="14" width="11.8515625" style="70" customWidth="1"/>
    <col min="15" max="16384" width="9.140625" style="70" customWidth="1"/>
  </cols>
  <sheetData>
    <row r="1" spans="1:14" ht="21" customHeight="1">
      <c r="A1" s="3" t="s">
        <v>145</v>
      </c>
      <c r="B1" s="3"/>
      <c r="C1" s="109"/>
      <c r="D1" s="109"/>
      <c r="E1" s="3"/>
      <c r="F1" s="3"/>
      <c r="G1" s="70" t="s">
        <v>146</v>
      </c>
      <c r="H1" s="3" t="s">
        <v>145</v>
      </c>
      <c r="I1" s="3"/>
      <c r="J1" s="109"/>
      <c r="K1" s="109"/>
      <c r="L1" s="3"/>
      <c r="M1" s="3"/>
      <c r="N1" s="74" t="s">
        <v>146</v>
      </c>
    </row>
    <row r="2" spans="1:11" ht="0.75" customHeight="1" hidden="1">
      <c r="A2" s="12"/>
      <c r="B2" s="12"/>
      <c r="C2" s="12"/>
      <c r="D2" s="12"/>
      <c r="H2" s="12"/>
      <c r="I2" s="12"/>
      <c r="J2" s="12"/>
      <c r="K2" s="12"/>
    </row>
    <row r="3" spans="1:11" ht="11.25" customHeight="1">
      <c r="A3" s="12"/>
      <c r="B3" s="12"/>
      <c r="C3" s="12"/>
      <c r="D3" s="12"/>
      <c r="H3" s="12"/>
      <c r="I3" s="12"/>
      <c r="J3" s="12"/>
      <c r="K3" s="12"/>
    </row>
    <row r="4" spans="1:14" ht="18.75" customHeight="1">
      <c r="A4" s="292" t="s">
        <v>440</v>
      </c>
      <c r="B4" s="292"/>
      <c r="C4" s="292"/>
      <c r="D4" s="292"/>
      <c r="E4" s="292"/>
      <c r="F4" s="292"/>
      <c r="G4" s="292"/>
      <c r="H4" s="292" t="s">
        <v>440</v>
      </c>
      <c r="I4" s="292"/>
      <c r="J4" s="292"/>
      <c r="K4" s="292"/>
      <c r="L4" s="292"/>
      <c r="M4" s="292"/>
      <c r="N4" s="292"/>
    </row>
    <row r="5" spans="1:14" ht="20.25" customHeight="1">
      <c r="A5" s="292" t="s">
        <v>147</v>
      </c>
      <c r="B5" s="292"/>
      <c r="C5" s="292"/>
      <c r="D5" s="292"/>
      <c r="E5" s="292"/>
      <c r="F5" s="292"/>
      <c r="G5" s="292"/>
      <c r="H5" s="292" t="s">
        <v>147</v>
      </c>
      <c r="I5" s="292"/>
      <c r="J5" s="292"/>
      <c r="K5" s="292"/>
      <c r="L5" s="292"/>
      <c r="M5" s="292"/>
      <c r="N5" s="292"/>
    </row>
    <row r="6" spans="1:14" ht="20.25" customHeight="1">
      <c r="A6" s="292" t="s">
        <v>67</v>
      </c>
      <c r="B6" s="292"/>
      <c r="C6" s="292"/>
      <c r="D6" s="292"/>
      <c r="E6" s="292"/>
      <c r="F6" s="292"/>
      <c r="G6" s="292"/>
      <c r="H6" s="292" t="s">
        <v>67</v>
      </c>
      <c r="I6" s="292"/>
      <c r="J6" s="292"/>
      <c r="K6" s="292"/>
      <c r="L6" s="292"/>
      <c r="M6" s="292"/>
      <c r="N6" s="292"/>
    </row>
    <row r="7" spans="1:14" ht="17.25" customHeight="1">
      <c r="A7" s="12"/>
      <c r="B7" s="12"/>
      <c r="C7" s="12"/>
      <c r="D7" s="12"/>
      <c r="G7" s="12"/>
      <c r="H7" s="12"/>
      <c r="I7" s="12"/>
      <c r="J7" s="12"/>
      <c r="K7" s="12"/>
      <c r="N7" s="113" t="s">
        <v>68</v>
      </c>
    </row>
    <row r="8" spans="1:14" ht="58.5" customHeight="1">
      <c r="A8" s="10" t="s">
        <v>7</v>
      </c>
      <c r="B8" s="10" t="s">
        <v>70</v>
      </c>
      <c r="C8" s="10" t="s">
        <v>112</v>
      </c>
      <c r="D8" s="10" t="s">
        <v>71</v>
      </c>
      <c r="E8" s="10" t="s">
        <v>148</v>
      </c>
      <c r="F8" s="10" t="s">
        <v>149</v>
      </c>
      <c r="G8" s="10" t="s">
        <v>16</v>
      </c>
      <c r="H8" s="10" t="s">
        <v>7</v>
      </c>
      <c r="I8" s="10" t="s">
        <v>70</v>
      </c>
      <c r="J8" s="10" t="s">
        <v>112</v>
      </c>
      <c r="K8" s="10" t="s">
        <v>71</v>
      </c>
      <c r="L8" s="10" t="s">
        <v>148</v>
      </c>
      <c r="M8" s="10" t="s">
        <v>149</v>
      </c>
      <c r="N8" s="10" t="s">
        <v>16</v>
      </c>
    </row>
    <row r="9" spans="1:14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>
        <v>6</v>
      </c>
      <c r="N9" s="10">
        <v>7</v>
      </c>
    </row>
    <row r="10" spans="1:14" ht="18.75" customHeight="1">
      <c r="A10" s="115" t="s">
        <v>150</v>
      </c>
      <c r="B10" s="116">
        <f>SUM(B11:B12)</f>
        <v>766212969</v>
      </c>
      <c r="C10" s="116">
        <f>SUM(C11:C12)</f>
        <v>562009621</v>
      </c>
      <c r="D10" s="116">
        <f>SUM(D11:D12)</f>
        <v>516405000</v>
      </c>
      <c r="E10" s="154">
        <f>IF(ISERROR(D10/B10)," ",(D10/B10))</f>
        <v>0.6739705811479159</v>
      </c>
      <c r="F10" s="154">
        <f>IF(ISERROR(D10/C10)," ",(D10/C10))</f>
        <v>0.9188543766940246</v>
      </c>
      <c r="G10" s="116">
        <f>SUM(G11:G12)</f>
        <v>60304875</v>
      </c>
      <c r="H10" s="115" t="s">
        <v>150</v>
      </c>
      <c r="I10" s="155">
        <f>SUM(I11:I12)</f>
        <v>766213</v>
      </c>
      <c r="J10" s="155">
        <f>SUM(J11:J12)</f>
        <v>562010</v>
      </c>
      <c r="K10" s="155">
        <f>SUM(K11:K12)</f>
        <v>516405</v>
      </c>
      <c r="L10" s="156">
        <f>IF(ISERROR(ROUND(K10,0)/ROUND(I10,0))," ",(ROUND(K10,)/ROUND(I10,)))</f>
        <v>0.6739705538799263</v>
      </c>
      <c r="M10" s="156">
        <f>IF(ISERROR(ROUND(K10,0)/ROUND(J10,0))," ",(ROUND(K10,)/ROUND(J10,)))</f>
        <v>0.9188537570505863</v>
      </c>
      <c r="N10" s="155">
        <f>SUM(N11:N12)</f>
        <v>60305</v>
      </c>
    </row>
    <row r="11" spans="1:14" ht="22.5" customHeight="1">
      <c r="A11" s="98" t="s">
        <v>151</v>
      </c>
      <c r="B11" s="114">
        <v>731465706</v>
      </c>
      <c r="C11" s="121">
        <f>191133650+36125915+36707916+37245916+38083147+39168533+40272492+42330940+40530940+38176546-1444000</f>
        <v>538331995</v>
      </c>
      <c r="D11" s="114">
        <f>507015000-775000</f>
        <v>506240000</v>
      </c>
      <c r="E11" s="96">
        <f aca="true" t="shared" si="0" ref="E11:E16">IF(ISERROR(D11/B11)," ",(D11/B11))</f>
        <v>0.6920898626517427</v>
      </c>
      <c r="F11" s="96">
        <f aca="true" t="shared" si="1" ref="F11:F16">IF(ISERROR(D11/C11)," ",(D11/C11))</f>
        <v>0.9403862387930333</v>
      </c>
      <c r="G11" s="46">
        <f>D11-'[2]Augusts'!D11</f>
        <v>59119214</v>
      </c>
      <c r="H11" s="98" t="s">
        <v>151</v>
      </c>
      <c r="I11" s="157">
        <f aca="true" t="shared" si="2" ref="I11:K12">ROUND(B11/1000,0)</f>
        <v>731466</v>
      </c>
      <c r="J11" s="157">
        <f t="shared" si="2"/>
        <v>538332</v>
      </c>
      <c r="K11" s="157">
        <f>ROUND(D11/1000,0)</f>
        <v>506240</v>
      </c>
      <c r="L11" s="96">
        <f aca="true" t="shared" si="3" ref="L11:L16">IF(ISERROR(ROUND(K11,0)/ROUND(I11,0))," ",(ROUND(K11,)/ROUND(I11,)))</f>
        <v>0.6920895844782943</v>
      </c>
      <c r="M11" s="96">
        <f aca="true" t="shared" si="4" ref="M11:M16">IF(ISERROR(ROUND(K11,0)/ROUND(J11,0))," ",(ROUND(K11,)/ROUND(J11,)))</f>
        <v>0.9403862300587741</v>
      </c>
      <c r="N11" s="157">
        <f>K11-'[2]Augusts'!K11</f>
        <v>59119</v>
      </c>
    </row>
    <row r="12" spans="1:14" ht="15.75" customHeight="1">
      <c r="A12" s="98" t="s">
        <v>152</v>
      </c>
      <c r="B12" s="114">
        <v>34747263</v>
      </c>
      <c r="C12" s="121">
        <v>23677626</v>
      </c>
      <c r="D12" s="114">
        <v>10165000</v>
      </c>
      <c r="E12" s="96">
        <f t="shared" si="0"/>
        <v>0.2925410269004497</v>
      </c>
      <c r="F12" s="96">
        <f t="shared" si="1"/>
        <v>0.4293082423043594</v>
      </c>
      <c r="G12" s="46">
        <f>D12-'[2]Augusts'!D12</f>
        <v>1185661</v>
      </c>
      <c r="H12" s="98" t="s">
        <v>152</v>
      </c>
      <c r="I12" s="157">
        <f t="shared" si="2"/>
        <v>34747</v>
      </c>
      <c r="J12" s="157">
        <f>ROUND(C12/1000,0)</f>
        <v>23678</v>
      </c>
      <c r="K12" s="157">
        <f t="shared" si="2"/>
        <v>10165</v>
      </c>
      <c r="L12" s="96">
        <f t="shared" si="3"/>
        <v>0.29254324114312025</v>
      </c>
      <c r="M12" s="96">
        <f t="shared" si="4"/>
        <v>0.4293014612720669</v>
      </c>
      <c r="N12" s="157">
        <f>K12-'[2]Augusts'!K12</f>
        <v>1186</v>
      </c>
    </row>
    <row r="13" spans="1:14" ht="21.75" customHeight="1">
      <c r="A13" s="115" t="s">
        <v>153</v>
      </c>
      <c r="B13" s="13">
        <f>SUM(B14,B40)</f>
        <v>858962243</v>
      </c>
      <c r="C13" s="13">
        <f>SUM(C14,C40)</f>
        <v>631146661</v>
      </c>
      <c r="D13" s="13">
        <f>SUM(D14,D40)</f>
        <v>586550420.28</v>
      </c>
      <c r="E13" s="154">
        <f t="shared" si="0"/>
        <v>0.6828593748561309</v>
      </c>
      <c r="F13" s="154">
        <f t="shared" si="1"/>
        <v>0.9293409226797763</v>
      </c>
      <c r="G13" s="13">
        <f>SUM(G14,G40)</f>
        <v>70465495.27999996</v>
      </c>
      <c r="H13" s="115" t="s">
        <v>153</v>
      </c>
      <c r="I13" s="158">
        <f>SUM(I14,I40)</f>
        <v>858962</v>
      </c>
      <c r="J13" s="158">
        <f>SUM(J14,J40)</f>
        <v>631147</v>
      </c>
      <c r="K13" s="158">
        <f>SUM(K14,K40)</f>
        <v>586550</v>
      </c>
      <c r="L13" s="156">
        <f t="shared" si="3"/>
        <v>0.682859078748536</v>
      </c>
      <c r="M13" s="156">
        <f t="shared" si="4"/>
        <v>0.9293397576158962</v>
      </c>
      <c r="N13" s="158">
        <f>SUM(N14,N40)</f>
        <v>70465</v>
      </c>
    </row>
    <row r="14" spans="1:14" ht="20.25" customHeight="1">
      <c r="A14" s="124" t="s">
        <v>119</v>
      </c>
      <c r="B14" s="84">
        <f>SUM(B15,B24,B27)</f>
        <v>809221988</v>
      </c>
      <c r="C14" s="84">
        <f>SUM(C15,C24,C27)</f>
        <v>588263118</v>
      </c>
      <c r="D14" s="84">
        <f>SUM(D15,D24,D27)</f>
        <v>549929019.28</v>
      </c>
      <c r="E14" s="154">
        <f t="shared" si="0"/>
        <v>0.6795774551790849</v>
      </c>
      <c r="F14" s="154">
        <f t="shared" si="1"/>
        <v>0.9348351145141823</v>
      </c>
      <c r="G14" s="84">
        <f>SUM(G15,G24,G27)</f>
        <v>63651777.27999996</v>
      </c>
      <c r="H14" s="124" t="s">
        <v>119</v>
      </c>
      <c r="I14" s="159">
        <f>SUM(I15,I24,I27)</f>
        <v>809222</v>
      </c>
      <c r="J14" s="159">
        <f>SUM(J15,J24,J27)</f>
        <v>588263</v>
      </c>
      <c r="K14" s="159">
        <f>SUM(K15,K24,K27)</f>
        <v>549929</v>
      </c>
      <c r="L14" s="156">
        <f t="shared" si="3"/>
        <v>0.6795774212762382</v>
      </c>
      <c r="M14" s="156">
        <f t="shared" si="4"/>
        <v>0.9348352692588179</v>
      </c>
      <c r="N14" s="159">
        <f>SUM(N15,N24,N27)</f>
        <v>63652</v>
      </c>
    </row>
    <row r="15" spans="1:14" ht="18.75" customHeight="1">
      <c r="A15" s="125" t="s">
        <v>120</v>
      </c>
      <c r="B15" s="160">
        <v>84202331</v>
      </c>
      <c r="C15" s="160">
        <f>62025379+499787+500727+381090+589889+434889+342889+364889+338679+520489-1444000</f>
        <v>64554707</v>
      </c>
      <c r="D15" s="160">
        <f>SUM(D16,D17,D18,D23)</f>
        <v>47453581</v>
      </c>
      <c r="E15" s="154">
        <f t="shared" si="0"/>
        <v>0.5635661202775966</v>
      </c>
      <c r="F15" s="154">
        <f t="shared" si="1"/>
        <v>0.7350909516172074</v>
      </c>
      <c r="G15" s="160">
        <f>SUM(G16,G17,G18,G23)</f>
        <v>5871882</v>
      </c>
      <c r="H15" s="125" t="s">
        <v>120</v>
      </c>
      <c r="I15" s="161">
        <f>ROUND(B15/1000,0)</f>
        <v>84202</v>
      </c>
      <c r="J15" s="161">
        <f>ROUND(C15/1000,0)</f>
        <v>64555</v>
      </c>
      <c r="K15" s="162">
        <f>SUM(K16,K17,K18,K23)</f>
        <v>47454</v>
      </c>
      <c r="L15" s="154">
        <f t="shared" si="3"/>
        <v>0.5635733117978196</v>
      </c>
      <c r="M15" s="154">
        <f t="shared" si="4"/>
        <v>0.7350941058012548</v>
      </c>
      <c r="N15" s="163">
        <f>SUM(N16,N17,N18,N23)</f>
        <v>5872</v>
      </c>
    </row>
    <row r="16" spans="1:14" ht="12.75">
      <c r="A16" s="93" t="s">
        <v>121</v>
      </c>
      <c r="B16" s="164">
        <v>13936016</v>
      </c>
      <c r="C16" s="164">
        <f>10800334+7037+7037+7037+18086+15000+11000+9000+9000+9889</f>
        <v>10893420</v>
      </c>
      <c r="D16" s="164">
        <v>10051830</v>
      </c>
      <c r="E16" s="96">
        <f t="shared" si="0"/>
        <v>0.7212843326241876</v>
      </c>
      <c r="F16" s="96">
        <f t="shared" si="1"/>
        <v>0.9227432707083726</v>
      </c>
      <c r="G16" s="164">
        <f>D16-'[2]Augusts'!D16</f>
        <v>1075785</v>
      </c>
      <c r="H16" s="93" t="s">
        <v>121</v>
      </c>
      <c r="I16" s="165">
        <f>ROUND(B16/1000,0)</f>
        <v>13936</v>
      </c>
      <c r="J16" s="165">
        <f>ROUND(C16/1000,0)</f>
        <v>10893</v>
      </c>
      <c r="K16" s="157">
        <f>ROUND(D16/1000,0)</f>
        <v>10052</v>
      </c>
      <c r="L16" s="96">
        <f t="shared" si="3"/>
        <v>0.7212973593570609</v>
      </c>
      <c r="M16" s="96">
        <f t="shared" si="4"/>
        <v>0.9227944551546865</v>
      </c>
      <c r="N16" s="157">
        <f>K16-'[2]Augusts'!K16</f>
        <v>1076</v>
      </c>
    </row>
    <row r="17" spans="1:14" ht="22.5">
      <c r="A17" s="98" t="s">
        <v>154</v>
      </c>
      <c r="B17" s="38" t="s">
        <v>19</v>
      </c>
      <c r="C17" s="38" t="s">
        <v>19</v>
      </c>
      <c r="D17" s="164">
        <v>2704783</v>
      </c>
      <c r="E17" s="166" t="s">
        <v>19</v>
      </c>
      <c r="F17" s="38" t="s">
        <v>19</v>
      </c>
      <c r="G17" s="164">
        <f>D17-'[2]Augusts'!D17</f>
        <v>304276</v>
      </c>
      <c r="H17" s="98" t="s">
        <v>154</v>
      </c>
      <c r="I17" s="167" t="s">
        <v>19</v>
      </c>
      <c r="J17" s="167" t="s">
        <v>19</v>
      </c>
      <c r="K17" s="157">
        <f aca="true" t="shared" si="5" ref="K17:K22">ROUND(D17/1000,0)</f>
        <v>2705</v>
      </c>
      <c r="L17" s="166" t="s">
        <v>19</v>
      </c>
      <c r="M17" s="38" t="s">
        <v>19</v>
      </c>
      <c r="N17" s="157">
        <f>K17-'[2]Augusts'!K17</f>
        <v>304</v>
      </c>
    </row>
    <row r="18" spans="1:14" ht="12.75">
      <c r="A18" s="98" t="s">
        <v>123</v>
      </c>
      <c r="B18" s="38" t="s">
        <v>19</v>
      </c>
      <c r="C18" s="38" t="s">
        <v>19</v>
      </c>
      <c r="D18" s="164">
        <f>SUM(D19:D22)</f>
        <v>33251807</v>
      </c>
      <c r="E18" s="166" t="s">
        <v>19</v>
      </c>
      <c r="F18" s="38" t="s">
        <v>19</v>
      </c>
      <c r="G18" s="164">
        <f>G19+G20+G21+G22</f>
        <v>4347672</v>
      </c>
      <c r="H18" s="98" t="s">
        <v>123</v>
      </c>
      <c r="I18" s="167" t="s">
        <v>19</v>
      </c>
      <c r="J18" s="167" t="s">
        <v>19</v>
      </c>
      <c r="K18" s="157">
        <f t="shared" si="5"/>
        <v>33252</v>
      </c>
      <c r="L18" s="166" t="s">
        <v>19</v>
      </c>
      <c r="M18" s="38" t="s">
        <v>19</v>
      </c>
      <c r="N18" s="157">
        <f>N19+N20+N21+N22</f>
        <v>4348</v>
      </c>
    </row>
    <row r="19" spans="1:14" s="22" customFormat="1" ht="21.75" customHeight="1">
      <c r="A19" s="130" t="s">
        <v>124</v>
      </c>
      <c r="B19" s="19" t="s">
        <v>19</v>
      </c>
      <c r="C19" s="19" t="s">
        <v>19</v>
      </c>
      <c r="D19" s="168">
        <f>31990218</f>
        <v>31990218</v>
      </c>
      <c r="E19" s="169" t="s">
        <v>19</v>
      </c>
      <c r="F19" s="19" t="s">
        <v>19</v>
      </c>
      <c r="G19" s="164">
        <f>D19-'[2]Augusts'!D19</f>
        <v>4135924</v>
      </c>
      <c r="H19" s="130" t="s">
        <v>124</v>
      </c>
      <c r="I19" s="170" t="s">
        <v>19</v>
      </c>
      <c r="J19" s="170" t="s">
        <v>19</v>
      </c>
      <c r="K19" s="171">
        <f>ROUND(D19/1000,0)</f>
        <v>31990</v>
      </c>
      <c r="L19" s="169" t="s">
        <v>19</v>
      </c>
      <c r="M19" s="19" t="s">
        <v>19</v>
      </c>
      <c r="N19" s="171">
        <f>K19-'[2]Augusts'!K19</f>
        <v>4136</v>
      </c>
    </row>
    <row r="20" spans="1:14" s="22" customFormat="1" ht="0.75" customHeight="1" hidden="1">
      <c r="A20" s="130" t="s">
        <v>155</v>
      </c>
      <c r="B20" s="20"/>
      <c r="C20" s="19" t="s">
        <v>19</v>
      </c>
      <c r="D20" s="168"/>
      <c r="E20" s="172" t="str">
        <f>IF(ISERROR(D20/B20)," ",(D20/B20))</f>
        <v> </v>
      </c>
      <c r="F20" s="173" t="s">
        <v>19</v>
      </c>
      <c r="G20" s="164"/>
      <c r="H20" s="130" t="s">
        <v>155</v>
      </c>
      <c r="I20" s="171">
        <f>ROUND(B20/1000,0)</f>
        <v>0</v>
      </c>
      <c r="J20" s="170" t="s">
        <v>19</v>
      </c>
      <c r="K20" s="171">
        <f t="shared" si="5"/>
        <v>0</v>
      </c>
      <c r="L20" s="172" t="str">
        <f>IF(ISERROR(ROUND(K20,0)/ROUND(I20,0))," ",(ROUND(K20,)/ROUND(I20,)))</f>
        <v> </v>
      </c>
      <c r="M20" s="173" t="s">
        <v>19</v>
      </c>
      <c r="N20" s="171"/>
    </row>
    <row r="21" spans="1:14" s="22" customFormat="1" ht="25.5" customHeight="1">
      <c r="A21" s="130" t="s">
        <v>156</v>
      </c>
      <c r="B21" s="20">
        <v>7138000</v>
      </c>
      <c r="C21" s="19" t="s">
        <v>19</v>
      </c>
      <c r="D21" s="168">
        <v>827000</v>
      </c>
      <c r="E21" s="172">
        <f>IF(ISERROR(D21/B21)," ",(D21/B21))</f>
        <v>0.1158587839731017</v>
      </c>
      <c r="F21" s="19" t="s">
        <v>19</v>
      </c>
      <c r="G21" s="164">
        <f>D21-'[2]Augusts'!D21</f>
        <v>46000</v>
      </c>
      <c r="H21" s="130" t="s">
        <v>156</v>
      </c>
      <c r="I21" s="171">
        <f>ROUND(B21/1000,0)</f>
        <v>7138</v>
      </c>
      <c r="J21" s="170" t="s">
        <v>19</v>
      </c>
      <c r="K21" s="171">
        <f t="shared" si="5"/>
        <v>827</v>
      </c>
      <c r="L21" s="172">
        <f>IF(ISERROR(ROUND(K21,0)/ROUND(I21,0))," ",(ROUND(K21,)/ROUND(I21,)))</f>
        <v>0.1158587839731017</v>
      </c>
      <c r="M21" s="19" t="s">
        <v>19</v>
      </c>
      <c r="N21" s="171">
        <f>K21-'[2]Augusts'!K21</f>
        <v>46</v>
      </c>
    </row>
    <row r="22" spans="1:14" s="22" customFormat="1" ht="12.75">
      <c r="A22" s="130" t="s">
        <v>157</v>
      </c>
      <c r="B22" s="19" t="s">
        <v>19</v>
      </c>
      <c r="C22" s="19" t="s">
        <v>19</v>
      </c>
      <c r="D22" s="168">
        <f>1209690-775101</f>
        <v>434589</v>
      </c>
      <c r="E22" s="169" t="s">
        <v>19</v>
      </c>
      <c r="F22" s="19" t="s">
        <v>19</v>
      </c>
      <c r="G22" s="164">
        <f>D22-'[2]Augusts'!D22</f>
        <v>165748</v>
      </c>
      <c r="H22" s="130" t="s">
        <v>157</v>
      </c>
      <c r="I22" s="170" t="s">
        <v>19</v>
      </c>
      <c r="J22" s="170" t="s">
        <v>19</v>
      </c>
      <c r="K22" s="171">
        <f t="shared" si="5"/>
        <v>435</v>
      </c>
      <c r="L22" s="169" t="s">
        <v>19</v>
      </c>
      <c r="M22" s="19" t="s">
        <v>19</v>
      </c>
      <c r="N22" s="171">
        <f>K22-'[2]Augusts'!K22</f>
        <v>166</v>
      </c>
    </row>
    <row r="23" spans="1:14" ht="12.75">
      <c r="A23" s="98" t="s">
        <v>126</v>
      </c>
      <c r="B23" s="38" t="s">
        <v>19</v>
      </c>
      <c r="C23" s="38" t="s">
        <v>19</v>
      </c>
      <c r="D23" s="164">
        <v>1445161</v>
      </c>
      <c r="E23" s="166" t="s">
        <v>19</v>
      </c>
      <c r="F23" s="38" t="s">
        <v>19</v>
      </c>
      <c r="G23" s="164">
        <f>D23-'[2]Augusts'!D23</f>
        <v>144149</v>
      </c>
      <c r="H23" s="98" t="s">
        <v>126</v>
      </c>
      <c r="I23" s="167" t="s">
        <v>19</v>
      </c>
      <c r="J23" s="167" t="s">
        <v>19</v>
      </c>
      <c r="K23" s="157">
        <f>ROUND(D23/1000,0)</f>
        <v>1445</v>
      </c>
      <c r="L23" s="166" t="s">
        <v>19</v>
      </c>
      <c r="M23" s="38" t="s">
        <v>19</v>
      </c>
      <c r="N23" s="157">
        <f>K23-'[2]Augusts'!K23</f>
        <v>144</v>
      </c>
    </row>
    <row r="24" spans="1:14" ht="26.25" customHeight="1">
      <c r="A24" s="133" t="s">
        <v>127</v>
      </c>
      <c r="B24" s="164">
        <v>3043213</v>
      </c>
      <c r="C24" s="164">
        <f>1762551+90000+95000+30000+14000+200000</f>
        <v>2191551</v>
      </c>
      <c r="D24" s="164">
        <f>SUM(D25:D26)</f>
        <v>1370520</v>
      </c>
      <c r="E24" s="96">
        <f>IF(ISERROR(D24/B24)," ",(D24/B24))</f>
        <v>0.4503529657634875</v>
      </c>
      <c r="F24" s="96">
        <f>IF(ISERROR(D24/C24)," ",(D24/C24))</f>
        <v>0.6253653234626984</v>
      </c>
      <c r="G24" s="164">
        <f>SUM(G25:G26)</f>
        <v>45135</v>
      </c>
      <c r="H24" s="133" t="s">
        <v>127</v>
      </c>
      <c r="I24" s="161">
        <f>ROUND(B24/1000,0)</f>
        <v>3043</v>
      </c>
      <c r="J24" s="161">
        <f>ROUND(C24/1000,0)-1</f>
        <v>2191</v>
      </c>
      <c r="K24" s="162">
        <f>SUM(K25:K26)</f>
        <v>1370</v>
      </c>
      <c r="L24" s="154">
        <f>IF(ISERROR(ROUND(K24,0)/ROUND(I24,0))," ",(ROUND(K24,)/ROUND(I24,)))</f>
        <v>0.4502136049950706</v>
      </c>
      <c r="M24" s="154">
        <f>IF(ISERROR(ROUND(K24,0)/ROUND(J24,0))," ",(ROUND(K24,)/ROUND(J24,)))</f>
        <v>0.6252852578731173</v>
      </c>
      <c r="N24" s="162">
        <f>SUM(N25:N26)</f>
        <v>45</v>
      </c>
    </row>
    <row r="25" spans="1:14" ht="23.25" customHeight="1">
      <c r="A25" s="98" t="s">
        <v>158</v>
      </c>
      <c r="B25" s="38" t="s">
        <v>19</v>
      </c>
      <c r="C25" s="38" t="s">
        <v>19</v>
      </c>
      <c r="D25" s="164">
        <v>417144</v>
      </c>
      <c r="E25" s="166" t="s">
        <v>19</v>
      </c>
      <c r="F25" s="38" t="s">
        <v>19</v>
      </c>
      <c r="G25" s="164">
        <f>D25-'[2]Augusts'!D25</f>
        <v>45141</v>
      </c>
      <c r="H25" s="98" t="s">
        <v>158</v>
      </c>
      <c r="I25" s="167" t="s">
        <v>19</v>
      </c>
      <c r="J25" s="167" t="s">
        <v>19</v>
      </c>
      <c r="K25" s="157">
        <f>ROUND(D25/1000,0)</f>
        <v>417</v>
      </c>
      <c r="L25" s="166" t="s">
        <v>19</v>
      </c>
      <c r="M25" s="38" t="s">
        <v>19</v>
      </c>
      <c r="N25" s="157">
        <f>K25-'[2]Augusts'!K25</f>
        <v>45</v>
      </c>
    </row>
    <row r="26" spans="1:14" ht="24.75" customHeight="1">
      <c r="A26" s="98" t="s">
        <v>159</v>
      </c>
      <c r="B26" s="38" t="s">
        <v>19</v>
      </c>
      <c r="C26" s="38" t="s">
        <v>19</v>
      </c>
      <c r="D26" s="164">
        <v>953376</v>
      </c>
      <c r="E26" s="166" t="s">
        <v>19</v>
      </c>
      <c r="F26" s="38" t="s">
        <v>19</v>
      </c>
      <c r="G26" s="164">
        <f>D26-'[2]Augusts'!D26</f>
        <v>-6</v>
      </c>
      <c r="H26" s="98" t="s">
        <v>159</v>
      </c>
      <c r="I26" s="167" t="s">
        <v>19</v>
      </c>
      <c r="J26" s="167" t="s">
        <v>19</v>
      </c>
      <c r="K26" s="157">
        <f>ROUND(D26/1000,0)</f>
        <v>953</v>
      </c>
      <c r="L26" s="166" t="s">
        <v>19</v>
      </c>
      <c r="M26" s="38" t="s">
        <v>19</v>
      </c>
      <c r="N26" s="157">
        <f>K26-'[2]Augusts'!K26</f>
        <v>0</v>
      </c>
    </row>
    <row r="27" spans="1:14" ht="16.5" customHeight="1">
      <c r="A27" s="134" t="s">
        <v>130</v>
      </c>
      <c r="B27" s="164">
        <v>721976444</v>
      </c>
      <c r="C27" s="164">
        <f>131748322+37328650+41271350+45237942+39713819+43384196+45653487+43488255+49077554+44613285</f>
        <v>521516860</v>
      </c>
      <c r="D27" s="164">
        <f>SUM(D28,D29,D30,D31,D34,D39)</f>
        <v>501104918.28</v>
      </c>
      <c r="E27" s="96">
        <f>IF(ISERROR(D27/B27)," ",(D27/B27))</f>
        <v>0.694073778229806</v>
      </c>
      <c r="F27" s="96">
        <f>IF(ISERROR(D27/C27)," ",(D27/C27))</f>
        <v>0.9608604375321633</v>
      </c>
      <c r="G27" s="174">
        <f>SUM(G28,G29,G30,G31,G34,G39)</f>
        <v>57734760.27999996</v>
      </c>
      <c r="H27" s="134" t="s">
        <v>130</v>
      </c>
      <c r="I27" s="161">
        <f>ROUND(B27/1000,0)+1</f>
        <v>721977</v>
      </c>
      <c r="J27" s="161">
        <f>ROUND(C27/1000,0)</f>
        <v>521517</v>
      </c>
      <c r="K27" s="162">
        <f>SUM(K28,K29,K30,K31,K34,K39)</f>
        <v>501105</v>
      </c>
      <c r="L27" s="154">
        <f>IF(ISERROR(ROUND(K27,0)/ROUND(I27,0))," ",(ROUND(K27,)/ROUND(I27,)))</f>
        <v>0.6940733569074915</v>
      </c>
      <c r="M27" s="154">
        <f>IF(ISERROR(ROUND(K27,0)/ROUND(J27,0))," ",(ROUND(K27,)/ROUND(J27,)))</f>
        <v>0.9608603362881747</v>
      </c>
      <c r="N27" s="162">
        <f>SUM(N28,N29,N30,N31,N34,N39)</f>
        <v>57735</v>
      </c>
    </row>
    <row r="28" spans="1:14" ht="15.75" customHeight="1">
      <c r="A28" s="93" t="s">
        <v>131</v>
      </c>
      <c r="B28" s="38" t="s">
        <v>19</v>
      </c>
      <c r="C28" s="38" t="s">
        <v>19</v>
      </c>
      <c r="D28" s="164">
        <v>1803093</v>
      </c>
      <c r="E28" s="166" t="s">
        <v>19</v>
      </c>
      <c r="F28" s="38" t="s">
        <v>19</v>
      </c>
      <c r="G28" s="164">
        <f>D28-'[2]Augusts'!D28</f>
        <v>96075</v>
      </c>
      <c r="H28" s="93" t="s">
        <v>131</v>
      </c>
      <c r="I28" s="167" t="s">
        <v>19</v>
      </c>
      <c r="J28" s="167" t="s">
        <v>19</v>
      </c>
      <c r="K28" s="157">
        <f>ROUND(D28/1000,0)</f>
        <v>1803</v>
      </c>
      <c r="L28" s="166" t="s">
        <v>19</v>
      </c>
      <c r="M28" s="38" t="s">
        <v>19</v>
      </c>
      <c r="N28" s="157">
        <f>K28-'[2]Augusts'!K28</f>
        <v>96</v>
      </c>
    </row>
    <row r="29" spans="1:14" ht="15" customHeight="1">
      <c r="A29" s="93" t="s">
        <v>132</v>
      </c>
      <c r="B29" s="38" t="s">
        <v>19</v>
      </c>
      <c r="C29" s="38" t="s">
        <v>19</v>
      </c>
      <c r="D29" s="164">
        <v>15896106</v>
      </c>
      <c r="E29" s="166" t="s">
        <v>19</v>
      </c>
      <c r="F29" s="38" t="s">
        <v>19</v>
      </c>
      <c r="G29" s="164">
        <f>D29-'[2]Augusts'!D29</f>
        <v>1941429</v>
      </c>
      <c r="H29" s="93" t="s">
        <v>132</v>
      </c>
      <c r="I29" s="167" t="s">
        <v>19</v>
      </c>
      <c r="J29" s="167" t="s">
        <v>19</v>
      </c>
      <c r="K29" s="157">
        <f>ROUND(D29/1000,0)</f>
        <v>15896</v>
      </c>
      <c r="L29" s="166" t="s">
        <v>19</v>
      </c>
      <c r="M29" s="38" t="s">
        <v>19</v>
      </c>
      <c r="N29" s="157">
        <f>K29-'[2]Augusts'!K29</f>
        <v>1941</v>
      </c>
    </row>
    <row r="30" spans="1:14" ht="1.5" customHeight="1" hidden="1">
      <c r="A30" s="98" t="s">
        <v>133</v>
      </c>
      <c r="B30" s="38" t="s">
        <v>19</v>
      </c>
      <c r="C30" s="38" t="s">
        <v>19</v>
      </c>
      <c r="D30" s="164"/>
      <c r="E30" s="166" t="s">
        <v>19</v>
      </c>
      <c r="F30" s="38" t="s">
        <v>19</v>
      </c>
      <c r="G30" s="164">
        <f>D30-'[2]Augusts'!D30</f>
        <v>0</v>
      </c>
      <c r="H30" s="98" t="s">
        <v>133</v>
      </c>
      <c r="I30" s="167" t="s">
        <v>19</v>
      </c>
      <c r="J30" s="167" t="s">
        <v>19</v>
      </c>
      <c r="K30" s="157">
        <f>ROUND(D30/1000,0)</f>
        <v>0</v>
      </c>
      <c r="L30" s="166" t="s">
        <v>19</v>
      </c>
      <c r="M30" s="38" t="s">
        <v>19</v>
      </c>
      <c r="N30" s="157">
        <f>K30-'[2]Augusts'!K30</f>
        <v>0</v>
      </c>
    </row>
    <row r="31" spans="1:14" ht="12.75">
      <c r="A31" s="98" t="s">
        <v>160</v>
      </c>
      <c r="B31" s="38" t="s">
        <v>19</v>
      </c>
      <c r="C31" s="38" t="s">
        <v>19</v>
      </c>
      <c r="D31" s="164">
        <f>SUM(D32:D33)</f>
        <v>110720892</v>
      </c>
      <c r="E31" s="166" t="s">
        <v>19</v>
      </c>
      <c r="F31" s="38" t="s">
        <v>19</v>
      </c>
      <c r="G31" s="164">
        <f>SUM(G32:G33)</f>
        <v>12175999</v>
      </c>
      <c r="H31" s="98" t="s">
        <v>160</v>
      </c>
      <c r="I31" s="167" t="s">
        <v>19</v>
      </c>
      <c r="J31" s="167" t="s">
        <v>19</v>
      </c>
      <c r="K31" s="175">
        <f>SUM(K32:K33)</f>
        <v>110721</v>
      </c>
      <c r="L31" s="166" t="s">
        <v>19</v>
      </c>
      <c r="M31" s="38" t="s">
        <v>19</v>
      </c>
      <c r="N31" s="175">
        <f>SUM(N32:N33)</f>
        <v>12176</v>
      </c>
    </row>
    <row r="32" spans="1:14" s="22" customFormat="1" ht="26.25" customHeight="1">
      <c r="A32" s="130" t="s">
        <v>161</v>
      </c>
      <c r="B32" s="20">
        <f>1201200+44616345</f>
        <v>45817545</v>
      </c>
      <c r="C32" s="19" t="s">
        <v>19</v>
      </c>
      <c r="D32" s="168">
        <f>9000385+900896</f>
        <v>9901281</v>
      </c>
      <c r="E32" s="96">
        <f>IF(ISERROR(D32/B32)," ",(D32/B32))</f>
        <v>0.2161023904707247</v>
      </c>
      <c r="F32" s="19" t="s">
        <v>19</v>
      </c>
      <c r="G32" s="164">
        <f>D32-'[2]Augusts'!D32</f>
        <v>224100</v>
      </c>
      <c r="H32" s="130" t="s">
        <v>155</v>
      </c>
      <c r="I32" s="171">
        <f>ROUND(B32/1000,0)</f>
        <v>45818</v>
      </c>
      <c r="J32" s="170" t="s">
        <v>19</v>
      </c>
      <c r="K32" s="171">
        <f>ROUND(D32/1000,0)</f>
        <v>9901</v>
      </c>
      <c r="L32" s="172">
        <f>IF(ISERROR(ROUND(K32,0)/ROUND(I32,0))," ",(ROUND(K32,)/ROUND(I32,)))</f>
        <v>0.2160941114845694</v>
      </c>
      <c r="M32" s="19" t="s">
        <v>19</v>
      </c>
      <c r="N32" s="171">
        <f>K32-'[2]Augusts'!K32</f>
        <v>224</v>
      </c>
    </row>
    <row r="33" spans="1:14" s="22" customFormat="1" ht="12.75">
      <c r="A33" s="130" t="s">
        <v>162</v>
      </c>
      <c r="B33" s="19" t="s">
        <v>19</v>
      </c>
      <c r="C33" s="19" t="s">
        <v>19</v>
      </c>
      <c r="D33" s="168">
        <f>102547507-900896-827000</f>
        <v>100819611</v>
      </c>
      <c r="E33" s="169" t="s">
        <v>19</v>
      </c>
      <c r="F33" s="19" t="s">
        <v>19</v>
      </c>
      <c r="G33" s="164">
        <f>D33-'[2]Augusts'!D33</f>
        <v>11951899</v>
      </c>
      <c r="H33" s="130" t="s">
        <v>162</v>
      </c>
      <c r="I33" s="170" t="s">
        <v>19</v>
      </c>
      <c r="J33" s="170" t="s">
        <v>19</v>
      </c>
      <c r="K33" s="171">
        <f>ROUND(D33/1000,0)</f>
        <v>100820</v>
      </c>
      <c r="L33" s="169" t="s">
        <v>19</v>
      </c>
      <c r="M33" s="19" t="s">
        <v>19</v>
      </c>
      <c r="N33" s="171">
        <f>K33-'[2]Augusts'!K33</f>
        <v>11952</v>
      </c>
    </row>
    <row r="34" spans="1:14" ht="15" customHeight="1">
      <c r="A34" s="98" t="s">
        <v>135</v>
      </c>
      <c r="B34" s="38" t="s">
        <v>19</v>
      </c>
      <c r="C34" s="38" t="s">
        <v>19</v>
      </c>
      <c r="D34" s="164">
        <f>SUM(D35:D38)</f>
        <v>372627809.28</v>
      </c>
      <c r="E34" s="166" t="s">
        <v>19</v>
      </c>
      <c r="F34" s="38" t="s">
        <v>19</v>
      </c>
      <c r="G34" s="164">
        <f>SUM(G35:G38)</f>
        <v>43505202.27999996</v>
      </c>
      <c r="H34" s="98" t="s">
        <v>135</v>
      </c>
      <c r="I34" s="167" t="s">
        <v>19</v>
      </c>
      <c r="J34" s="167" t="s">
        <v>19</v>
      </c>
      <c r="K34" s="175">
        <f>SUM(K35:K38)</f>
        <v>372628</v>
      </c>
      <c r="L34" s="166" t="s">
        <v>19</v>
      </c>
      <c r="M34" s="38" t="s">
        <v>19</v>
      </c>
      <c r="N34" s="175">
        <f>SUM(N35:N38)</f>
        <v>43506</v>
      </c>
    </row>
    <row r="35" spans="1:14" s="22" customFormat="1" ht="15" customHeight="1">
      <c r="A35" s="130" t="s">
        <v>163</v>
      </c>
      <c r="B35" s="19" t="s">
        <v>19</v>
      </c>
      <c r="C35" s="19" t="s">
        <v>19</v>
      </c>
      <c r="D35" s="168">
        <f>272759076.83+43852667.13+12653369.94+3185244.67+3670087.95+1982834.77</f>
        <v>338103281.28999996</v>
      </c>
      <c r="E35" s="169" t="s">
        <v>19</v>
      </c>
      <c r="F35" s="19" t="s">
        <v>19</v>
      </c>
      <c r="G35" s="164">
        <f>D35-'[2]Augusts'!D35</f>
        <v>40576202.28999996</v>
      </c>
      <c r="H35" s="130" t="s">
        <v>163</v>
      </c>
      <c r="I35" s="170" t="s">
        <v>19</v>
      </c>
      <c r="J35" s="170" t="s">
        <v>19</v>
      </c>
      <c r="K35" s="157">
        <f>ROUND(D35/1000,0)</f>
        <v>338103</v>
      </c>
      <c r="L35" s="169" t="s">
        <v>19</v>
      </c>
      <c r="M35" s="19" t="s">
        <v>19</v>
      </c>
      <c r="N35" s="171">
        <f>K35-'[2]Augusts'!K35</f>
        <v>40576</v>
      </c>
    </row>
    <row r="36" spans="1:14" s="22" customFormat="1" ht="15" customHeight="1">
      <c r="A36" s="130" t="s">
        <v>164</v>
      </c>
      <c r="B36" s="19" t="s">
        <v>19</v>
      </c>
      <c r="C36" s="19" t="s">
        <v>19</v>
      </c>
      <c r="D36" s="168">
        <f>5840599.62+3804496.81+2624143.09+9000+22469.93+21215796.54</f>
        <v>33516505.99</v>
      </c>
      <c r="E36" s="169" t="s">
        <v>19</v>
      </c>
      <c r="F36" s="19" t="s">
        <v>19</v>
      </c>
      <c r="G36" s="164">
        <f>D36-'[2]Augusts'!D36</f>
        <v>2543620.9899999984</v>
      </c>
      <c r="H36" s="130" t="s">
        <v>164</v>
      </c>
      <c r="I36" s="170" t="s">
        <v>19</v>
      </c>
      <c r="J36" s="170" t="s">
        <v>19</v>
      </c>
      <c r="K36" s="157">
        <f>ROUND(D36/1000,0)</f>
        <v>33517</v>
      </c>
      <c r="L36" s="169" t="s">
        <v>19</v>
      </c>
      <c r="M36" s="19" t="s">
        <v>19</v>
      </c>
      <c r="N36" s="171">
        <f>K36-'[2]Augusts'!K36</f>
        <v>2544</v>
      </c>
    </row>
    <row r="37" spans="1:14" s="22" customFormat="1" ht="15" customHeight="1">
      <c r="A37" s="130" t="s">
        <v>165</v>
      </c>
      <c r="B37" s="19" t="s">
        <v>19</v>
      </c>
      <c r="C37" s="19" t="s">
        <v>19</v>
      </c>
      <c r="D37" s="168">
        <f>788006-182</f>
        <v>787824</v>
      </c>
      <c r="E37" s="169" t="s">
        <v>19</v>
      </c>
      <c r="F37" s="19" t="s">
        <v>19</v>
      </c>
      <c r="G37" s="164">
        <f>D37-'[2]Augusts'!D37</f>
        <v>7387</v>
      </c>
      <c r="H37" s="130" t="s">
        <v>165</v>
      </c>
      <c r="I37" s="170" t="s">
        <v>19</v>
      </c>
      <c r="J37" s="170" t="s">
        <v>19</v>
      </c>
      <c r="K37" s="157">
        <f>ROUND(D37/1000,0)</f>
        <v>788</v>
      </c>
      <c r="L37" s="169" t="s">
        <v>19</v>
      </c>
      <c r="M37" s="19" t="s">
        <v>19</v>
      </c>
      <c r="N37" s="171">
        <f>K37-'[2]Augusts'!K37</f>
        <v>8</v>
      </c>
    </row>
    <row r="38" spans="1:14" s="22" customFormat="1" ht="15" customHeight="1">
      <c r="A38" s="130" t="s">
        <v>166</v>
      </c>
      <c r="B38" s="19" t="s">
        <v>19</v>
      </c>
      <c r="C38" s="19" t="s">
        <v>19</v>
      </c>
      <c r="D38" s="168">
        <f>207471+12727</f>
        <v>220198</v>
      </c>
      <c r="E38" s="169" t="s">
        <v>19</v>
      </c>
      <c r="F38" s="19" t="s">
        <v>19</v>
      </c>
      <c r="G38" s="164">
        <f>D38-'[2]Augusts'!D38</f>
        <v>377992</v>
      </c>
      <c r="H38" s="130" t="s">
        <v>166</v>
      </c>
      <c r="I38" s="170" t="s">
        <v>19</v>
      </c>
      <c r="J38" s="170" t="s">
        <v>19</v>
      </c>
      <c r="K38" s="171">
        <f>ROUND(D38/1000,0)</f>
        <v>220</v>
      </c>
      <c r="L38" s="169" t="s">
        <v>19</v>
      </c>
      <c r="M38" s="19" t="s">
        <v>19</v>
      </c>
      <c r="N38" s="171">
        <f>K38-'[2]Augusts'!K38</f>
        <v>378</v>
      </c>
    </row>
    <row r="39" spans="1:14" ht="12.75">
      <c r="A39" s="98" t="s">
        <v>167</v>
      </c>
      <c r="B39" s="48">
        <v>84198</v>
      </c>
      <c r="C39" s="48">
        <f>84198</f>
        <v>84198</v>
      </c>
      <c r="D39" s="164">
        <v>57018</v>
      </c>
      <c r="E39" s="96">
        <f>IF(ISERROR(D39/B39)," ",(D39/B39))</f>
        <v>0.6771894819354379</v>
      </c>
      <c r="F39" s="96">
        <f>IF(ISERROR(D39/C39)," ",(D39/C39))</f>
        <v>0.6771894819354379</v>
      </c>
      <c r="G39" s="164">
        <f>D39-'[2]Augusts'!D39</f>
        <v>16055</v>
      </c>
      <c r="H39" s="98" t="s">
        <v>167</v>
      </c>
      <c r="I39" s="157">
        <f>ROUND(B39/1000,0)</f>
        <v>84</v>
      </c>
      <c r="J39" s="157">
        <f>ROUND(C39/1000,0)</f>
        <v>84</v>
      </c>
      <c r="K39" s="157">
        <f>ROUND(D39/1000,0)</f>
        <v>57</v>
      </c>
      <c r="L39" s="96">
        <f>IF(ISERROR(ROUND(K39,0)/ROUND(I39,0))," ",(ROUND(K39,)/ROUND(I39,)))</f>
        <v>0.6785714285714286</v>
      </c>
      <c r="M39" s="96">
        <f>IF(ISERROR(ROUND(K39,0)/ROUND(J39,0))," ",(ROUND(K39,)/ROUND(J39,)))</f>
        <v>0.6785714285714286</v>
      </c>
      <c r="N39" s="157">
        <f>K39-'[2]Augusts'!K39</f>
        <v>16</v>
      </c>
    </row>
    <row r="40" spans="1:14" ht="32.25" customHeight="1">
      <c r="A40" s="135" t="s">
        <v>168</v>
      </c>
      <c r="B40" s="136">
        <f>SUM(B41:B42)</f>
        <v>49740255</v>
      </c>
      <c r="C40" s="136">
        <f>SUM(C41:C42)</f>
        <v>42883543</v>
      </c>
      <c r="D40" s="136">
        <f>SUM(D41:D42)</f>
        <v>36621401</v>
      </c>
      <c r="E40" s="154">
        <f>IF(ISERROR(D40/B40)," ",(D40/B40))</f>
        <v>0.7362527795645599</v>
      </c>
      <c r="F40" s="154">
        <f>IF(ISERROR(D40/C40)," ",(D40/C40))</f>
        <v>0.8539733062634307</v>
      </c>
      <c r="G40" s="136">
        <f>SUM(G41:G42)</f>
        <v>6813718</v>
      </c>
      <c r="H40" s="135" t="s">
        <v>168</v>
      </c>
      <c r="I40" s="86">
        <f>SUM(I41:I42)</f>
        <v>49740</v>
      </c>
      <c r="J40" s="86">
        <f>SUM(J41:J42)</f>
        <v>42884</v>
      </c>
      <c r="K40" s="86">
        <f>SUM(K41:K42)</f>
        <v>36621</v>
      </c>
      <c r="L40" s="87">
        <f>IF(ISERROR(ROUND(K40,0)/ROUND(I40,0))," ",(ROUND(K40,)/ROUND(I40,)))</f>
        <v>0.7362484921592279</v>
      </c>
      <c r="M40" s="87">
        <f>IF(ISERROR(ROUND(K40,0)/ROUND(J40,0))," ",(ROUND(K40,)/ROUND(J40,)))</f>
        <v>0.85395485495756</v>
      </c>
      <c r="N40" s="86">
        <f>SUM(N41:N42)</f>
        <v>6813</v>
      </c>
    </row>
    <row r="41" spans="1:14" ht="18" customHeight="1">
      <c r="A41" s="98" t="s">
        <v>137</v>
      </c>
      <c r="B41" s="48">
        <v>16386189</v>
      </c>
      <c r="C41" s="48">
        <f>15347974+5000+10000</f>
        <v>15362974</v>
      </c>
      <c r="D41" s="164">
        <v>15842479</v>
      </c>
      <c r="E41" s="96">
        <f>IF(ISERROR(D41/B41)," ",(D41/B41))</f>
        <v>0.966819008373454</v>
      </c>
      <c r="F41" s="96">
        <f>IF(ISERROR(D41/C41)," ",(D41/C41))</f>
        <v>1.0312117302287955</v>
      </c>
      <c r="G41" s="164">
        <f>D41-'[2]Augusts'!D41</f>
        <v>8072547</v>
      </c>
      <c r="H41" s="98" t="s">
        <v>137</v>
      </c>
      <c r="I41" s="165">
        <f aca="true" t="shared" si="6" ref="I41:K42">ROUND(B41/1000,0)</f>
        <v>16386</v>
      </c>
      <c r="J41" s="165">
        <f>ROUND(C41/1000,0)</f>
        <v>15363</v>
      </c>
      <c r="K41" s="157">
        <f>ROUND(D41/1000,0)</f>
        <v>15842</v>
      </c>
      <c r="L41" s="96">
        <f>IF(ISERROR(ROUND(K41,0)/ROUND(I41,0))," ",(ROUND(K41,)/ROUND(I41,)))</f>
        <v>0.96680092762114</v>
      </c>
      <c r="M41" s="96">
        <f>IF(ISERROR(ROUND(K41,0)/ROUND(J41,0))," ",(ROUND(K41,)/ROUND(J41,)))</f>
        <v>1.031178806222743</v>
      </c>
      <c r="N41" s="157">
        <f>K41-'[2]Augusts'!K41</f>
        <v>8072</v>
      </c>
    </row>
    <row r="42" spans="1:14" ht="15.75" customHeight="1">
      <c r="A42" s="98" t="s">
        <v>138</v>
      </c>
      <c r="B42" s="20">
        <v>33354066</v>
      </c>
      <c r="C42" s="48">
        <f>25092767+58000+66182+95182+782839+656269+44714+41525+107994+575097</f>
        <v>27520569</v>
      </c>
      <c r="D42" s="168">
        <v>20778922</v>
      </c>
      <c r="E42" s="96">
        <f>IF(ISERROR(D42/B42)," ",(D42/B42))</f>
        <v>0.6229801787883972</v>
      </c>
      <c r="F42" s="96">
        <f>IF(ISERROR(D42/C42)," ",(D42/C42))</f>
        <v>0.7550324268368143</v>
      </c>
      <c r="G42" s="164">
        <f>D42-'[2]Augusts'!D42</f>
        <v>-1258829</v>
      </c>
      <c r="H42" s="98" t="s">
        <v>138</v>
      </c>
      <c r="I42" s="165">
        <f t="shared" si="6"/>
        <v>33354</v>
      </c>
      <c r="J42" s="165">
        <f>ROUND(C42/1000,0)</f>
        <v>27521</v>
      </c>
      <c r="K42" s="157">
        <f t="shared" si="6"/>
        <v>20779</v>
      </c>
      <c r="L42" s="96">
        <f>IF(ISERROR(ROUND(K42,0)/ROUND(I42,0))," ",(ROUND(K42,)/ROUND(I42,)))</f>
        <v>0.6229837500749535</v>
      </c>
      <c r="M42" s="96">
        <f>IF(ISERROR(ROUND(K42,0)/ROUND(J42,0))," ",(ROUND(K42,)/ROUND(J42,)))</f>
        <v>0.7550234366483776</v>
      </c>
      <c r="N42" s="157">
        <f>K42-'[2]Augusts'!K42</f>
        <v>-1259</v>
      </c>
    </row>
    <row r="43" spans="1:14" ht="67.5" customHeight="1" hidden="1">
      <c r="A43" s="10" t="s">
        <v>7</v>
      </c>
      <c r="B43" s="10" t="s">
        <v>70</v>
      </c>
      <c r="C43" s="10" t="s">
        <v>112</v>
      </c>
      <c r="D43" s="10" t="s">
        <v>71</v>
      </c>
      <c r="E43" s="10" t="s">
        <v>148</v>
      </c>
      <c r="F43" s="10" t="s">
        <v>149</v>
      </c>
      <c r="G43" s="10" t="s">
        <v>169</v>
      </c>
      <c r="H43" s="10" t="s">
        <v>7</v>
      </c>
      <c r="I43" s="176" t="s">
        <v>70</v>
      </c>
      <c r="J43" s="10" t="s">
        <v>112</v>
      </c>
      <c r="K43" s="10" t="s">
        <v>71</v>
      </c>
      <c r="L43" s="10" t="s">
        <v>148</v>
      </c>
      <c r="M43" s="10" t="s">
        <v>149</v>
      </c>
      <c r="N43" s="10" t="s">
        <v>169</v>
      </c>
    </row>
    <row r="44" spans="1:14" ht="12.75" hidden="1">
      <c r="A44" s="10">
        <v>1</v>
      </c>
      <c r="B44" s="10">
        <v>2</v>
      </c>
      <c r="C44" s="10">
        <v>3</v>
      </c>
      <c r="D44" s="10">
        <v>4</v>
      </c>
      <c r="E44" s="10">
        <v>5</v>
      </c>
      <c r="F44" s="10">
        <v>6</v>
      </c>
      <c r="G44" s="10">
        <v>8</v>
      </c>
      <c r="H44" s="10">
        <v>1</v>
      </c>
      <c r="I44" s="176">
        <v>2</v>
      </c>
      <c r="J44" s="10">
        <v>3</v>
      </c>
      <c r="K44" s="10">
        <v>4</v>
      </c>
      <c r="L44" s="10">
        <v>5</v>
      </c>
      <c r="M44" s="10">
        <v>6</v>
      </c>
      <c r="N44" s="10">
        <v>8</v>
      </c>
    </row>
    <row r="45" spans="1:14" ht="30.75" customHeight="1">
      <c r="A45" s="177" t="s">
        <v>170</v>
      </c>
      <c r="B45" s="38">
        <v>3750750</v>
      </c>
      <c r="C45" s="38" t="s">
        <v>19</v>
      </c>
      <c r="D45" s="84">
        <f>SUM(D46-D47)</f>
        <v>1704746</v>
      </c>
      <c r="E45" s="166" t="s">
        <v>19</v>
      </c>
      <c r="F45" s="38" t="s">
        <v>19</v>
      </c>
      <c r="G45" s="84">
        <f>SUM(G46-G47)</f>
        <v>213432</v>
      </c>
      <c r="H45" s="177" t="s">
        <v>170</v>
      </c>
      <c r="I45" s="178">
        <f aca="true" t="shared" si="7" ref="I45:I51">ROUND(B45/1000,0)</f>
        <v>3751</v>
      </c>
      <c r="J45" s="167" t="s">
        <v>19</v>
      </c>
      <c r="K45" s="159">
        <f>SUM(K46-K47)</f>
        <v>1705</v>
      </c>
      <c r="L45" s="166" t="s">
        <v>19</v>
      </c>
      <c r="M45" s="38" t="s">
        <v>19</v>
      </c>
      <c r="N45" s="159">
        <f>SUM(N46-N47)</f>
        <v>213</v>
      </c>
    </row>
    <row r="46" spans="1:14" ht="19.5" customHeight="1">
      <c r="A46" s="93" t="s">
        <v>171</v>
      </c>
      <c r="B46" s="48"/>
      <c r="C46" s="38">
        <v>2911552</v>
      </c>
      <c r="D46" s="164">
        <v>1716033</v>
      </c>
      <c r="E46" s="96" t="str">
        <f aca="true" t="shared" si="8" ref="E46:E51">IF(ISERROR(D46/B46)," ",(D46/B46))</f>
        <v> </v>
      </c>
      <c r="F46" s="96">
        <f>IF(ISERROR(D46/C46)," ",(D46/C46))</f>
        <v>0.5893877217374102</v>
      </c>
      <c r="G46" s="164">
        <f>D46-'[2]Augusts'!D46</f>
        <v>223395</v>
      </c>
      <c r="H46" s="93" t="s">
        <v>171</v>
      </c>
      <c r="I46" s="167" t="s">
        <v>19</v>
      </c>
      <c r="J46" s="157">
        <f>ROUND(C46/1000,0)</f>
        <v>2912</v>
      </c>
      <c r="K46" s="157">
        <f>ROUND(D46/1000,0)</f>
        <v>1716</v>
      </c>
      <c r="L46" s="96" t="str">
        <f aca="true" t="shared" si="9" ref="L46:L51">IF(ISERROR(ROUND(K46,0)/ROUND(I46,0))," ",(ROUND(K46,)/ROUND(I46,)))</f>
        <v> </v>
      </c>
      <c r="M46" s="96">
        <f>IF(ISERROR(ROUND(K46,0)/ROUND(J46,0))," ",(ROUND(K46,)/ROUND(J46,)))</f>
        <v>0.5892857142857143</v>
      </c>
      <c r="N46" s="157">
        <f>K46-'[2]Augusts'!K46</f>
        <v>223</v>
      </c>
    </row>
    <row r="47" spans="1:14" ht="27.75" customHeight="1">
      <c r="A47" s="139" t="s">
        <v>172</v>
      </c>
      <c r="B47" s="48"/>
      <c r="C47" s="38">
        <v>1312</v>
      </c>
      <c r="D47" s="164">
        <v>11287</v>
      </c>
      <c r="E47" s="96" t="str">
        <f t="shared" si="8"/>
        <v> </v>
      </c>
      <c r="F47" s="96">
        <f>IF(ISERROR(D47/C47)," ",(D47/C47))</f>
        <v>8.602896341463415</v>
      </c>
      <c r="G47" s="164">
        <f>D47-'[2]Augusts'!D47</f>
        <v>9963</v>
      </c>
      <c r="H47" s="139" t="s">
        <v>172</v>
      </c>
      <c r="I47" s="167" t="s">
        <v>19</v>
      </c>
      <c r="J47" s="157">
        <f>ROUND(C47/1000,0)</f>
        <v>1</v>
      </c>
      <c r="K47" s="157">
        <f>ROUND(D47/1000,0)</f>
        <v>11</v>
      </c>
      <c r="L47" s="96" t="str">
        <f t="shared" si="9"/>
        <v> </v>
      </c>
      <c r="M47" s="96">
        <f>IF(ISERROR(ROUND(K47,0)/ROUND(J47,0))," ",(ROUND(K47,)/ROUND(J47,)))</f>
        <v>11</v>
      </c>
      <c r="N47" s="157">
        <f>K47-'[2]Augusts'!K47</f>
        <v>10</v>
      </c>
    </row>
    <row r="48" spans="1:163" s="39" customFormat="1" ht="21.75" customHeight="1">
      <c r="A48" s="177" t="s">
        <v>173</v>
      </c>
      <c r="B48" s="136">
        <v>-96500024</v>
      </c>
      <c r="C48" s="38" t="s">
        <v>19</v>
      </c>
      <c r="D48" s="136">
        <f>SUM(D10-D13-D45)</f>
        <v>-71850166.27999997</v>
      </c>
      <c r="E48" s="154">
        <f t="shared" si="8"/>
        <v>0.7445611234252125</v>
      </c>
      <c r="F48" s="38" t="s">
        <v>19</v>
      </c>
      <c r="G48" s="136">
        <f>SUM(G10-G13-G45)</f>
        <v>-10374052.279999956</v>
      </c>
      <c r="H48" s="177" t="s">
        <v>173</v>
      </c>
      <c r="I48" s="178">
        <f t="shared" si="7"/>
        <v>-96500</v>
      </c>
      <c r="J48" s="179" t="s">
        <v>19</v>
      </c>
      <c r="K48" s="86">
        <f>SUM(K10-K13-K45)</f>
        <v>-71850</v>
      </c>
      <c r="L48" s="87">
        <f t="shared" si="9"/>
        <v>0.744559585492228</v>
      </c>
      <c r="M48" s="137" t="s">
        <v>19</v>
      </c>
      <c r="N48" s="86">
        <f>SUM(N10-N13-N45)</f>
        <v>-10373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39" customFormat="1" ht="18" customHeight="1">
      <c r="A49" s="177" t="s">
        <v>140</v>
      </c>
      <c r="B49" s="84">
        <f>SUM(B50:B51)</f>
        <v>96500024</v>
      </c>
      <c r="C49" s="38" t="s">
        <v>19</v>
      </c>
      <c r="D49" s="84">
        <f>SUM(D50:D51)</f>
        <v>71850166</v>
      </c>
      <c r="E49" s="96">
        <f t="shared" si="8"/>
        <v>0.7445611205236592</v>
      </c>
      <c r="F49" s="38" t="s">
        <v>19</v>
      </c>
      <c r="G49" s="84">
        <f>SUM(G50:G51)</f>
        <v>10373052</v>
      </c>
      <c r="H49" s="177" t="s">
        <v>140</v>
      </c>
      <c r="I49" s="178">
        <f t="shared" si="7"/>
        <v>96500</v>
      </c>
      <c r="J49" s="179" t="s">
        <v>19</v>
      </c>
      <c r="K49" s="178">
        <f>K50+K51</f>
        <v>71850</v>
      </c>
      <c r="L49" s="87">
        <f t="shared" si="9"/>
        <v>0.744559585492228</v>
      </c>
      <c r="M49" s="137" t="s">
        <v>19</v>
      </c>
      <c r="N49" s="180">
        <f>SUM(N50:N51)</f>
        <v>10372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39" customFormat="1" ht="17.25" customHeight="1">
      <c r="A50" s="98" t="s">
        <v>174</v>
      </c>
      <c r="B50" s="48">
        <v>79270566</v>
      </c>
      <c r="C50" s="38" t="s">
        <v>19</v>
      </c>
      <c r="D50" s="164">
        <v>51852000</v>
      </c>
      <c r="E50" s="96">
        <f t="shared" si="8"/>
        <v>0.6541141638877663</v>
      </c>
      <c r="F50" s="38" t="s">
        <v>19</v>
      </c>
      <c r="G50" s="164">
        <f>D50-'[2]Augusts'!D50</f>
        <v>8768600</v>
      </c>
      <c r="H50" s="98" t="s">
        <v>174</v>
      </c>
      <c r="I50" s="157">
        <f t="shared" si="7"/>
        <v>79271</v>
      </c>
      <c r="J50" s="167" t="s">
        <v>19</v>
      </c>
      <c r="K50" s="157">
        <f>ROUND(D50/1000,0)</f>
        <v>51852</v>
      </c>
      <c r="L50" s="96">
        <f t="shared" si="9"/>
        <v>0.6541105826847144</v>
      </c>
      <c r="M50" s="38" t="s">
        <v>19</v>
      </c>
      <c r="N50" s="157">
        <f>K50-'[2]Augusts'!K50</f>
        <v>8769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39" customFormat="1" ht="39.75" customHeight="1">
      <c r="A51" s="98" t="s">
        <v>175</v>
      </c>
      <c r="B51" s="48">
        <v>17229458</v>
      </c>
      <c r="C51" s="38" t="s">
        <v>19</v>
      </c>
      <c r="D51" s="164">
        <v>19998166</v>
      </c>
      <c r="E51" s="96">
        <f t="shared" si="8"/>
        <v>1.1606961751205407</v>
      </c>
      <c r="F51" s="38" t="s">
        <v>19</v>
      </c>
      <c r="G51" s="164">
        <f>D51-'[2]Augusts'!D51</f>
        <v>1604452</v>
      </c>
      <c r="H51" s="98" t="s">
        <v>175</v>
      </c>
      <c r="I51" s="157">
        <f t="shared" si="7"/>
        <v>17229</v>
      </c>
      <c r="J51" s="167" t="s">
        <v>19</v>
      </c>
      <c r="K51" s="157">
        <f>ROUND(D51/1000,0)</f>
        <v>19998</v>
      </c>
      <c r="L51" s="96">
        <f t="shared" si="9"/>
        <v>1.1607173950896743</v>
      </c>
      <c r="M51" s="38" t="s">
        <v>19</v>
      </c>
      <c r="N51" s="157">
        <f>K51-'[2]Augusts'!K51</f>
        <v>1603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3" s="186" customFormat="1" ht="12.75">
      <c r="A52" s="181"/>
      <c r="B52" s="182"/>
      <c r="C52" s="182"/>
      <c r="D52" s="183"/>
      <c r="E52" s="184"/>
      <c r="F52" s="185"/>
      <c r="H52" s="181"/>
      <c r="I52" s="182"/>
      <c r="J52" s="182"/>
      <c r="K52" s="183"/>
      <c r="L52" s="184"/>
      <c r="M52" s="185"/>
    </row>
    <row r="53" spans="1:13" s="186" customFormat="1" ht="12.75">
      <c r="A53" s="181"/>
      <c r="B53" s="182"/>
      <c r="C53" s="182"/>
      <c r="D53" s="183"/>
      <c r="E53" s="184"/>
      <c r="F53" s="185"/>
      <c r="H53" s="181"/>
      <c r="I53" s="182"/>
      <c r="J53" s="182"/>
      <c r="K53" s="183"/>
      <c r="L53" s="184"/>
      <c r="M53" s="185"/>
    </row>
    <row r="54" spans="1:13" s="186" customFormat="1" ht="12.75">
      <c r="A54" s="181"/>
      <c r="B54" s="182"/>
      <c r="C54" s="182"/>
      <c r="D54" s="183"/>
      <c r="E54" s="184"/>
      <c r="F54" s="185"/>
      <c r="H54" s="181"/>
      <c r="I54" s="182"/>
      <c r="J54" s="182"/>
      <c r="K54" s="183"/>
      <c r="L54" s="184"/>
      <c r="M54" s="185"/>
    </row>
    <row r="55" spans="1:13" s="186" customFormat="1" ht="12.75">
      <c r="A55" s="181"/>
      <c r="B55" s="182"/>
      <c r="C55" s="182"/>
      <c r="D55" s="183"/>
      <c r="E55" s="184"/>
      <c r="F55" s="185"/>
      <c r="I55" s="182"/>
      <c r="J55" s="182"/>
      <c r="K55" s="183"/>
      <c r="L55" s="184"/>
      <c r="M55" s="185"/>
    </row>
    <row r="56" spans="1:13" s="186" customFormat="1" ht="12.75">
      <c r="A56" s="181"/>
      <c r="B56" s="182"/>
      <c r="C56" s="182"/>
      <c r="D56" s="183"/>
      <c r="E56" s="184"/>
      <c r="F56" s="185"/>
      <c r="I56" s="182"/>
      <c r="J56" s="182"/>
      <c r="K56" s="183"/>
      <c r="L56" s="184"/>
      <c r="M56" s="185"/>
    </row>
    <row r="57" spans="1:13" s="186" customFormat="1" ht="12.75">
      <c r="A57" s="181"/>
      <c r="B57" s="182"/>
      <c r="C57" s="182"/>
      <c r="D57" s="183"/>
      <c r="E57" s="184"/>
      <c r="F57" s="185"/>
      <c r="I57" s="182"/>
      <c r="J57" s="182"/>
      <c r="K57" s="183"/>
      <c r="L57" s="184"/>
      <c r="M57" s="185"/>
    </row>
    <row r="58" spans="1:13" ht="12.75">
      <c r="A58" s="187"/>
      <c r="B58" s="188"/>
      <c r="C58" s="188"/>
      <c r="D58" s="59"/>
      <c r="E58" s="184"/>
      <c r="F58" s="189"/>
      <c r="I58" s="188"/>
      <c r="J58" s="188"/>
      <c r="K58" s="59"/>
      <c r="L58" s="184"/>
      <c r="M58" s="189"/>
    </row>
    <row r="59" spans="1:13" ht="14.25">
      <c r="A59" s="101"/>
      <c r="B59" s="188"/>
      <c r="C59" s="188"/>
      <c r="D59" s="59"/>
      <c r="E59" s="190"/>
      <c r="F59" s="189"/>
      <c r="I59" s="188"/>
      <c r="J59" s="188"/>
      <c r="K59" s="59"/>
      <c r="L59" s="190"/>
      <c r="M59" s="189"/>
    </row>
    <row r="60" spans="1:13" ht="12.75">
      <c r="A60" s="77" t="s">
        <v>143</v>
      </c>
      <c r="B60" s="149"/>
      <c r="C60" s="149"/>
      <c r="D60" s="149"/>
      <c r="E60" s="191"/>
      <c r="F60" s="150"/>
      <c r="I60" s="149"/>
      <c r="J60" s="149"/>
      <c r="K60" s="149"/>
      <c r="L60" s="191"/>
      <c r="M60" s="150"/>
    </row>
    <row r="61" spans="1:13" ht="12.75">
      <c r="A61" s="8"/>
      <c r="B61" s="192"/>
      <c r="C61" s="193"/>
      <c r="D61" s="103"/>
      <c r="E61" s="99"/>
      <c r="F61" s="194"/>
      <c r="I61" s="192"/>
      <c r="J61" s="193"/>
      <c r="K61" s="103"/>
      <c r="L61" s="99"/>
      <c r="M61" s="194"/>
    </row>
    <row r="62" spans="1:13" ht="12.75">
      <c r="A62" s="8"/>
      <c r="B62" s="192"/>
      <c r="C62" s="193"/>
      <c r="D62" s="103"/>
      <c r="E62" s="99"/>
      <c r="F62" s="195"/>
      <c r="I62" s="192"/>
      <c r="J62" s="193"/>
      <c r="K62" s="103"/>
      <c r="L62" s="99"/>
      <c r="M62" s="195"/>
    </row>
    <row r="63" spans="1:13" ht="12.75">
      <c r="A63" s="8"/>
      <c r="B63" s="192"/>
      <c r="C63" s="193"/>
      <c r="D63" s="103"/>
      <c r="E63" s="99"/>
      <c r="F63" s="195"/>
      <c r="I63" s="192"/>
      <c r="J63" s="193"/>
      <c r="K63" s="103"/>
      <c r="L63" s="99"/>
      <c r="M63" s="195"/>
    </row>
    <row r="64" spans="1:13" ht="12.75">
      <c r="A64" s="8"/>
      <c r="B64" s="192"/>
      <c r="C64" s="193"/>
      <c r="D64" s="103"/>
      <c r="E64" s="99"/>
      <c r="F64" s="195"/>
      <c r="H64" s="8"/>
      <c r="I64" s="192"/>
      <c r="J64" s="193"/>
      <c r="K64" s="103"/>
      <c r="L64" s="99"/>
      <c r="M64" s="195"/>
    </row>
    <row r="65" spans="1:13" ht="12.75">
      <c r="A65" s="8"/>
      <c r="B65" s="192"/>
      <c r="C65" s="193"/>
      <c r="D65" s="103"/>
      <c r="E65" s="99"/>
      <c r="F65" s="195"/>
      <c r="H65" s="8"/>
      <c r="I65" s="192"/>
      <c r="J65" s="193"/>
      <c r="K65" s="103"/>
      <c r="L65" s="99"/>
      <c r="M65" s="195"/>
    </row>
    <row r="66" spans="1:13" ht="12.75">
      <c r="A66" s="8"/>
      <c r="B66" s="192"/>
      <c r="C66" s="193"/>
      <c r="D66" s="103"/>
      <c r="E66" s="99"/>
      <c r="F66" s="195"/>
      <c r="H66" s="8"/>
      <c r="I66" s="192"/>
      <c r="J66" s="193"/>
      <c r="K66" s="103"/>
      <c r="L66" s="99"/>
      <c r="M66" s="195"/>
    </row>
    <row r="67" spans="2:13" ht="12.75">
      <c r="B67" s="196"/>
      <c r="C67" s="196"/>
      <c r="E67" s="196"/>
      <c r="F67" s="196"/>
      <c r="I67" s="196"/>
      <c r="J67" s="196"/>
      <c r="L67" s="196"/>
      <c r="M67" s="196"/>
    </row>
    <row r="68" spans="2:13" ht="12.75">
      <c r="B68" s="196"/>
      <c r="C68" s="196"/>
      <c r="E68" s="196"/>
      <c r="F68" s="196"/>
      <c r="I68" s="196"/>
      <c r="J68" s="196"/>
      <c r="L68" s="196"/>
      <c r="M68" s="196"/>
    </row>
    <row r="69" spans="1:13" ht="12.75">
      <c r="A69" s="8" t="s">
        <v>144</v>
      </c>
      <c r="B69" s="196"/>
      <c r="C69" s="196"/>
      <c r="D69" s="12"/>
      <c r="E69" s="196"/>
      <c r="F69" s="196"/>
      <c r="H69" s="77" t="s">
        <v>143</v>
      </c>
      <c r="I69" s="196"/>
      <c r="J69" s="196"/>
      <c r="K69" s="12"/>
      <c r="L69" s="196"/>
      <c r="M69" s="196"/>
    </row>
    <row r="70" spans="1:13" ht="12.75">
      <c r="A70" s="8" t="s">
        <v>95</v>
      </c>
      <c r="B70" s="12"/>
      <c r="C70" s="12"/>
      <c r="D70" s="12"/>
      <c r="E70" s="196"/>
      <c r="F70" s="196"/>
      <c r="H70" s="181"/>
      <c r="I70" s="12"/>
      <c r="J70" s="12"/>
      <c r="K70" s="12"/>
      <c r="L70" s="196"/>
      <c r="M70" s="196"/>
    </row>
    <row r="71" spans="1:13" ht="12.75">
      <c r="A71" s="12"/>
      <c r="B71" s="12"/>
      <c r="C71" s="12"/>
      <c r="D71" s="12"/>
      <c r="E71" s="196"/>
      <c r="F71" s="196"/>
      <c r="H71" s="181"/>
      <c r="I71" s="12"/>
      <c r="J71" s="12"/>
      <c r="K71" s="12"/>
      <c r="L71" s="196"/>
      <c r="M71" s="196"/>
    </row>
    <row r="72" spans="1:13" ht="12.75">
      <c r="A72" s="12"/>
      <c r="B72" s="12"/>
      <c r="C72" s="12"/>
      <c r="D72" s="12"/>
      <c r="E72" s="196"/>
      <c r="F72" s="196"/>
      <c r="H72" s="187"/>
      <c r="I72" s="12"/>
      <c r="J72" s="12"/>
      <c r="K72" s="12"/>
      <c r="L72" s="196"/>
      <c r="M72" s="196"/>
    </row>
    <row r="73" spans="1:8" ht="14.25">
      <c r="A73" s="12"/>
      <c r="B73" s="12"/>
      <c r="C73" s="12"/>
      <c r="D73" s="12"/>
      <c r="E73" s="196"/>
      <c r="F73" s="196"/>
      <c r="H73" s="101"/>
    </row>
    <row r="74" spans="1:6" ht="12.75">
      <c r="A74" s="12"/>
      <c r="B74" s="12"/>
      <c r="C74" s="12"/>
      <c r="D74" s="12"/>
      <c r="E74" s="196"/>
      <c r="F74" s="196"/>
    </row>
    <row r="75" spans="1:8" ht="12.75">
      <c r="A75" s="12"/>
      <c r="B75" s="12"/>
      <c r="C75" s="12"/>
      <c r="D75" s="12"/>
      <c r="E75" s="196"/>
      <c r="F75" s="196"/>
      <c r="H75" s="8"/>
    </row>
    <row r="76" spans="1:8" ht="12.75">
      <c r="A76" s="12"/>
      <c r="B76" s="12"/>
      <c r="C76" s="12"/>
      <c r="D76" s="12"/>
      <c r="E76" s="196"/>
      <c r="F76" s="196"/>
      <c r="H76" s="8" t="s">
        <v>144</v>
      </c>
    </row>
    <row r="77" spans="1:8" ht="12.75">
      <c r="A77" s="12"/>
      <c r="B77" s="12"/>
      <c r="C77" s="12"/>
      <c r="D77" s="12"/>
      <c r="E77" s="196"/>
      <c r="F77" s="196"/>
      <c r="H77" s="8" t="s">
        <v>95</v>
      </c>
    </row>
    <row r="78" spans="1:6" ht="12.75">
      <c r="A78" s="12"/>
      <c r="B78" s="12"/>
      <c r="C78" s="12"/>
      <c r="D78" s="12"/>
      <c r="E78" s="196"/>
      <c r="F78" s="196"/>
    </row>
    <row r="79" spans="1:6" ht="12.75">
      <c r="A79" s="12"/>
      <c r="B79" s="12"/>
      <c r="C79" s="12"/>
      <c r="D79" s="12"/>
      <c r="E79" s="196"/>
      <c r="F79" s="196"/>
    </row>
    <row r="80" spans="1:6" ht="12.75">
      <c r="A80" s="12"/>
      <c r="B80" s="12"/>
      <c r="C80" s="12"/>
      <c r="D80" s="12"/>
      <c r="E80" s="196"/>
      <c r="F80" s="196"/>
    </row>
    <row r="81" spans="1:6" ht="12.75">
      <c r="A81" s="12"/>
      <c r="B81" s="12"/>
      <c r="C81" s="12"/>
      <c r="D81" s="12"/>
      <c r="E81" s="196"/>
      <c r="F81" s="196"/>
    </row>
    <row r="82" spans="1:6" ht="12.75">
      <c r="A82" s="12"/>
      <c r="B82" s="12"/>
      <c r="C82" s="12"/>
      <c r="D82" s="12"/>
      <c r="E82" s="196"/>
      <c r="F82" s="196"/>
    </row>
    <row r="83" spans="1:6" ht="12.75">
      <c r="A83" s="12"/>
      <c r="B83" s="12"/>
      <c r="C83" s="12"/>
      <c r="D83" s="12"/>
      <c r="E83" s="196"/>
      <c r="F83" s="196"/>
    </row>
    <row r="84" spans="1:6" ht="12.75">
      <c r="A84" s="12"/>
      <c r="B84" s="12"/>
      <c r="C84" s="12"/>
      <c r="D84" s="12"/>
      <c r="E84" s="196"/>
      <c r="F84" s="196"/>
    </row>
    <row r="85" spans="5:6" ht="12.75">
      <c r="E85" s="5"/>
      <c r="F85" s="5"/>
    </row>
    <row r="86" spans="5:6" ht="12.75">
      <c r="E86" s="5"/>
      <c r="F86" s="5"/>
    </row>
    <row r="87" spans="5:6" ht="12.75">
      <c r="E87" s="5"/>
      <c r="F87" s="5"/>
    </row>
    <row r="88" spans="5:6" ht="12.75">
      <c r="E88" s="5"/>
      <c r="F88" s="5"/>
    </row>
    <row r="89" spans="5:6" ht="12.75">
      <c r="E89" s="5"/>
      <c r="F89" s="5"/>
    </row>
    <row r="90" spans="5:6" ht="12.75">
      <c r="E90" s="5"/>
      <c r="F90" s="5"/>
    </row>
    <row r="91" spans="5:6" ht="12.75">
      <c r="E91" s="5"/>
      <c r="F91" s="5"/>
    </row>
    <row r="92" spans="5:6" ht="12.75">
      <c r="E92" s="5"/>
      <c r="F92" s="5"/>
    </row>
    <row r="93" spans="5:6" ht="12.75">
      <c r="E93" s="5"/>
      <c r="F93" s="5"/>
    </row>
    <row r="94" spans="5:6" ht="12.75">
      <c r="E94" s="5"/>
      <c r="F94" s="5"/>
    </row>
    <row r="95" spans="5:6" ht="12.75">
      <c r="E95" s="5"/>
      <c r="F95" s="5"/>
    </row>
    <row r="96" spans="5:6" ht="12.75">
      <c r="E96" s="5"/>
      <c r="F96" s="5"/>
    </row>
    <row r="97" spans="5:6" ht="12.75">
      <c r="E97" s="5"/>
      <c r="F97" s="5"/>
    </row>
    <row r="98" spans="5:6" ht="12.75">
      <c r="E98" s="5"/>
      <c r="F98" s="5"/>
    </row>
    <row r="99" spans="5:6" ht="12.75">
      <c r="E99" s="5"/>
      <c r="F99" s="5"/>
    </row>
    <row r="100" spans="5:6" ht="12.75">
      <c r="E100" s="5"/>
      <c r="F100" s="5"/>
    </row>
    <row r="101" spans="5:6" ht="12.75">
      <c r="E101" s="5"/>
      <c r="F101" s="5"/>
    </row>
    <row r="102" spans="5:6" ht="12.75">
      <c r="E102" s="5"/>
      <c r="F102" s="5"/>
    </row>
    <row r="103" spans="5:6" ht="12.75">
      <c r="E103" s="5"/>
      <c r="F103" s="5"/>
    </row>
    <row r="104" spans="5:6" ht="12.75">
      <c r="E104" s="5"/>
      <c r="F104" s="5"/>
    </row>
    <row r="105" spans="5:6" ht="12.75">
      <c r="E105" s="5"/>
      <c r="F105" s="5"/>
    </row>
    <row r="106" spans="5:6" ht="12.75">
      <c r="E106" s="5"/>
      <c r="F106" s="5"/>
    </row>
    <row r="107" spans="5:6" ht="12.75">
      <c r="E107" s="5"/>
      <c r="F107" s="5"/>
    </row>
    <row r="108" spans="5:6" ht="12.75">
      <c r="E108" s="5"/>
      <c r="F108" s="5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  <row r="129" spans="5:6" ht="12.75">
      <c r="E129" s="5"/>
      <c r="F129" s="5"/>
    </row>
    <row r="130" spans="5:6" ht="12.75">
      <c r="E130" s="5"/>
      <c r="F130" s="5"/>
    </row>
    <row r="131" spans="5:6" ht="12.75">
      <c r="E131" s="5"/>
      <c r="F131" s="5"/>
    </row>
    <row r="132" spans="5:6" ht="12.75">
      <c r="E132" s="5"/>
      <c r="F132" s="5"/>
    </row>
    <row r="133" spans="5:6" ht="12.75">
      <c r="E133" s="5"/>
      <c r="F133" s="5"/>
    </row>
    <row r="134" spans="5:6" ht="12.75">
      <c r="E134" s="5"/>
      <c r="F134" s="5"/>
    </row>
    <row r="135" spans="5:6" ht="12.75">
      <c r="E135" s="5"/>
      <c r="F135" s="5"/>
    </row>
    <row r="136" spans="5:6" ht="12.75">
      <c r="E136" s="5"/>
      <c r="F136" s="5"/>
    </row>
    <row r="137" spans="5:6" ht="12.75">
      <c r="E137" s="5"/>
      <c r="F137" s="5"/>
    </row>
    <row r="138" spans="5:6" ht="12.75">
      <c r="E138" s="5"/>
      <c r="F138" s="5"/>
    </row>
    <row r="139" spans="5:6" ht="12.75">
      <c r="E139" s="5"/>
      <c r="F139" s="5"/>
    </row>
    <row r="140" spans="5:6" ht="12.75">
      <c r="E140" s="5"/>
      <c r="F140" s="5"/>
    </row>
    <row r="141" spans="5:6" ht="12.75">
      <c r="E141" s="5"/>
      <c r="F141" s="5"/>
    </row>
    <row r="142" spans="5:6" ht="12.75">
      <c r="E142" s="5"/>
      <c r="F142" s="5"/>
    </row>
    <row r="143" spans="5:6" ht="12.75">
      <c r="E143" s="5"/>
      <c r="F143" s="5"/>
    </row>
    <row r="144" spans="5:6" ht="12.75">
      <c r="E144" s="5"/>
      <c r="F144" s="5"/>
    </row>
    <row r="145" spans="5:6" ht="12.75">
      <c r="E145" s="5"/>
      <c r="F145" s="5"/>
    </row>
    <row r="146" spans="5:6" ht="12.75">
      <c r="E146" s="5"/>
      <c r="F146" s="5"/>
    </row>
    <row r="147" spans="5:6" ht="12.75">
      <c r="E147" s="5"/>
      <c r="F147" s="5"/>
    </row>
    <row r="148" spans="5:6" ht="12.75">
      <c r="E148" s="5"/>
      <c r="F148" s="5"/>
    </row>
    <row r="149" spans="5:6" ht="12.75">
      <c r="E149" s="5"/>
      <c r="F149" s="5"/>
    </row>
    <row r="150" spans="5:6" ht="12.75">
      <c r="E150" s="5"/>
      <c r="F150" s="5"/>
    </row>
    <row r="151" spans="5:6" ht="12.75">
      <c r="E151" s="5"/>
      <c r="F151" s="5"/>
    </row>
    <row r="152" spans="5:6" ht="12.75">
      <c r="E152" s="5"/>
      <c r="F152" s="5"/>
    </row>
    <row r="153" spans="5:6" ht="12.75">
      <c r="E153" s="5"/>
      <c r="F153" s="5"/>
    </row>
    <row r="154" spans="5:6" ht="12.75">
      <c r="E154" s="5"/>
      <c r="F154" s="5"/>
    </row>
    <row r="155" spans="5:6" ht="12.75">
      <c r="E155" s="5"/>
      <c r="F155" s="5"/>
    </row>
    <row r="156" spans="5:6" ht="12.75">
      <c r="E156" s="5"/>
      <c r="F156" s="5"/>
    </row>
    <row r="157" spans="5:6" ht="12.75">
      <c r="E157" s="5"/>
      <c r="F157" s="5"/>
    </row>
    <row r="158" spans="5:6" ht="12.75">
      <c r="E158" s="5"/>
      <c r="F158" s="5"/>
    </row>
    <row r="159" spans="5:6" ht="12.75">
      <c r="E159" s="5"/>
      <c r="F159" s="5"/>
    </row>
    <row r="160" spans="5:6" ht="12.75">
      <c r="E160" s="5"/>
      <c r="F160" s="5"/>
    </row>
    <row r="161" spans="5:6" ht="12.75">
      <c r="E161" s="5"/>
      <c r="F161" s="5"/>
    </row>
    <row r="162" spans="5:6" ht="12.75">
      <c r="E162" s="5"/>
      <c r="F162" s="5"/>
    </row>
    <row r="163" spans="5:6" ht="12.75">
      <c r="E163" s="5"/>
      <c r="F163" s="5"/>
    </row>
    <row r="164" spans="5:6" ht="12.75">
      <c r="E164" s="5"/>
      <c r="F164" s="5"/>
    </row>
    <row r="165" spans="5:6" ht="12.75">
      <c r="E165" s="5"/>
      <c r="F165" s="5"/>
    </row>
    <row r="166" spans="5:6" ht="12.75">
      <c r="E166" s="5"/>
      <c r="F166" s="5"/>
    </row>
    <row r="167" spans="5:6" ht="12.75">
      <c r="E167" s="5"/>
      <c r="F167" s="5"/>
    </row>
    <row r="168" spans="5:6" ht="12.75">
      <c r="E168" s="5"/>
      <c r="F168" s="5"/>
    </row>
    <row r="169" spans="5:6" ht="12.75">
      <c r="E169" s="5"/>
      <c r="F169" s="5"/>
    </row>
    <row r="170" spans="5:6" ht="12.75">
      <c r="E170" s="5"/>
      <c r="F170" s="5"/>
    </row>
    <row r="171" spans="5:6" ht="12.75">
      <c r="E171" s="5"/>
      <c r="F171" s="5"/>
    </row>
    <row r="172" spans="5:6" ht="12.75">
      <c r="E172" s="5"/>
      <c r="F172" s="5"/>
    </row>
    <row r="173" spans="5:6" ht="12.75">
      <c r="E173" s="5"/>
      <c r="F173" s="5"/>
    </row>
    <row r="174" spans="5:6" ht="12.75">
      <c r="E174" s="5"/>
      <c r="F174" s="5"/>
    </row>
    <row r="175" spans="5:6" ht="12.75">
      <c r="E175" s="5"/>
      <c r="F175" s="5"/>
    </row>
    <row r="176" spans="5:6" ht="12.75">
      <c r="E176" s="5"/>
      <c r="F176" s="5"/>
    </row>
    <row r="177" spans="5:6" ht="12.75">
      <c r="E177" s="5"/>
      <c r="F177" s="5"/>
    </row>
    <row r="178" spans="5:6" ht="12.75">
      <c r="E178" s="5"/>
      <c r="F178" s="5"/>
    </row>
    <row r="179" spans="5:6" ht="12.75">
      <c r="E179" s="5"/>
      <c r="F179" s="5"/>
    </row>
    <row r="180" spans="5:6" ht="12.75">
      <c r="E180" s="5"/>
      <c r="F180" s="5"/>
    </row>
    <row r="181" spans="5:6" ht="12.75">
      <c r="E181" s="5"/>
      <c r="F181" s="5"/>
    </row>
    <row r="182" spans="5:6" ht="12.75">
      <c r="E182" s="5"/>
      <c r="F182" s="5"/>
    </row>
    <row r="183" spans="5:6" ht="12.75">
      <c r="E183" s="5"/>
      <c r="F183" s="5"/>
    </row>
    <row r="184" spans="5:6" ht="12.75">
      <c r="E184" s="5"/>
      <c r="F184" s="5"/>
    </row>
    <row r="185" spans="5:6" ht="12.75">
      <c r="E185" s="5"/>
      <c r="F185" s="5"/>
    </row>
    <row r="186" spans="5:6" ht="12.75">
      <c r="E186" s="5"/>
      <c r="F186" s="5"/>
    </row>
    <row r="187" spans="5:6" ht="12.75">
      <c r="E187" s="5"/>
      <c r="F187" s="5"/>
    </row>
    <row r="188" spans="5:6" ht="12.75">
      <c r="E188" s="5"/>
      <c r="F188" s="5"/>
    </row>
    <row r="189" spans="5:6" ht="12.75">
      <c r="E189" s="5"/>
      <c r="F189" s="5"/>
    </row>
    <row r="190" spans="5:6" ht="12.75">
      <c r="E190" s="5"/>
      <c r="F190" s="5"/>
    </row>
    <row r="191" spans="5:6" ht="12.75">
      <c r="E191" s="5"/>
      <c r="F191" s="5"/>
    </row>
    <row r="192" spans="5:6" ht="12.75">
      <c r="E192" s="5"/>
      <c r="F192" s="5"/>
    </row>
    <row r="193" spans="5:6" ht="12.75">
      <c r="E193" s="5"/>
      <c r="F193" s="5"/>
    </row>
    <row r="194" spans="5:6" ht="12.75">
      <c r="E194" s="5"/>
      <c r="F194" s="5"/>
    </row>
    <row r="195" spans="5:6" ht="12.75">
      <c r="E195" s="5"/>
      <c r="F195" s="5"/>
    </row>
    <row r="196" spans="5:6" ht="12.75">
      <c r="E196" s="5"/>
      <c r="F196" s="5"/>
    </row>
    <row r="197" spans="5:6" ht="12.75">
      <c r="E197" s="5"/>
      <c r="F197" s="5"/>
    </row>
    <row r="198" spans="5:6" ht="12.75">
      <c r="E198" s="5"/>
      <c r="F198" s="5"/>
    </row>
    <row r="199" spans="5:6" ht="12.75">
      <c r="E199" s="5"/>
      <c r="F199" s="5"/>
    </row>
    <row r="200" spans="5:6" ht="12.75">
      <c r="E200" s="5"/>
      <c r="F200" s="5"/>
    </row>
    <row r="201" spans="5:6" ht="12.75">
      <c r="E201" s="5"/>
      <c r="F201" s="5"/>
    </row>
    <row r="202" spans="5:6" ht="12.75">
      <c r="E202" s="5"/>
      <c r="F202" s="5"/>
    </row>
    <row r="203" spans="5:6" ht="12.75">
      <c r="E203" s="5"/>
      <c r="F203" s="5"/>
    </row>
    <row r="204" spans="5:6" ht="12.75">
      <c r="E204" s="5"/>
      <c r="F204" s="5"/>
    </row>
    <row r="205" spans="5:6" ht="12.75">
      <c r="E205" s="5"/>
      <c r="F205" s="5"/>
    </row>
    <row r="206" spans="5:6" ht="12.75">
      <c r="E206" s="5"/>
      <c r="F206" s="5"/>
    </row>
    <row r="207" spans="5:6" ht="12.75">
      <c r="E207" s="5"/>
      <c r="F207" s="5"/>
    </row>
    <row r="208" spans="5:6" ht="12.75">
      <c r="E208" s="5"/>
      <c r="F208" s="5"/>
    </row>
    <row r="209" spans="5:6" ht="12.75">
      <c r="E209" s="5"/>
      <c r="F209" s="5"/>
    </row>
    <row r="210" spans="5:6" ht="12.75">
      <c r="E210" s="5"/>
      <c r="F210" s="5"/>
    </row>
    <row r="211" spans="5:6" ht="12.75">
      <c r="E211" s="5"/>
      <c r="F211" s="5"/>
    </row>
    <row r="212" spans="5:6" ht="12.75">
      <c r="E212" s="5"/>
      <c r="F212" s="5"/>
    </row>
    <row r="213" spans="5:6" ht="12.75">
      <c r="E213" s="5"/>
      <c r="F213" s="5"/>
    </row>
    <row r="214" spans="5:6" ht="12.75">
      <c r="E214" s="5"/>
      <c r="F214" s="5"/>
    </row>
    <row r="215" spans="5:6" ht="12.75">
      <c r="E215" s="5"/>
      <c r="F215" s="5"/>
    </row>
    <row r="216" spans="5:6" ht="12.75">
      <c r="E216" s="5"/>
      <c r="F216" s="5"/>
    </row>
    <row r="217" spans="5:6" ht="12.75">
      <c r="E217" s="5"/>
      <c r="F217" s="5"/>
    </row>
    <row r="218" spans="5:6" ht="12.75">
      <c r="E218" s="5"/>
      <c r="F218" s="5"/>
    </row>
    <row r="219" spans="5:6" ht="12.75">
      <c r="E219" s="5"/>
      <c r="F219" s="5"/>
    </row>
    <row r="220" spans="5:6" ht="12.75">
      <c r="E220" s="5"/>
      <c r="F220" s="5"/>
    </row>
    <row r="221" spans="5:6" ht="12.75">
      <c r="E221" s="5"/>
      <c r="F221" s="5"/>
    </row>
    <row r="222" spans="5:6" ht="12.75">
      <c r="E222" s="5"/>
      <c r="F222" s="5"/>
    </row>
    <row r="223" spans="5:6" ht="12.75">
      <c r="E223" s="5"/>
      <c r="F223" s="5"/>
    </row>
    <row r="224" spans="5:6" ht="12.75">
      <c r="E224" s="5"/>
      <c r="F224" s="5"/>
    </row>
    <row r="225" spans="5:6" ht="12.75">
      <c r="E225" s="5"/>
      <c r="F225" s="5"/>
    </row>
    <row r="226" spans="5:6" ht="12.75">
      <c r="E226" s="5"/>
      <c r="F226" s="5"/>
    </row>
    <row r="227" spans="5:6" ht="12.75">
      <c r="E227" s="5"/>
      <c r="F227" s="5"/>
    </row>
    <row r="228" spans="5:6" ht="12.75">
      <c r="E228" s="5"/>
      <c r="F228" s="5"/>
    </row>
    <row r="229" spans="5:6" ht="12.75">
      <c r="E229" s="5"/>
      <c r="F229" s="5"/>
    </row>
    <row r="230" spans="5:6" ht="12.75">
      <c r="E230" s="5"/>
      <c r="F230" s="5"/>
    </row>
    <row r="231" spans="5:6" ht="12.75">
      <c r="E231" s="5"/>
      <c r="F231" s="5"/>
    </row>
    <row r="232" spans="5:6" ht="12.75">
      <c r="E232" s="5"/>
      <c r="F232" s="5"/>
    </row>
    <row r="233" spans="5:6" ht="12.75">
      <c r="E233" s="5"/>
      <c r="F233" s="5"/>
    </row>
    <row r="234" spans="5:6" ht="12.75">
      <c r="E234" s="5"/>
      <c r="F234" s="5"/>
    </row>
    <row r="235" spans="5:6" ht="12.75">
      <c r="E235" s="5"/>
      <c r="F235" s="5"/>
    </row>
    <row r="236" spans="5:6" ht="12.75">
      <c r="E236" s="5"/>
      <c r="F236" s="5"/>
    </row>
    <row r="237" spans="5:6" ht="12.75">
      <c r="E237" s="5"/>
      <c r="F237" s="5"/>
    </row>
    <row r="238" spans="5:6" ht="12.75">
      <c r="E238" s="5"/>
      <c r="F238" s="5"/>
    </row>
    <row r="239" spans="5:6" ht="12.75">
      <c r="E239" s="5"/>
      <c r="F239" s="5"/>
    </row>
    <row r="240" spans="5:6" ht="12.75">
      <c r="E240" s="5"/>
      <c r="F240" s="5"/>
    </row>
    <row r="241" spans="5:6" ht="12.75">
      <c r="E241" s="5"/>
      <c r="F241" s="5"/>
    </row>
    <row r="242" spans="5:6" ht="12.75">
      <c r="E242" s="5"/>
      <c r="F242" s="5"/>
    </row>
    <row r="243" spans="5:6" ht="12.75">
      <c r="E243" s="5"/>
      <c r="F243" s="5"/>
    </row>
    <row r="244" spans="5:6" ht="12.75">
      <c r="E244" s="5"/>
      <c r="F244" s="5"/>
    </row>
    <row r="245" spans="5:6" ht="12.75">
      <c r="E245" s="5"/>
      <c r="F245" s="5"/>
    </row>
    <row r="246" spans="5:6" ht="12.75">
      <c r="E246" s="5"/>
      <c r="F246" s="5"/>
    </row>
    <row r="247" spans="5:6" ht="12.75">
      <c r="E247" s="5"/>
      <c r="F247" s="5"/>
    </row>
    <row r="248" spans="5:6" ht="12.75">
      <c r="E248" s="5"/>
      <c r="F248" s="5"/>
    </row>
    <row r="249" spans="5:6" ht="12.75">
      <c r="E249" s="5"/>
      <c r="F249" s="5"/>
    </row>
    <row r="250" spans="5:6" ht="12.75">
      <c r="E250" s="5"/>
      <c r="F250" s="5"/>
    </row>
    <row r="251" spans="5:6" ht="12.75">
      <c r="E251" s="5"/>
      <c r="F251" s="5"/>
    </row>
    <row r="252" spans="5:6" ht="12.75">
      <c r="E252" s="5"/>
      <c r="F252" s="5"/>
    </row>
    <row r="253" spans="5:6" ht="12.75">
      <c r="E253" s="5"/>
      <c r="F253" s="5"/>
    </row>
    <row r="254" spans="5:6" ht="12.75">
      <c r="E254" s="5"/>
      <c r="F254" s="5"/>
    </row>
    <row r="255" spans="5:6" ht="12.75">
      <c r="E255" s="5"/>
      <c r="F255" s="5"/>
    </row>
    <row r="256" spans="5:6" ht="12.75">
      <c r="E256" s="5"/>
      <c r="F256" s="5"/>
    </row>
    <row r="257" spans="5:6" ht="12.75">
      <c r="E257" s="5"/>
      <c r="F257" s="5"/>
    </row>
    <row r="258" spans="5:6" ht="12.75">
      <c r="E258" s="5"/>
      <c r="F258" s="5"/>
    </row>
    <row r="259" spans="5:6" ht="12.75">
      <c r="E259" s="5"/>
      <c r="F259" s="5"/>
    </row>
    <row r="260" spans="5:6" ht="12.75">
      <c r="E260" s="5"/>
      <c r="F260" s="5"/>
    </row>
    <row r="261" spans="5:6" ht="12.75">
      <c r="E261" s="5"/>
      <c r="F261" s="5"/>
    </row>
    <row r="262" spans="5:6" ht="12.75">
      <c r="E262" s="5"/>
      <c r="F262" s="5"/>
    </row>
    <row r="263" spans="5:6" ht="12.75">
      <c r="E263" s="5"/>
      <c r="F263" s="5"/>
    </row>
    <row r="264" spans="5:6" ht="12.75">
      <c r="E264" s="5"/>
      <c r="F264" s="5"/>
    </row>
    <row r="265" spans="5:6" ht="12.75">
      <c r="E265" s="5"/>
      <c r="F265" s="5"/>
    </row>
    <row r="266" spans="5:6" ht="12.75">
      <c r="E266" s="5"/>
      <c r="F266" s="5"/>
    </row>
    <row r="267" spans="5:6" ht="12.75">
      <c r="E267" s="5"/>
      <c r="F267" s="5"/>
    </row>
    <row r="268" spans="5:6" ht="12.75">
      <c r="E268" s="5"/>
      <c r="F268" s="5"/>
    </row>
    <row r="269" spans="5:6" ht="12.75">
      <c r="E269" s="5"/>
      <c r="F269" s="5"/>
    </row>
    <row r="270" spans="5:6" ht="12.75">
      <c r="E270" s="5"/>
      <c r="F270" s="5"/>
    </row>
    <row r="271" spans="5:6" ht="12.75">
      <c r="E271" s="5"/>
      <c r="F271" s="5"/>
    </row>
    <row r="272" spans="5:6" ht="12.75">
      <c r="E272" s="5"/>
      <c r="F272" s="5"/>
    </row>
    <row r="273" spans="5:6" ht="12.75">
      <c r="E273" s="5"/>
      <c r="F273" s="5"/>
    </row>
    <row r="274" spans="5:6" ht="12.75">
      <c r="E274" s="5"/>
      <c r="F274" s="5"/>
    </row>
    <row r="275" spans="5:6" ht="12.75">
      <c r="E275" s="5"/>
      <c r="F275" s="5"/>
    </row>
    <row r="276" spans="5:6" ht="12.75">
      <c r="E276" s="5"/>
      <c r="F276" s="5"/>
    </row>
    <row r="277" spans="5:6" ht="12.75">
      <c r="E277" s="5"/>
      <c r="F277" s="5"/>
    </row>
    <row r="278" spans="5:6" ht="12.75">
      <c r="E278" s="5"/>
      <c r="F278" s="5"/>
    </row>
    <row r="279" spans="5:6" ht="12.75">
      <c r="E279" s="5"/>
      <c r="F279" s="5"/>
    </row>
    <row r="280" spans="5:6" ht="12.75">
      <c r="E280" s="5"/>
      <c r="F280" s="5"/>
    </row>
    <row r="281" spans="5:6" ht="12.75">
      <c r="E281" s="5"/>
      <c r="F281" s="5"/>
    </row>
    <row r="282" spans="5:6" ht="12.75">
      <c r="E282" s="5"/>
      <c r="F282" s="5"/>
    </row>
    <row r="283" spans="5:6" ht="12.75">
      <c r="E283" s="5"/>
      <c r="F283" s="5"/>
    </row>
    <row r="284" spans="5:6" ht="12.75">
      <c r="E284" s="5"/>
      <c r="F284" s="5"/>
    </row>
    <row r="285" spans="5:6" ht="12.75">
      <c r="E285" s="5"/>
      <c r="F285" s="5"/>
    </row>
    <row r="286" spans="5:6" ht="12.75">
      <c r="E286" s="5"/>
      <c r="F286" s="5"/>
    </row>
    <row r="287" spans="5:6" ht="12.75">
      <c r="E287" s="5"/>
      <c r="F287" s="5"/>
    </row>
    <row r="288" spans="5:6" ht="12.75">
      <c r="E288" s="5"/>
      <c r="F288" s="5"/>
    </row>
    <row r="289" spans="5:6" ht="12.75">
      <c r="E289" s="5"/>
      <c r="F289" s="5"/>
    </row>
    <row r="290" spans="5:6" ht="12.75">
      <c r="E290" s="5"/>
      <c r="F290" s="5"/>
    </row>
    <row r="291" spans="5:6" ht="12.75">
      <c r="E291" s="5"/>
      <c r="F291" s="5"/>
    </row>
    <row r="292" spans="5:6" ht="12.75">
      <c r="E292" s="5"/>
      <c r="F292" s="5"/>
    </row>
    <row r="293" spans="5:6" ht="12.75">
      <c r="E293" s="5"/>
      <c r="F293" s="5"/>
    </row>
    <row r="294" spans="5:6" ht="12.75">
      <c r="E294" s="5"/>
      <c r="F294" s="5"/>
    </row>
    <row r="295" spans="5:6" ht="12.75">
      <c r="E295" s="5"/>
      <c r="F295" s="5"/>
    </row>
    <row r="296" spans="5:6" ht="12.75">
      <c r="E296" s="5"/>
      <c r="F296" s="5"/>
    </row>
    <row r="297" spans="5:6" ht="12.75">
      <c r="E297" s="5"/>
      <c r="F297" s="5"/>
    </row>
    <row r="298" spans="5:6" ht="12.75">
      <c r="E298" s="5"/>
      <c r="F298" s="5"/>
    </row>
    <row r="299" spans="5:6" ht="12.75">
      <c r="E299" s="5"/>
      <c r="F299" s="5"/>
    </row>
    <row r="300" spans="5:6" ht="12.75">
      <c r="E300" s="5"/>
      <c r="F300" s="5"/>
    </row>
    <row r="301" spans="5:6" ht="12.75">
      <c r="E301" s="5"/>
      <c r="F301" s="5"/>
    </row>
    <row r="302" spans="5:6" ht="12.75">
      <c r="E302" s="5"/>
      <c r="F302" s="5"/>
    </row>
    <row r="303" spans="5:6" ht="12.75">
      <c r="E303" s="5"/>
      <c r="F303" s="5"/>
    </row>
    <row r="304" spans="5:6" ht="12.75">
      <c r="E304" s="5"/>
      <c r="F304" s="5"/>
    </row>
    <row r="305" spans="5:6" ht="12.75">
      <c r="E305" s="5"/>
      <c r="F305" s="5"/>
    </row>
    <row r="306" spans="5:6" ht="12.75">
      <c r="E306" s="5"/>
      <c r="F306" s="5"/>
    </row>
    <row r="307" spans="5:6" ht="12.75">
      <c r="E307" s="5"/>
      <c r="F307" s="5"/>
    </row>
    <row r="308" spans="5:6" ht="12.75">
      <c r="E308" s="5"/>
      <c r="F308" s="5"/>
    </row>
    <row r="309" spans="5:6" ht="12.75">
      <c r="E309" s="5"/>
      <c r="F309" s="5"/>
    </row>
    <row r="310" spans="5:6" ht="12.75">
      <c r="E310" s="5"/>
      <c r="F310" s="5"/>
    </row>
    <row r="311" spans="5:6" ht="12.75">
      <c r="E311" s="5"/>
      <c r="F311" s="5"/>
    </row>
    <row r="312" spans="5:6" ht="12.75">
      <c r="E312" s="5"/>
      <c r="F312" s="5"/>
    </row>
    <row r="313" spans="5:6" ht="12.75">
      <c r="E313" s="5"/>
      <c r="F313" s="5"/>
    </row>
    <row r="314" spans="5:6" ht="12.75">
      <c r="E314" s="5"/>
      <c r="F314" s="5"/>
    </row>
    <row r="315" spans="5:6" ht="12.75">
      <c r="E315" s="5"/>
      <c r="F315" s="5"/>
    </row>
    <row r="316" spans="5:6" ht="12.75">
      <c r="E316" s="5"/>
      <c r="F316" s="5"/>
    </row>
    <row r="317" spans="5:6" ht="12.75">
      <c r="E317" s="5"/>
      <c r="F317" s="5"/>
    </row>
    <row r="318" spans="5:6" ht="12.75">
      <c r="E318" s="5"/>
      <c r="F318" s="5"/>
    </row>
    <row r="319" spans="5:6" ht="12.75">
      <c r="E319" s="5"/>
      <c r="F319" s="5"/>
    </row>
    <row r="320" spans="5:6" ht="12.75">
      <c r="E320" s="5"/>
      <c r="F320" s="5"/>
    </row>
    <row r="321" spans="5:6" ht="12.75">
      <c r="E321" s="5"/>
      <c r="F321" s="5"/>
    </row>
    <row r="322" spans="5:6" ht="12.75">
      <c r="E322" s="5"/>
      <c r="F322" s="5"/>
    </row>
    <row r="323" spans="5:6" ht="12.75">
      <c r="E323" s="5"/>
      <c r="F323" s="5"/>
    </row>
  </sheetData>
  <mergeCells count="6">
    <mergeCell ref="H4:N4"/>
    <mergeCell ref="H5:N5"/>
    <mergeCell ref="H6:N6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F1">
      <selection activeCell="A7" sqref="A7"/>
    </sheetView>
  </sheetViews>
  <sheetFormatPr defaultColWidth="9.140625" defaultRowHeight="12.75"/>
  <cols>
    <col min="1" max="1" width="41.00390625" style="4" hidden="1" customWidth="1"/>
    <col min="2" max="2" width="12.28125" style="4" hidden="1" customWidth="1"/>
    <col min="3" max="3" width="13.00390625" style="4" hidden="1" customWidth="1"/>
    <col min="4" max="4" width="12.7109375" style="4" hidden="1" customWidth="1"/>
    <col min="5" max="5" width="12.140625" style="4" hidden="1" customWidth="1"/>
    <col min="6" max="6" width="41.421875" style="4" customWidth="1"/>
    <col min="7" max="7" width="13.421875" style="4" customWidth="1"/>
    <col min="8" max="8" width="15.00390625" style="4" customWidth="1"/>
    <col min="9" max="9" width="12.7109375" style="4" customWidth="1"/>
    <col min="10" max="10" width="13.00390625" style="4" customWidth="1"/>
    <col min="11" max="16384" width="9.140625" style="4" customWidth="1"/>
  </cols>
  <sheetData>
    <row r="1" spans="1:10" ht="17.25" customHeight="1">
      <c r="A1" s="3" t="s">
        <v>108</v>
      </c>
      <c r="B1" s="109"/>
      <c r="C1" s="109"/>
      <c r="D1" s="3"/>
      <c r="E1" s="4" t="s">
        <v>109</v>
      </c>
      <c r="F1" s="3" t="s">
        <v>108</v>
      </c>
      <c r="G1" s="109"/>
      <c r="H1" s="109"/>
      <c r="I1" s="3"/>
      <c r="J1" s="74" t="s">
        <v>109</v>
      </c>
    </row>
    <row r="2" spans="1:10" ht="1.5" customHeight="1" hidden="1">
      <c r="A2" s="56"/>
      <c r="B2" s="56"/>
      <c r="C2" s="56"/>
      <c r="E2" s="56"/>
      <c r="F2" s="56"/>
      <c r="G2" s="56"/>
      <c r="H2" s="56"/>
      <c r="J2" s="56"/>
    </row>
    <row r="3" spans="1:10" ht="15.75" customHeight="1">
      <c r="A3" s="56"/>
      <c r="B3" s="56"/>
      <c r="C3" s="56"/>
      <c r="E3" s="56"/>
      <c r="F3" s="56"/>
      <c r="G3" s="56"/>
      <c r="H3" s="56"/>
      <c r="J3" s="56"/>
    </row>
    <row r="4" spans="1:10" ht="20.25">
      <c r="A4" s="110" t="s">
        <v>110</v>
      </c>
      <c r="B4" s="111"/>
      <c r="C4" s="111"/>
      <c r="D4" s="111"/>
      <c r="E4" s="111"/>
      <c r="F4" s="110" t="s">
        <v>110</v>
      </c>
      <c r="G4" s="111"/>
      <c r="H4" s="111"/>
      <c r="I4" s="111"/>
      <c r="J4" s="111"/>
    </row>
    <row r="5" spans="1:10" ht="20.25">
      <c r="A5" s="106" t="s">
        <v>111</v>
      </c>
      <c r="B5" s="112"/>
      <c r="C5" s="112"/>
      <c r="D5" s="112"/>
      <c r="E5" s="112"/>
      <c r="F5" s="106" t="s">
        <v>111</v>
      </c>
      <c r="G5" s="112"/>
      <c r="H5" s="112"/>
      <c r="I5" s="112"/>
      <c r="J5" s="112"/>
    </row>
    <row r="6" spans="1:10" ht="12.75">
      <c r="A6" s="56"/>
      <c r="B6" s="56"/>
      <c r="C6" s="56"/>
      <c r="E6" s="56" t="s">
        <v>68</v>
      </c>
      <c r="F6" s="56"/>
      <c r="G6" s="56"/>
      <c r="H6" s="56"/>
      <c r="J6" s="113" t="s">
        <v>68</v>
      </c>
    </row>
    <row r="7" spans="1:10" ht="33.75">
      <c r="A7" s="114" t="s">
        <v>7</v>
      </c>
      <c r="B7" s="114" t="s">
        <v>112</v>
      </c>
      <c r="C7" s="114" t="s">
        <v>71</v>
      </c>
      <c r="D7" s="114" t="s">
        <v>113</v>
      </c>
      <c r="E7" s="10" t="s">
        <v>16</v>
      </c>
      <c r="F7" s="114" t="s">
        <v>7</v>
      </c>
      <c r="G7" s="114" t="s">
        <v>114</v>
      </c>
      <c r="H7" s="114" t="s">
        <v>71</v>
      </c>
      <c r="I7" s="114" t="s">
        <v>113</v>
      </c>
      <c r="J7" s="10" t="s">
        <v>16</v>
      </c>
    </row>
    <row r="8" spans="1:10" ht="12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1</v>
      </c>
      <c r="G8" s="114">
        <v>2</v>
      </c>
      <c r="H8" s="114">
        <v>3</v>
      </c>
      <c r="I8" s="114">
        <v>4</v>
      </c>
      <c r="J8" s="114">
        <v>5</v>
      </c>
    </row>
    <row r="9" spans="1:10" ht="12.75">
      <c r="A9" s="115" t="s">
        <v>115</v>
      </c>
      <c r="B9" s="116">
        <f>SUM(B10:B11)</f>
        <v>0</v>
      </c>
      <c r="C9" s="116">
        <f>SUM(C10:C11)</f>
        <v>9111258.98</v>
      </c>
      <c r="D9" s="117" t="str">
        <f>IF(ISERROR(C9/B9)," ",(C9/B9))</f>
        <v> </v>
      </c>
      <c r="E9" s="116">
        <f>SUM(E10:E11)</f>
        <v>737093.98</v>
      </c>
      <c r="F9" s="115" t="s">
        <v>115</v>
      </c>
      <c r="G9" s="118">
        <f>SUM(G10:G11)</f>
        <v>0</v>
      </c>
      <c r="H9" s="119">
        <f>SUM(H10:H11)</f>
        <v>9111</v>
      </c>
      <c r="I9" s="120" t="str">
        <f>IF(ISERROR(ROUND(H9,0)/ROUND(g,0))," ",(ROUND(H9,)/ROUND(G9,)))</f>
        <v> </v>
      </c>
      <c r="J9" s="118">
        <f>SUM(J10:J11)</f>
        <v>737</v>
      </c>
    </row>
    <row r="10" spans="1:10" ht="12.75">
      <c r="A10" s="98" t="s">
        <v>116</v>
      </c>
      <c r="B10" s="121"/>
      <c r="C10" s="121">
        <v>3549949.98</v>
      </c>
      <c r="D10" s="122" t="str">
        <f aca="true" t="shared" si="0" ref="D10:D15">IF(ISERROR(C10/B10)," ",(C10/B10))</f>
        <v> </v>
      </c>
      <c r="E10" s="121">
        <f>C10-'[1]Augusts'!C10</f>
        <v>617456.98</v>
      </c>
      <c r="F10" s="98" t="s">
        <v>116</v>
      </c>
      <c r="G10" s="114" t="s">
        <v>19</v>
      </c>
      <c r="H10" s="121">
        <f>ROUND(C10/1000,0)</f>
        <v>3550</v>
      </c>
      <c r="I10" s="123" t="str">
        <f aca="true" t="shared" si="1" ref="I10:I15">IF(ISERROR(ROUND(H10,0)/ROUND(g,0))," ",(ROUND(H10,)/ROUND(G10,)))</f>
        <v> </v>
      </c>
      <c r="J10" s="121">
        <f>H10-'[1]Augusts'!H10</f>
        <v>618</v>
      </c>
    </row>
    <row r="11" spans="1:10" ht="17.25" customHeight="1">
      <c r="A11" s="98" t="s">
        <v>117</v>
      </c>
      <c r="B11" s="121"/>
      <c r="C11" s="121">
        <f>251+294697+3657168+1609193</f>
        <v>5561309</v>
      </c>
      <c r="D11" s="122" t="str">
        <f t="shared" si="0"/>
        <v> </v>
      </c>
      <c r="E11" s="121">
        <f>C11-'[1]Augusts'!C11</f>
        <v>119637</v>
      </c>
      <c r="F11" s="98" t="s">
        <v>117</v>
      </c>
      <c r="G11" s="114" t="s">
        <v>19</v>
      </c>
      <c r="H11" s="121">
        <f>ROUND(C11/1000,0)</f>
        <v>5561</v>
      </c>
      <c r="I11" s="123" t="str">
        <f t="shared" si="1"/>
        <v> </v>
      </c>
      <c r="J11" s="121">
        <f>H11-'[1]Augusts'!H11</f>
        <v>119</v>
      </c>
    </row>
    <row r="12" spans="1:10" ht="12.75">
      <c r="A12" s="115" t="s">
        <v>118</v>
      </c>
      <c r="B12" s="13">
        <f>SUM(B13,B30)</f>
        <v>0</v>
      </c>
      <c r="C12" s="13">
        <f>SUM(C13,C30)</f>
        <v>6742366.2700000005</v>
      </c>
      <c r="D12" s="117" t="str">
        <f t="shared" si="0"/>
        <v> </v>
      </c>
      <c r="E12" s="13">
        <f>SUM(E13,E30)</f>
        <v>803871.2700000003</v>
      </c>
      <c r="F12" s="115" t="s">
        <v>118</v>
      </c>
      <c r="G12" s="107">
        <f>SUM(G13,G30)</f>
        <v>0</v>
      </c>
      <c r="H12" s="107">
        <f>SUM(H13,H30)</f>
        <v>6743</v>
      </c>
      <c r="I12" s="120" t="str">
        <f t="shared" si="1"/>
        <v> </v>
      </c>
      <c r="J12" s="107">
        <f>SUM(J13,J30)</f>
        <v>805</v>
      </c>
    </row>
    <row r="13" spans="1:10" ht="16.5" customHeight="1">
      <c r="A13" s="124" t="s">
        <v>119</v>
      </c>
      <c r="B13" s="13">
        <f>SUM(B14,B21,B24)</f>
        <v>0</v>
      </c>
      <c r="C13" s="13">
        <f>SUM(C14,C21,C24)</f>
        <v>5656753.2700000005</v>
      </c>
      <c r="D13" s="117" t="str">
        <f t="shared" si="0"/>
        <v> </v>
      </c>
      <c r="E13" s="13">
        <f>SUM(E14,E21,E24)</f>
        <v>596446.2700000003</v>
      </c>
      <c r="F13" s="124" t="s">
        <v>119</v>
      </c>
      <c r="G13" s="107">
        <f>SUM(G14,G21,G24)</f>
        <v>0</v>
      </c>
      <c r="H13" s="107">
        <f>SUM(H14,H21,H24)</f>
        <v>5657</v>
      </c>
      <c r="I13" s="120" t="str">
        <f t="shared" si="1"/>
        <v> </v>
      </c>
      <c r="J13" s="107">
        <f>SUM(J14,J21,J24)</f>
        <v>597</v>
      </c>
    </row>
    <row r="14" spans="1:10" ht="12.75">
      <c r="A14" s="125" t="s">
        <v>120</v>
      </c>
      <c r="B14" s="15"/>
      <c r="C14" s="126">
        <f>SUM(C15,C16,C17,C20)</f>
        <v>5397885.2700000005</v>
      </c>
      <c r="D14" s="117" t="str">
        <f t="shared" si="0"/>
        <v> </v>
      </c>
      <c r="E14" s="126">
        <f>SUM(E15,E16,E17,E20)</f>
        <v>549983.2700000003</v>
      </c>
      <c r="F14" s="125" t="s">
        <v>120</v>
      </c>
      <c r="G14" s="127">
        <f>ROUND(B14/1000,0)</f>
        <v>0</v>
      </c>
      <c r="H14" s="14">
        <f>SUM(H15,H16,H17,H20)</f>
        <v>5398</v>
      </c>
      <c r="I14" s="123" t="str">
        <f t="shared" si="1"/>
        <v> </v>
      </c>
      <c r="J14" s="14">
        <f>SUM(J15,J16,J17,J20)</f>
        <v>550</v>
      </c>
    </row>
    <row r="15" spans="1:10" ht="12.75">
      <c r="A15" s="93" t="s">
        <v>121</v>
      </c>
      <c r="B15" s="42"/>
      <c r="C15" s="42">
        <f>368344</f>
        <v>368344</v>
      </c>
      <c r="D15" s="128" t="str">
        <f t="shared" si="0"/>
        <v> </v>
      </c>
      <c r="E15" s="129">
        <f>C15-'[1]Augusts'!C15</f>
        <v>46522</v>
      </c>
      <c r="F15" s="93" t="s">
        <v>121</v>
      </c>
      <c r="G15" s="121">
        <f>ROUND(B15/1000,0)</f>
        <v>0</v>
      </c>
      <c r="H15" s="121">
        <f>ROUND(C15/1000,0)</f>
        <v>368</v>
      </c>
      <c r="I15" s="123" t="str">
        <f t="shared" si="1"/>
        <v> </v>
      </c>
      <c r="J15" s="121">
        <f>H15-'[1]Augusts'!H15</f>
        <v>46</v>
      </c>
    </row>
    <row r="16" spans="1:10" ht="12.75">
      <c r="A16" s="98" t="s">
        <v>122</v>
      </c>
      <c r="B16" s="38" t="s">
        <v>19</v>
      </c>
      <c r="C16" s="42">
        <v>119802</v>
      </c>
      <c r="D16" s="38" t="s">
        <v>19</v>
      </c>
      <c r="E16" s="129">
        <f>C16-'[1]Augusts'!C16</f>
        <v>17801</v>
      </c>
      <c r="F16" s="98" t="s">
        <v>122</v>
      </c>
      <c r="G16" s="38" t="s">
        <v>19</v>
      </c>
      <c r="H16" s="121">
        <f>ROUND(C16/1000,0)</f>
        <v>120</v>
      </c>
      <c r="I16" s="38" t="s">
        <v>19</v>
      </c>
      <c r="J16" s="121">
        <f>H16-'[1]Augusts'!H16</f>
        <v>18</v>
      </c>
    </row>
    <row r="17" spans="1:10" ht="12.75">
      <c r="A17" s="98" t="s">
        <v>123</v>
      </c>
      <c r="B17" s="38" t="s">
        <v>19</v>
      </c>
      <c r="C17" s="42">
        <f>SUM(C18:C19)</f>
        <v>4908656.2700000005</v>
      </c>
      <c r="D17" s="38" t="s">
        <v>19</v>
      </c>
      <c r="E17" s="48">
        <f>SUM(E18:E19)</f>
        <v>485660.27000000025</v>
      </c>
      <c r="F17" s="98" t="s">
        <v>123</v>
      </c>
      <c r="G17" s="38" t="s">
        <v>19</v>
      </c>
      <c r="H17" s="48">
        <f>SUM(H18:H19)</f>
        <v>4909</v>
      </c>
      <c r="I17" s="38" t="s">
        <v>19</v>
      </c>
      <c r="J17" s="48">
        <f>SUM(J18:J19)</f>
        <v>486</v>
      </c>
    </row>
    <row r="18" spans="1:10" s="132" customFormat="1" ht="12.75">
      <c r="A18" s="130" t="s">
        <v>124</v>
      </c>
      <c r="B18" s="19" t="s">
        <v>19</v>
      </c>
      <c r="C18" s="45">
        <f>594357+853+62832+1837618.32+927977+356414</f>
        <v>3780051.3200000003</v>
      </c>
      <c r="D18" s="19" t="s">
        <v>19</v>
      </c>
      <c r="E18" s="129">
        <f>C18-'[1]Augusts'!C18</f>
        <v>275232.3200000003</v>
      </c>
      <c r="F18" s="130" t="s">
        <v>124</v>
      </c>
      <c r="G18" s="19" t="s">
        <v>19</v>
      </c>
      <c r="H18" s="131">
        <f>ROUND(C18/1000,0)</f>
        <v>3780</v>
      </c>
      <c r="I18" s="19" t="s">
        <v>19</v>
      </c>
      <c r="J18" s="131">
        <f>H18-'[1]Augusts'!H18</f>
        <v>275</v>
      </c>
    </row>
    <row r="19" spans="1:10" s="132" customFormat="1" ht="12.75">
      <c r="A19" s="130" t="s">
        <v>125</v>
      </c>
      <c r="B19" s="19" t="s">
        <v>19</v>
      </c>
      <c r="C19" s="45">
        <f>142164.5+145118.45+674+38573+18078+460766+12840+92174+206735+11482</f>
        <v>1128604.95</v>
      </c>
      <c r="D19" s="19" t="s">
        <v>19</v>
      </c>
      <c r="E19" s="129">
        <f>C19-'[1]Augusts'!C19</f>
        <v>210427.94999999995</v>
      </c>
      <c r="F19" s="130" t="s">
        <v>125</v>
      </c>
      <c r="G19" s="19" t="s">
        <v>19</v>
      </c>
      <c r="H19" s="131">
        <f>ROUND(C19/1000,0)</f>
        <v>1129</v>
      </c>
      <c r="I19" s="19" t="s">
        <v>19</v>
      </c>
      <c r="J19" s="131">
        <f>H19-'[1]Augusts'!H19</f>
        <v>211</v>
      </c>
    </row>
    <row r="20" spans="1:10" ht="12.75">
      <c r="A20" s="98" t="s">
        <v>126</v>
      </c>
      <c r="B20" s="38" t="s">
        <v>19</v>
      </c>
      <c r="C20" s="42">
        <v>1083</v>
      </c>
      <c r="D20" s="38" t="s">
        <v>19</v>
      </c>
      <c r="E20" s="129">
        <f>C20-'[1]Augusts'!C20</f>
        <v>0</v>
      </c>
      <c r="F20" s="98" t="s">
        <v>126</v>
      </c>
      <c r="G20" s="38" t="s">
        <v>19</v>
      </c>
      <c r="H20" s="121">
        <f>ROUND(C20/1000,0)</f>
        <v>1</v>
      </c>
      <c r="I20" s="38" t="s">
        <v>19</v>
      </c>
      <c r="J20" s="121">
        <f>H20-'[1]Augusts'!H20</f>
        <v>0</v>
      </c>
    </row>
    <row r="21" spans="1:10" ht="12.75">
      <c r="A21" s="133" t="s">
        <v>127</v>
      </c>
      <c r="B21" s="38"/>
      <c r="C21" s="126">
        <f>SUM(C22:C23)</f>
        <v>143935</v>
      </c>
      <c r="D21" s="117" t="str">
        <f>IF(ISERROR(C21/B21)," ",(C21/B21))</f>
        <v> </v>
      </c>
      <c r="E21" s="126">
        <f>SUM(E22:E23)</f>
        <v>44483</v>
      </c>
      <c r="F21" s="133" t="s">
        <v>127</v>
      </c>
      <c r="G21" s="38"/>
      <c r="H21" s="14">
        <f>SUM(H22:H23)</f>
        <v>144</v>
      </c>
      <c r="I21" s="123" t="str">
        <f>IF(ISERROR(ROUND(H21,0)/ROUND(g,0))," ",(ROUND(H21,)/ROUND(G21,)))</f>
        <v> </v>
      </c>
      <c r="J21" s="14">
        <f>SUM(J22:J23)</f>
        <v>45</v>
      </c>
    </row>
    <row r="22" spans="1:10" ht="12.75">
      <c r="A22" s="98" t="s">
        <v>128</v>
      </c>
      <c r="B22" s="38" t="s">
        <v>19</v>
      </c>
      <c r="C22" s="42">
        <f>143935</f>
        <v>143935</v>
      </c>
      <c r="D22" s="38" t="s">
        <v>19</v>
      </c>
      <c r="E22" s="129">
        <f>C22-'[1]Augusts'!C22</f>
        <v>44483</v>
      </c>
      <c r="F22" s="98" t="s">
        <v>128</v>
      </c>
      <c r="G22" s="38" t="s">
        <v>19</v>
      </c>
      <c r="H22" s="121">
        <f>ROUND(C22/1000,0)</f>
        <v>144</v>
      </c>
      <c r="I22" s="38" t="s">
        <v>19</v>
      </c>
      <c r="J22" s="121">
        <f>H22-'[1]Augusts'!H22</f>
        <v>45</v>
      </c>
    </row>
    <row r="23" spans="1:10" ht="12.75">
      <c r="A23" s="98" t="s">
        <v>129</v>
      </c>
      <c r="B23" s="38" t="s">
        <v>19</v>
      </c>
      <c r="C23" s="42"/>
      <c r="D23" s="38" t="s">
        <v>19</v>
      </c>
      <c r="E23" s="129">
        <f>C23-'[1]Augusts'!C23</f>
        <v>0</v>
      </c>
      <c r="F23" s="98" t="s">
        <v>129</v>
      </c>
      <c r="G23" s="38" t="s">
        <v>19</v>
      </c>
      <c r="H23" s="121">
        <f>ROUND(C23/1000,0)</f>
        <v>0</v>
      </c>
      <c r="I23" s="38" t="s">
        <v>19</v>
      </c>
      <c r="J23" s="121">
        <f>H23-'[1]Augusts'!H23</f>
        <v>0</v>
      </c>
    </row>
    <row r="24" spans="1:10" ht="17.25" customHeight="1">
      <c r="A24" s="134" t="s">
        <v>130</v>
      </c>
      <c r="B24" s="42"/>
      <c r="C24" s="126">
        <f>SUM(C25:C29)</f>
        <v>114933</v>
      </c>
      <c r="D24" s="117" t="str">
        <f>IF(ISERROR(C24/B24)," ",(C24/B24))</f>
        <v> </v>
      </c>
      <c r="E24" s="126">
        <f>SUM(E25:E29)</f>
        <v>1980</v>
      </c>
      <c r="F24" s="134" t="s">
        <v>130</v>
      </c>
      <c r="G24" s="38"/>
      <c r="H24" s="14">
        <f>SUM(H25:H29)</f>
        <v>115</v>
      </c>
      <c r="I24" s="123" t="str">
        <f>IF(ISERROR(ROUND(H24,0)/ROUND(g,0))," ",(ROUND(H24,)/ROUND(G24,)))</f>
        <v> </v>
      </c>
      <c r="J24" s="14">
        <f>SUM(J25:J29)</f>
        <v>2</v>
      </c>
    </row>
    <row r="25" spans="1:10" ht="15.75" customHeight="1">
      <c r="A25" s="93" t="s">
        <v>131</v>
      </c>
      <c r="B25" s="38" t="s">
        <v>19</v>
      </c>
      <c r="C25" s="42">
        <f>3398+22228</f>
        <v>25626</v>
      </c>
      <c r="D25" s="38" t="s">
        <v>19</v>
      </c>
      <c r="E25" s="129">
        <f>C25-'[1]Augusts'!C25</f>
        <v>0</v>
      </c>
      <c r="F25" s="93" t="s">
        <v>131</v>
      </c>
      <c r="G25" s="38" t="s">
        <v>19</v>
      </c>
      <c r="H25" s="121">
        <f>ROUND(C25/1000,0)</f>
        <v>26</v>
      </c>
      <c r="I25" s="38" t="s">
        <v>19</v>
      </c>
      <c r="J25" s="121">
        <f>H25-'[1]Augusts'!H25</f>
        <v>0</v>
      </c>
    </row>
    <row r="26" spans="1:10" ht="15.75" customHeight="1">
      <c r="A26" s="93" t="s">
        <v>132</v>
      </c>
      <c r="B26" s="38" t="s">
        <v>19</v>
      </c>
      <c r="C26" s="42">
        <v>11967</v>
      </c>
      <c r="D26" s="38" t="s">
        <v>19</v>
      </c>
      <c r="E26" s="129">
        <f>C26-'[1]Augusts'!C26</f>
        <v>0</v>
      </c>
      <c r="F26" s="93" t="s">
        <v>132</v>
      </c>
      <c r="G26" s="38" t="s">
        <v>19</v>
      </c>
      <c r="H26" s="121">
        <f>ROUND(C26/1000,0)</f>
        <v>12</v>
      </c>
      <c r="I26" s="38" t="s">
        <v>19</v>
      </c>
      <c r="J26" s="121">
        <f>H26-'[1]Augusts'!H26</f>
        <v>0</v>
      </c>
    </row>
    <row r="27" spans="1:10" ht="16.5" customHeight="1">
      <c r="A27" s="98" t="s">
        <v>133</v>
      </c>
      <c r="B27" s="38" t="s">
        <v>19</v>
      </c>
      <c r="C27" s="42"/>
      <c r="D27" s="38" t="s">
        <v>19</v>
      </c>
      <c r="E27" s="129">
        <f>C27-'[1]Augusts'!C27</f>
        <v>0</v>
      </c>
      <c r="F27" s="98" t="s">
        <v>133</v>
      </c>
      <c r="G27" s="38" t="s">
        <v>19</v>
      </c>
      <c r="H27" s="121">
        <f>ROUND(C27/1000,0)</f>
        <v>0</v>
      </c>
      <c r="I27" s="38" t="s">
        <v>19</v>
      </c>
      <c r="J27" s="121">
        <f>H27-'[1]Augusts'!H27</f>
        <v>0</v>
      </c>
    </row>
    <row r="28" spans="1:10" ht="12.75">
      <c r="A28" s="98" t="s">
        <v>134</v>
      </c>
      <c r="B28" s="38" t="s">
        <v>19</v>
      </c>
      <c r="C28" s="42">
        <v>29475</v>
      </c>
      <c r="D28" s="38" t="s">
        <v>19</v>
      </c>
      <c r="E28" s="129">
        <f>C28-'[1]Augusts'!C28</f>
        <v>899</v>
      </c>
      <c r="F28" s="98" t="s">
        <v>134</v>
      </c>
      <c r="G28" s="38" t="s">
        <v>19</v>
      </c>
      <c r="H28" s="121">
        <f>ROUND(C28/1000,0)</f>
        <v>29</v>
      </c>
      <c r="I28" s="38" t="s">
        <v>19</v>
      </c>
      <c r="J28" s="121">
        <f>H28-'[1]Augusts'!H28</f>
        <v>1</v>
      </c>
    </row>
    <row r="29" spans="1:10" ht="15" customHeight="1">
      <c r="A29" s="98" t="s">
        <v>135</v>
      </c>
      <c r="B29" s="38" t="s">
        <v>19</v>
      </c>
      <c r="C29" s="42">
        <v>47865</v>
      </c>
      <c r="D29" s="38" t="s">
        <v>19</v>
      </c>
      <c r="E29" s="129">
        <f>C29-'[1]Augusts'!C29</f>
        <v>1081</v>
      </c>
      <c r="F29" s="98" t="s">
        <v>135</v>
      </c>
      <c r="G29" s="38" t="s">
        <v>19</v>
      </c>
      <c r="H29" s="121">
        <f>ROUND(C29/1000,0)</f>
        <v>48</v>
      </c>
      <c r="I29" s="38" t="s">
        <v>19</v>
      </c>
      <c r="J29" s="121">
        <f>H29-'[1]Augusts'!H29</f>
        <v>1</v>
      </c>
    </row>
    <row r="30" spans="1:10" ht="19.5" customHeight="1">
      <c r="A30" s="135" t="s">
        <v>136</v>
      </c>
      <c r="B30" s="136">
        <f>SUM(B31:B32)</f>
        <v>0</v>
      </c>
      <c r="C30" s="136">
        <f>SUM(C31:C32)</f>
        <v>1085613</v>
      </c>
      <c r="D30" s="117" t="str">
        <f>IF(ISERROR(C30/B30)," ",(C30/B30))</f>
        <v> </v>
      </c>
      <c r="E30" s="136">
        <f>SUM(E31:E32)</f>
        <v>207425</v>
      </c>
      <c r="F30" s="135" t="s">
        <v>136</v>
      </c>
      <c r="G30" s="126">
        <f>SUM(G31:G32)</f>
        <v>0</v>
      </c>
      <c r="H30" s="126">
        <f>SUM(H31:H32)</f>
        <v>1086</v>
      </c>
      <c r="I30" s="120" t="str">
        <f>IF(ISERROR(ROUND(H30,0)/ROUND(g,0))," ",(ROUND(H30,)/ROUND(G30,)))</f>
        <v> </v>
      </c>
      <c r="J30" s="126">
        <f>SUM(J31:J32)</f>
        <v>208</v>
      </c>
    </row>
    <row r="31" spans="1:10" ht="18.75" customHeight="1">
      <c r="A31" s="98" t="s">
        <v>137</v>
      </c>
      <c r="B31" s="42"/>
      <c r="C31" s="42">
        <f>17624+280075+446199+11796+171370+55519</f>
        <v>982583</v>
      </c>
      <c r="D31" s="128" t="str">
        <f>IF(ISERROR(C31/B31)," ",(C31/B31))</f>
        <v> </v>
      </c>
      <c r="E31" s="129">
        <f>C31-'[1]Augusts'!C31</f>
        <v>200332</v>
      </c>
      <c r="F31" s="98" t="s">
        <v>137</v>
      </c>
      <c r="G31" s="121">
        <f>ROUND(B31/1000,0)</f>
        <v>0</v>
      </c>
      <c r="H31" s="121">
        <f>ROUND(C31/1000,0)</f>
        <v>983</v>
      </c>
      <c r="I31" s="123" t="str">
        <f>IF(ISERROR(ROUND(H31,0)/ROUND(g,0))," ",(ROUND(H31,)/ROUND(G31,)))</f>
        <v> </v>
      </c>
      <c r="J31" s="121">
        <f>H31-'[1]Augusts'!H31</f>
        <v>201</v>
      </c>
    </row>
    <row r="32" spans="1:10" ht="18" customHeight="1">
      <c r="A32" s="98" t="s">
        <v>138</v>
      </c>
      <c r="B32" s="42"/>
      <c r="C32" s="45">
        <v>103030</v>
      </c>
      <c r="D32" s="128" t="str">
        <f>IF(ISERROR(C32/B32)," ",(C32/B32))</f>
        <v> </v>
      </c>
      <c r="E32" s="129">
        <f>C32-'[1]Augusts'!C32</f>
        <v>7093</v>
      </c>
      <c r="F32" s="98" t="s">
        <v>138</v>
      </c>
      <c r="G32" s="121">
        <f>ROUND(B32/1000,0)</f>
        <v>0</v>
      </c>
      <c r="H32" s="121">
        <f>ROUND(C32/1000,0)</f>
        <v>103</v>
      </c>
      <c r="I32" s="123" t="str">
        <f>IF(ISERROR(ROUND(H32,0)/ROUND(g,0))," ",(ROUND(H32,)/ROUND(G32,)))</f>
        <v> </v>
      </c>
      <c r="J32" s="121">
        <f>H32-'[1]Augusts'!H32</f>
        <v>7</v>
      </c>
    </row>
    <row r="33" spans="1:10" s="138" customFormat="1" ht="15.75" customHeight="1">
      <c r="A33" s="135" t="s">
        <v>139</v>
      </c>
      <c r="B33" s="42"/>
      <c r="C33" s="13">
        <f>SUM(C9-C12)</f>
        <v>2368892.71</v>
      </c>
      <c r="D33" s="38" t="s">
        <v>19</v>
      </c>
      <c r="E33" s="38" t="s">
        <v>19</v>
      </c>
      <c r="F33" s="135" t="s">
        <v>139</v>
      </c>
      <c r="G33" s="137"/>
      <c r="H33" s="126">
        <f>SUM(H9-H12)</f>
        <v>2368</v>
      </c>
      <c r="I33" s="38" t="s">
        <v>19</v>
      </c>
      <c r="J33" s="38" t="s">
        <v>19</v>
      </c>
    </row>
    <row r="34" spans="1:10" s="138" customFormat="1" ht="16.5" customHeight="1">
      <c r="A34" s="135" t="s">
        <v>140</v>
      </c>
      <c r="B34" s="42"/>
      <c r="C34" s="42">
        <v>-2368893</v>
      </c>
      <c r="D34" s="38" t="s">
        <v>19</v>
      </c>
      <c r="E34" s="38" t="s">
        <v>19</v>
      </c>
      <c r="F34" s="135" t="s">
        <v>140</v>
      </c>
      <c r="G34" s="32"/>
      <c r="H34" s="126">
        <f>ROUND(C34/1000,0)+1</f>
        <v>-2368</v>
      </c>
      <c r="I34" s="38" t="s">
        <v>19</v>
      </c>
      <c r="J34" s="38" t="s">
        <v>19</v>
      </c>
    </row>
    <row r="35" spans="1:10" s="138" customFormat="1" ht="26.25" customHeight="1">
      <c r="A35" s="139" t="s">
        <v>141</v>
      </c>
      <c r="B35" s="42"/>
      <c r="C35" s="42">
        <v>-2368893</v>
      </c>
      <c r="D35" s="38" t="s">
        <v>19</v>
      </c>
      <c r="E35" s="38" t="s">
        <v>19</v>
      </c>
      <c r="F35" s="139" t="s">
        <v>141</v>
      </c>
      <c r="G35" s="42"/>
      <c r="H35" s="121">
        <f>ROUND(C35/1000,0)+1</f>
        <v>-2368</v>
      </c>
      <c r="I35" s="38" t="s">
        <v>19</v>
      </c>
      <c r="J35" s="38" t="s">
        <v>19</v>
      </c>
    </row>
    <row r="36" spans="1:10" s="143" customFormat="1" ht="16.5" customHeight="1">
      <c r="A36" s="140"/>
      <c r="B36" s="141"/>
      <c r="C36" s="142"/>
      <c r="D36" s="142"/>
      <c r="E36" s="142"/>
      <c r="F36" s="140"/>
      <c r="G36" s="141"/>
      <c r="H36" s="142"/>
      <c r="I36" s="142"/>
      <c r="J36" s="142"/>
    </row>
    <row r="37" spans="1:10" s="143" customFormat="1" ht="16.5" customHeight="1">
      <c r="A37" s="140"/>
      <c r="B37" s="141"/>
      <c r="C37" s="142"/>
      <c r="D37" s="142"/>
      <c r="E37" s="142"/>
      <c r="F37" s="140" t="s">
        <v>142</v>
      </c>
      <c r="G37" s="141"/>
      <c r="H37" s="142"/>
      <c r="I37" s="142"/>
      <c r="J37" s="142"/>
    </row>
    <row r="38" spans="1:10" s="143" customFormat="1" ht="16.5" customHeight="1">
      <c r="A38" s="140"/>
      <c r="B38" s="141"/>
      <c r="C38" s="142"/>
      <c r="D38" s="142"/>
      <c r="E38" s="142"/>
      <c r="F38" s="140"/>
      <c r="G38" s="141"/>
      <c r="H38" s="142"/>
      <c r="I38" s="142"/>
      <c r="J38" s="142"/>
    </row>
    <row r="39" spans="1:10" s="143" customFormat="1" ht="16.5" customHeight="1">
      <c r="A39" s="140"/>
      <c r="B39" s="141"/>
      <c r="C39" s="142"/>
      <c r="D39" s="142"/>
      <c r="E39" s="142"/>
      <c r="F39" s="140"/>
      <c r="G39" s="141"/>
      <c r="H39" s="142"/>
      <c r="I39" s="142"/>
      <c r="J39" s="142"/>
    </row>
    <row r="40" spans="1:10" s="143" customFormat="1" ht="16.5" customHeight="1">
      <c r="A40" s="140"/>
      <c r="B40" s="141"/>
      <c r="C40" s="142"/>
      <c r="D40" s="142"/>
      <c r="E40" s="142"/>
      <c r="F40" s="77" t="s">
        <v>143</v>
      </c>
      <c r="G40" s="141"/>
      <c r="H40" s="142"/>
      <c r="I40" s="142"/>
      <c r="J40" s="142"/>
    </row>
    <row r="41" spans="1:10" s="143" customFormat="1" ht="16.5" customHeight="1">
      <c r="A41" s="140"/>
      <c r="B41" s="141"/>
      <c r="C41" s="142"/>
      <c r="D41" s="142"/>
      <c r="E41" s="142"/>
      <c r="F41" s="65"/>
      <c r="G41" s="141"/>
      <c r="H41" s="142"/>
      <c r="I41" s="142"/>
      <c r="J41" s="142"/>
    </row>
    <row r="42" spans="1:10" ht="16.5" customHeight="1">
      <c r="A42" s="144"/>
      <c r="B42" s="141"/>
      <c r="C42" s="141"/>
      <c r="D42" s="145"/>
      <c r="E42" s="146"/>
      <c r="F42" s="65"/>
      <c r="G42" s="141"/>
      <c r="H42" s="141"/>
      <c r="I42" s="145"/>
      <c r="J42" s="146"/>
    </row>
    <row r="43" spans="1:10" ht="14.25">
      <c r="A43" s="147"/>
      <c r="B43" s="58"/>
      <c r="C43" s="58"/>
      <c r="D43" s="148"/>
      <c r="E43" s="65"/>
      <c r="F43" s="65" t="s">
        <v>144</v>
      </c>
      <c r="G43" s="58"/>
      <c r="H43" s="58"/>
      <c r="I43" s="148"/>
      <c r="J43" s="65"/>
    </row>
    <row r="44" spans="1:10" ht="12.75">
      <c r="A44" s="77" t="s">
        <v>143</v>
      </c>
      <c r="B44" s="149"/>
      <c r="C44" s="149"/>
      <c r="D44" s="150"/>
      <c r="E44" s="109"/>
      <c r="F44" s="65" t="s">
        <v>95</v>
      </c>
      <c r="G44" s="149"/>
      <c r="H44" s="149"/>
      <c r="I44" s="150"/>
      <c r="J44" s="109"/>
    </row>
    <row r="45" spans="1:10" ht="12.75">
      <c r="A45" s="65"/>
      <c r="B45" s="151"/>
      <c r="C45" s="152"/>
      <c r="D45" s="153"/>
      <c r="E45" s="56"/>
      <c r="G45" s="151"/>
      <c r="H45" s="152"/>
      <c r="I45" s="153"/>
      <c r="J45" s="56"/>
    </row>
    <row r="46" spans="1:10" ht="12.75">
      <c r="A46" s="65"/>
      <c r="B46" s="151"/>
      <c r="C46" s="152"/>
      <c r="D46" s="153"/>
      <c r="E46" s="56"/>
      <c r="G46" s="151"/>
      <c r="H46" s="152"/>
      <c r="I46" s="153"/>
      <c r="J46" s="56"/>
    </row>
    <row r="47" spans="1:10" ht="12.75">
      <c r="A47" s="65" t="s">
        <v>144</v>
      </c>
      <c r="B47" s="151"/>
      <c r="C47" s="152"/>
      <c r="D47" s="153"/>
      <c r="E47" s="56"/>
      <c r="G47" s="151"/>
      <c r="H47" s="152"/>
      <c r="I47" s="153"/>
      <c r="J47" s="56"/>
    </row>
    <row r="48" spans="1:10" ht="12.75">
      <c r="A48" s="65" t="s">
        <v>95</v>
      </c>
      <c r="B48" s="151"/>
      <c r="C48" s="152"/>
      <c r="D48" s="153"/>
      <c r="E48" s="56"/>
      <c r="G48" s="151"/>
      <c r="H48" s="152"/>
      <c r="I48" s="153"/>
      <c r="J48" s="56"/>
    </row>
    <row r="49" spans="1:10" ht="12.75">
      <c r="A49" s="65"/>
      <c r="B49" s="151"/>
      <c r="C49" s="152"/>
      <c r="D49" s="153"/>
      <c r="E49" s="56"/>
      <c r="F49" s="65"/>
      <c r="G49" s="151"/>
      <c r="H49" s="152"/>
      <c r="I49" s="153"/>
      <c r="J49" s="56"/>
    </row>
    <row r="50" spans="2:5" ht="12" customHeight="1">
      <c r="B50" s="56"/>
      <c r="D50" s="56"/>
      <c r="E50" s="56"/>
    </row>
    <row r="51" spans="1:5" ht="12.75">
      <c r="A51" s="56"/>
      <c r="B51" s="56"/>
      <c r="C51" s="56"/>
      <c r="D51" s="56"/>
      <c r="E51" s="56"/>
    </row>
    <row r="52" spans="1:5" ht="12.75">
      <c r="A52" s="56"/>
      <c r="B52" s="56"/>
      <c r="C52" s="56"/>
      <c r="D52" s="56"/>
      <c r="E52" s="56"/>
    </row>
    <row r="53" spans="1:5" ht="12.75">
      <c r="A53" s="56"/>
      <c r="B53" s="56"/>
      <c r="C53" s="56"/>
      <c r="D53" s="56"/>
      <c r="E53" s="56"/>
    </row>
    <row r="54" spans="1:5" ht="12.75">
      <c r="A54" s="56"/>
      <c r="B54" s="56"/>
      <c r="C54" s="56"/>
      <c r="D54" s="56"/>
      <c r="E54" s="56"/>
    </row>
    <row r="55" spans="1:5" ht="12.75">
      <c r="A55" s="56"/>
      <c r="B55" s="56"/>
      <c r="C55" s="56"/>
      <c r="D55" s="56"/>
      <c r="E55" s="56"/>
    </row>
    <row r="56" spans="1:5" ht="12.75">
      <c r="A56" s="56"/>
      <c r="B56" s="56"/>
      <c r="C56" s="56"/>
      <c r="D56" s="56"/>
      <c r="E56" s="56"/>
    </row>
    <row r="57" spans="1:5" ht="12.75">
      <c r="A57" s="56"/>
      <c r="B57" s="56"/>
      <c r="C57" s="56"/>
      <c r="D57" s="56"/>
      <c r="E57" s="56"/>
    </row>
    <row r="58" spans="1:5" ht="12.75">
      <c r="A58" s="56"/>
      <c r="B58" s="56"/>
      <c r="C58" s="56"/>
      <c r="D58" s="56"/>
      <c r="E58" s="56"/>
    </row>
    <row r="59" spans="1:5" ht="12.75">
      <c r="A59" s="56"/>
      <c r="B59" s="56"/>
      <c r="C59" s="56"/>
      <c r="D59" s="56"/>
      <c r="E59" s="56"/>
    </row>
    <row r="60" spans="1:5" ht="12.75">
      <c r="A60" s="56"/>
      <c r="B60" s="56"/>
      <c r="C60" s="56"/>
      <c r="D60" s="56"/>
      <c r="E60" s="56"/>
    </row>
    <row r="61" spans="1:5" ht="12.75">
      <c r="A61" s="56"/>
      <c r="B61" s="56"/>
      <c r="C61" s="56"/>
      <c r="D61" s="56"/>
      <c r="E61" s="5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F1">
      <selection activeCell="A6" sqref="A6"/>
    </sheetView>
  </sheetViews>
  <sheetFormatPr defaultColWidth="9.140625" defaultRowHeight="12.75"/>
  <cols>
    <col min="1" max="1" width="43.28125" style="8" hidden="1" customWidth="1"/>
    <col min="2" max="2" width="8.28125" style="8" hidden="1" customWidth="1"/>
    <col min="3" max="3" width="11.8515625" style="8" hidden="1" customWidth="1"/>
    <col min="4" max="4" width="11.7109375" style="8" hidden="1" customWidth="1"/>
    <col min="5" max="5" width="11.28125" style="8" hidden="1" customWidth="1"/>
    <col min="6" max="6" width="42.421875" style="8" customWidth="1"/>
    <col min="7" max="7" width="9.421875" style="8" customWidth="1"/>
    <col min="8" max="8" width="11.57421875" style="8" customWidth="1"/>
    <col min="9" max="9" width="10.28125" style="8" customWidth="1"/>
    <col min="10" max="10" width="11.7109375" style="8" customWidth="1"/>
    <col min="11" max="16384" width="7.8515625" style="8" customWidth="1"/>
  </cols>
  <sheetData>
    <row r="1" spans="3:9" ht="12.75">
      <c r="C1" s="70"/>
      <c r="D1" s="70"/>
      <c r="H1" s="70"/>
      <c r="I1" s="70"/>
    </row>
    <row r="2" spans="1:10" ht="12.75">
      <c r="A2" s="70" t="s">
        <v>96</v>
      </c>
      <c r="C2" s="70"/>
      <c r="D2" s="70"/>
      <c r="E2" s="64" t="s">
        <v>97</v>
      </c>
      <c r="F2" s="70" t="s">
        <v>98</v>
      </c>
      <c r="H2" s="70"/>
      <c r="I2" s="70"/>
      <c r="J2" s="74" t="s">
        <v>97</v>
      </c>
    </row>
    <row r="3" ht="15.75">
      <c r="A3" s="75" t="s">
        <v>99</v>
      </c>
    </row>
    <row r="4" spans="1:10" ht="15.75">
      <c r="A4" s="75" t="s">
        <v>100</v>
      </c>
      <c r="F4" s="293" t="s">
        <v>101</v>
      </c>
      <c r="G4" s="293"/>
      <c r="H4" s="293"/>
      <c r="I4" s="293"/>
      <c r="J4" s="293"/>
    </row>
    <row r="5" spans="6:10" ht="15.75">
      <c r="F5" s="106" t="s">
        <v>102</v>
      </c>
      <c r="G5" s="106"/>
      <c r="H5" s="106"/>
      <c r="I5" s="106"/>
      <c r="J5" s="106"/>
    </row>
    <row r="8" spans="4:10" ht="12.75">
      <c r="D8" s="70"/>
      <c r="E8" s="77" t="s">
        <v>68</v>
      </c>
      <c r="I8" s="70"/>
      <c r="J8" s="78" t="s">
        <v>68</v>
      </c>
    </row>
    <row r="9" spans="1:10" ht="48">
      <c r="A9" s="79" t="s">
        <v>7</v>
      </c>
      <c r="B9" s="80" t="s">
        <v>69</v>
      </c>
      <c r="C9" s="80" t="s">
        <v>70</v>
      </c>
      <c r="D9" s="80" t="s">
        <v>71</v>
      </c>
      <c r="E9" s="80" t="s">
        <v>72</v>
      </c>
      <c r="F9" s="79" t="s">
        <v>7</v>
      </c>
      <c r="G9" s="80" t="s">
        <v>69</v>
      </c>
      <c r="H9" s="80" t="s">
        <v>70</v>
      </c>
      <c r="I9" s="80" t="s">
        <v>71</v>
      </c>
      <c r="J9" s="80" t="s">
        <v>72</v>
      </c>
    </row>
    <row r="10" spans="1:10" ht="12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9">
        <v>1</v>
      </c>
      <c r="G10" s="9">
        <v>2</v>
      </c>
      <c r="H10" s="10">
        <v>3</v>
      </c>
      <c r="I10" s="10">
        <v>4</v>
      </c>
      <c r="J10" s="10">
        <v>5</v>
      </c>
    </row>
    <row r="11" spans="1:10" ht="17.25" customHeight="1">
      <c r="A11" s="82" t="s">
        <v>74</v>
      </c>
      <c r="B11" s="83"/>
      <c r="C11" s="84">
        <f>SUM(C12:C25)</f>
        <v>787338177</v>
      </c>
      <c r="D11" s="84">
        <f>SUM(D12:D25)</f>
        <v>550789562</v>
      </c>
      <c r="E11" s="85">
        <f>IF(ISERROR(D11/C11)," ",(D11/C11))</f>
        <v>0.6995590688853387</v>
      </c>
      <c r="F11" s="82" t="s">
        <v>74</v>
      </c>
      <c r="G11" s="83"/>
      <c r="H11" s="107">
        <f>SUM(H12:H25)</f>
        <v>787338</v>
      </c>
      <c r="I11" s="107">
        <f>SUM(I12:I25)</f>
        <v>550790</v>
      </c>
      <c r="J11" s="108">
        <f>IF(ISERROR(I11/H11)," ",(I11/H11))</f>
        <v>0.6995597824568356</v>
      </c>
    </row>
    <row r="12" spans="1:10" ht="16.5" customHeight="1">
      <c r="A12" s="88" t="s">
        <v>75</v>
      </c>
      <c r="B12" s="89">
        <v>1</v>
      </c>
      <c r="C12" s="90">
        <v>79465272</v>
      </c>
      <c r="D12" s="90">
        <f>53448758+121481+24313</f>
        <v>53594552</v>
      </c>
      <c r="E12" s="91">
        <f aca="true" t="shared" si="0" ref="E12:E25">IF(ISERROR(D12/C12)," ",(D12/C12))</f>
        <v>0.6744399238953086</v>
      </c>
      <c r="F12" s="93" t="s">
        <v>75</v>
      </c>
      <c r="G12" s="94">
        <v>1</v>
      </c>
      <c r="H12" s="42">
        <f>ROUND(C12/1000,)</f>
        <v>79465</v>
      </c>
      <c r="I12" s="42">
        <f>ROUND(D12/1000,)</f>
        <v>53595</v>
      </c>
      <c r="J12" s="91">
        <f aca="true" t="shared" si="1" ref="J12:J25">IF(ISERROR(I12/H12)," ",(I12/H12))</f>
        <v>0.6744478701315044</v>
      </c>
    </row>
    <row r="13" spans="1:10" ht="18.75" customHeight="1">
      <c r="A13" s="35" t="s">
        <v>76</v>
      </c>
      <c r="B13" s="89">
        <v>2</v>
      </c>
      <c r="C13" s="90">
        <v>32777333</v>
      </c>
      <c r="D13" s="90">
        <v>20070567</v>
      </c>
      <c r="E13" s="91">
        <f t="shared" si="0"/>
        <v>0.6123306920669842</v>
      </c>
      <c r="F13" s="46" t="s">
        <v>76</v>
      </c>
      <c r="G13" s="94">
        <v>2</v>
      </c>
      <c r="H13" s="42">
        <f aca="true" t="shared" si="2" ref="H13:H23">ROUND(C13/1000,)</f>
        <v>32777</v>
      </c>
      <c r="I13" s="42">
        <f>ROUND(D13/1000,0)</f>
        <v>20071</v>
      </c>
      <c r="J13" s="91">
        <f t="shared" si="1"/>
        <v>0.612350123562254</v>
      </c>
    </row>
    <row r="14" spans="1:10" ht="17.25" customHeight="1">
      <c r="A14" s="35" t="s">
        <v>77</v>
      </c>
      <c r="B14" s="89">
        <v>3</v>
      </c>
      <c r="C14" s="90">
        <v>110969904</v>
      </c>
      <c r="D14" s="90">
        <f>78924681+27654</f>
        <v>78952335</v>
      </c>
      <c r="E14" s="91">
        <f t="shared" si="0"/>
        <v>0.7114752032226683</v>
      </c>
      <c r="F14" s="46" t="s">
        <v>77</v>
      </c>
      <c r="G14" s="94">
        <v>3</v>
      </c>
      <c r="H14" s="42">
        <f t="shared" si="2"/>
        <v>110970</v>
      </c>
      <c r="I14" s="42">
        <f>ROUND(D14/1000,0)+1</f>
        <v>78953</v>
      </c>
      <c r="J14" s="91">
        <f t="shared" si="1"/>
        <v>0.711480580337028</v>
      </c>
    </row>
    <row r="15" spans="1:10" ht="18" customHeight="1">
      <c r="A15" s="35" t="s">
        <v>103</v>
      </c>
      <c r="B15" s="89">
        <v>4</v>
      </c>
      <c r="C15" s="90">
        <v>79981029</v>
      </c>
      <c r="D15" s="90">
        <f>56376741+24354</f>
        <v>56401095</v>
      </c>
      <c r="E15" s="91">
        <f t="shared" si="0"/>
        <v>0.7051809123385997</v>
      </c>
      <c r="F15" s="46" t="s">
        <v>103</v>
      </c>
      <c r="G15" s="94">
        <v>4</v>
      </c>
      <c r="H15" s="42">
        <f t="shared" si="2"/>
        <v>79981</v>
      </c>
      <c r="I15" s="42">
        <f aca="true" t="shared" si="3" ref="I15:I24">ROUND(D15/1000,0)</f>
        <v>56401</v>
      </c>
      <c r="J15" s="91">
        <f t="shared" si="1"/>
        <v>0.7051799802453083</v>
      </c>
    </row>
    <row r="16" spans="1:10" ht="18" customHeight="1">
      <c r="A16" s="35" t="s">
        <v>80</v>
      </c>
      <c r="B16" s="89">
        <v>5</v>
      </c>
      <c r="C16" s="90">
        <v>69894305</v>
      </c>
      <c r="D16" s="90">
        <f>52996765+9518</f>
        <v>53006283</v>
      </c>
      <c r="E16" s="91">
        <f t="shared" si="0"/>
        <v>0.7583777104586704</v>
      </c>
      <c r="F16" s="46" t="s">
        <v>80</v>
      </c>
      <c r="G16" s="94">
        <v>5</v>
      </c>
      <c r="H16" s="42">
        <f t="shared" si="2"/>
        <v>69894</v>
      </c>
      <c r="I16" s="42">
        <f t="shared" si="3"/>
        <v>53006</v>
      </c>
      <c r="J16" s="91">
        <f t="shared" si="1"/>
        <v>0.7583769708415601</v>
      </c>
    </row>
    <row r="17" spans="1:10" ht="20.25" customHeight="1">
      <c r="A17" s="35" t="s">
        <v>81</v>
      </c>
      <c r="B17" s="89">
        <v>6</v>
      </c>
      <c r="C17" s="90">
        <v>82905191</v>
      </c>
      <c r="D17" s="90">
        <f>61635279</f>
        <v>61635279</v>
      </c>
      <c r="E17" s="91">
        <f t="shared" si="0"/>
        <v>0.743442940744205</v>
      </c>
      <c r="F17" s="46" t="s">
        <v>81</v>
      </c>
      <c r="G17" s="94">
        <v>6</v>
      </c>
      <c r="H17" s="42">
        <f t="shared" si="2"/>
        <v>82905</v>
      </c>
      <c r="I17" s="42">
        <f t="shared" si="3"/>
        <v>61635</v>
      </c>
      <c r="J17" s="91">
        <f t="shared" si="1"/>
        <v>0.7434412882214583</v>
      </c>
    </row>
    <row r="18" spans="1:10" ht="19.5" customHeight="1">
      <c r="A18" s="97" t="s">
        <v>82</v>
      </c>
      <c r="B18" s="89">
        <v>7</v>
      </c>
      <c r="C18" s="90">
        <v>4290215</v>
      </c>
      <c r="D18" s="90">
        <f>2945180</f>
        <v>2945180</v>
      </c>
      <c r="E18" s="91">
        <f t="shared" si="0"/>
        <v>0.6864877401249122</v>
      </c>
      <c r="F18" s="98" t="s">
        <v>82</v>
      </c>
      <c r="G18" s="94">
        <v>7</v>
      </c>
      <c r="H18" s="42">
        <f t="shared" si="2"/>
        <v>4290</v>
      </c>
      <c r="I18" s="42">
        <f t="shared" si="3"/>
        <v>2945</v>
      </c>
      <c r="J18" s="91">
        <f t="shared" si="1"/>
        <v>0.6864801864801865</v>
      </c>
    </row>
    <row r="19" spans="1:10" ht="18.75" customHeight="1">
      <c r="A19" s="35" t="s">
        <v>83</v>
      </c>
      <c r="B19" s="89">
        <v>8</v>
      </c>
      <c r="C19" s="90">
        <v>20899717</v>
      </c>
      <c r="D19" s="90">
        <f>15310958+188</f>
        <v>15311146</v>
      </c>
      <c r="E19" s="91">
        <f t="shared" si="0"/>
        <v>0.7326006376067198</v>
      </c>
      <c r="F19" s="46" t="s">
        <v>83</v>
      </c>
      <c r="G19" s="94">
        <v>8</v>
      </c>
      <c r="H19" s="42">
        <f t="shared" si="2"/>
        <v>20900</v>
      </c>
      <c r="I19" s="42">
        <f>ROUND(D19/1000,0)</f>
        <v>15311</v>
      </c>
      <c r="J19" s="91">
        <f t="shared" si="1"/>
        <v>0.7325837320574162</v>
      </c>
    </row>
    <row r="20" spans="1:10" ht="19.5" customHeight="1">
      <c r="A20" s="35" t="s">
        <v>84</v>
      </c>
      <c r="B20" s="89">
        <v>9</v>
      </c>
      <c r="C20" s="90">
        <v>169047</v>
      </c>
      <c r="D20" s="90">
        <f>118055</f>
        <v>118055</v>
      </c>
      <c r="E20" s="91">
        <f t="shared" si="0"/>
        <v>0.698356078487048</v>
      </c>
      <c r="F20" s="46" t="s">
        <v>84</v>
      </c>
      <c r="G20" s="94">
        <v>9</v>
      </c>
      <c r="H20" s="42">
        <f t="shared" si="2"/>
        <v>169</v>
      </c>
      <c r="I20" s="42">
        <f t="shared" si="3"/>
        <v>118</v>
      </c>
      <c r="J20" s="91">
        <f t="shared" si="1"/>
        <v>0.6982248520710059</v>
      </c>
    </row>
    <row r="21" spans="1:10" ht="19.5" customHeight="1">
      <c r="A21" s="97" t="s">
        <v>85</v>
      </c>
      <c r="B21" s="89">
        <v>10</v>
      </c>
      <c r="C21" s="90">
        <v>56178566</v>
      </c>
      <c r="D21" s="90">
        <f>38692329</f>
        <v>38692329</v>
      </c>
      <c r="E21" s="91">
        <f t="shared" si="0"/>
        <v>0.6887382814292554</v>
      </c>
      <c r="F21" s="98" t="s">
        <v>85</v>
      </c>
      <c r="G21" s="94">
        <v>10</v>
      </c>
      <c r="H21" s="42">
        <f t="shared" si="2"/>
        <v>56179</v>
      </c>
      <c r="I21" s="42">
        <f t="shared" si="3"/>
        <v>38692</v>
      </c>
      <c r="J21" s="91">
        <f t="shared" si="1"/>
        <v>0.6887271044340412</v>
      </c>
    </row>
    <row r="22" spans="1:10" ht="20.25" customHeight="1">
      <c r="A22" s="97" t="s">
        <v>86</v>
      </c>
      <c r="B22" s="89">
        <v>11</v>
      </c>
      <c r="C22" s="90">
        <v>833073</v>
      </c>
      <c r="D22" s="90">
        <f>494235</f>
        <v>494235</v>
      </c>
      <c r="E22" s="91">
        <f t="shared" si="0"/>
        <v>0.5932673367159901</v>
      </c>
      <c r="F22" s="98" t="s">
        <v>86</v>
      </c>
      <c r="G22" s="94">
        <v>11</v>
      </c>
      <c r="H22" s="42">
        <f t="shared" si="2"/>
        <v>833</v>
      </c>
      <c r="I22" s="42">
        <f t="shared" si="3"/>
        <v>494</v>
      </c>
      <c r="J22" s="91">
        <f t="shared" si="1"/>
        <v>0.5930372148859544</v>
      </c>
    </row>
    <row r="23" spans="1:10" ht="19.5" customHeight="1">
      <c r="A23" s="35" t="s">
        <v>87</v>
      </c>
      <c r="B23" s="89">
        <v>12</v>
      </c>
      <c r="C23" s="90">
        <v>8074296</v>
      </c>
      <c r="D23" s="90">
        <v>5923261</v>
      </c>
      <c r="E23" s="91">
        <f t="shared" si="0"/>
        <v>0.733594730735658</v>
      </c>
      <c r="F23" s="46" t="s">
        <v>87</v>
      </c>
      <c r="G23" s="94">
        <v>12</v>
      </c>
      <c r="H23" s="42">
        <f t="shared" si="2"/>
        <v>8074</v>
      </c>
      <c r="I23" s="42">
        <f t="shared" si="3"/>
        <v>5923</v>
      </c>
      <c r="J23" s="91">
        <f t="shared" si="1"/>
        <v>0.7335892989843944</v>
      </c>
    </row>
    <row r="24" spans="1:10" ht="19.5" customHeight="1">
      <c r="A24" s="35" t="s">
        <v>88</v>
      </c>
      <c r="B24" s="89">
        <v>13</v>
      </c>
      <c r="C24" s="90">
        <v>20209404</v>
      </c>
      <c r="D24" s="90">
        <f>14180313+14192</f>
        <v>14194505</v>
      </c>
      <c r="E24" s="91">
        <f t="shared" si="0"/>
        <v>0.702371282201098</v>
      </c>
      <c r="F24" s="46" t="s">
        <v>88</v>
      </c>
      <c r="G24" s="94">
        <v>13</v>
      </c>
      <c r="H24" s="42">
        <f>ROUND(C24/1000,)+1</f>
        <v>20210</v>
      </c>
      <c r="I24" s="42">
        <f t="shared" si="3"/>
        <v>14195</v>
      </c>
      <c r="J24" s="91">
        <f t="shared" si="1"/>
        <v>0.702375061850569</v>
      </c>
    </row>
    <row r="25" spans="1:10" ht="19.5" customHeight="1">
      <c r="A25" s="97" t="s">
        <v>89</v>
      </c>
      <c r="B25" s="89">
        <v>14</v>
      </c>
      <c r="C25" s="90">
        <f>130922701+89768124</f>
        <v>220690825</v>
      </c>
      <c r="D25" s="90">
        <f>93072742+56377998</f>
        <v>149450740</v>
      </c>
      <c r="E25" s="91">
        <f t="shared" si="0"/>
        <v>0.6771950759620388</v>
      </c>
      <c r="F25" s="98" t="s">
        <v>104</v>
      </c>
      <c r="G25" s="94">
        <v>14</v>
      </c>
      <c r="H25" s="42">
        <f>ROUND(C25/1000,)</f>
        <v>220691</v>
      </c>
      <c r="I25" s="42">
        <f>ROUND(D25/1000,0)</f>
        <v>149451</v>
      </c>
      <c r="J25" s="91">
        <f t="shared" si="1"/>
        <v>0.6771957170885989</v>
      </c>
    </row>
    <row r="26" spans="2:10" ht="12.75">
      <c r="B26" s="99"/>
      <c r="C26" s="59"/>
      <c r="D26" s="59"/>
      <c r="E26" s="100"/>
      <c r="G26" s="99"/>
      <c r="H26" s="59"/>
      <c r="I26" s="59"/>
      <c r="J26" s="100"/>
    </row>
    <row r="27" spans="2:10" ht="12.75">
      <c r="B27" s="99"/>
      <c r="C27" s="59"/>
      <c r="D27" s="59"/>
      <c r="E27" s="100"/>
      <c r="G27" s="99"/>
      <c r="H27" s="59"/>
      <c r="I27" s="59"/>
      <c r="J27" s="100"/>
    </row>
    <row r="28" spans="1:10" ht="14.25">
      <c r="A28" s="101"/>
      <c r="B28" s="102"/>
      <c r="C28" s="59"/>
      <c r="D28" s="59"/>
      <c r="E28" s="100"/>
      <c r="F28" s="101"/>
      <c r="G28" s="102"/>
      <c r="H28" s="59"/>
      <c r="I28" s="59"/>
      <c r="J28" s="100"/>
    </row>
    <row r="29" spans="1:10" ht="14.25">
      <c r="A29" s="101"/>
      <c r="B29" s="102"/>
      <c r="C29" s="59"/>
      <c r="D29" s="59"/>
      <c r="E29" s="100"/>
      <c r="F29" s="8" t="s">
        <v>105</v>
      </c>
      <c r="G29" s="102"/>
      <c r="H29" s="59"/>
      <c r="I29" s="59"/>
      <c r="J29" s="100"/>
    </row>
    <row r="30" spans="1:10" ht="14.25">
      <c r="A30" s="101"/>
      <c r="B30" s="102"/>
      <c r="C30" s="59"/>
      <c r="D30" s="59"/>
      <c r="E30" s="100"/>
      <c r="F30" s="101"/>
      <c r="G30" s="102"/>
      <c r="H30" s="59"/>
      <c r="I30" s="59"/>
      <c r="J30" s="100"/>
    </row>
    <row r="31" spans="1:10" ht="14.25">
      <c r="A31" s="101"/>
      <c r="B31" s="102"/>
      <c r="C31" s="59"/>
      <c r="D31" s="59"/>
      <c r="E31" s="100"/>
      <c r="F31" s="101"/>
      <c r="G31" s="102"/>
      <c r="H31" s="59"/>
      <c r="I31" s="59"/>
      <c r="J31" s="100"/>
    </row>
    <row r="32" spans="1:10" ht="14.25">
      <c r="A32" s="101"/>
      <c r="B32" s="102"/>
      <c r="C32" s="59"/>
      <c r="D32" s="59"/>
      <c r="E32" s="100"/>
      <c r="F32" s="101"/>
      <c r="G32" s="102"/>
      <c r="H32" s="59"/>
      <c r="I32" s="59"/>
      <c r="J32" s="100"/>
    </row>
    <row r="33" spans="1:10" ht="14.25">
      <c r="A33" s="101"/>
      <c r="B33" s="102"/>
      <c r="C33" s="59"/>
      <c r="D33" s="59"/>
      <c r="E33" s="100"/>
      <c r="F33" s="101"/>
      <c r="G33" s="102"/>
      <c r="H33" s="59"/>
      <c r="I33" s="59"/>
      <c r="J33" s="100"/>
    </row>
    <row r="34" spans="1:10" ht="14.25">
      <c r="A34" s="101"/>
      <c r="B34" s="102"/>
      <c r="C34" s="59"/>
      <c r="D34" s="59"/>
      <c r="E34" s="100"/>
      <c r="F34" s="101"/>
      <c r="G34" s="102"/>
      <c r="H34" s="59"/>
      <c r="I34" s="59"/>
      <c r="J34" s="100"/>
    </row>
    <row r="35" spans="1:10" ht="14.25">
      <c r="A35" s="101"/>
      <c r="B35" s="102"/>
      <c r="C35" s="59"/>
      <c r="D35" s="59"/>
      <c r="E35" s="100"/>
      <c r="F35" s="101"/>
      <c r="G35" s="102"/>
      <c r="H35" s="59"/>
      <c r="I35" s="59"/>
      <c r="J35" s="100"/>
    </row>
    <row r="36" spans="1:10" ht="12">
      <c r="A36" s="8" t="s">
        <v>106</v>
      </c>
      <c r="B36" s="99"/>
      <c r="C36" s="103" t="s">
        <v>92</v>
      </c>
      <c r="D36" s="103"/>
      <c r="E36" s="100"/>
      <c r="F36" s="8" t="s">
        <v>107</v>
      </c>
      <c r="G36" s="99"/>
      <c r="H36" s="103" t="s">
        <v>93</v>
      </c>
      <c r="I36" s="103"/>
      <c r="J36" s="100"/>
    </row>
    <row r="37" spans="2:10" ht="12">
      <c r="B37" s="99"/>
      <c r="C37" s="103"/>
      <c r="D37" s="103"/>
      <c r="E37" s="100"/>
      <c r="G37" s="99"/>
      <c r="H37" s="103"/>
      <c r="I37" s="103"/>
      <c r="J37" s="100"/>
    </row>
    <row r="38" spans="3:10" ht="12">
      <c r="C38" s="103"/>
      <c r="D38" s="103"/>
      <c r="E38" s="104"/>
      <c r="H38" s="103"/>
      <c r="I38" s="103"/>
      <c r="J38" s="104"/>
    </row>
    <row r="39" spans="3:10" ht="12">
      <c r="C39" s="103"/>
      <c r="D39" s="103"/>
      <c r="E39" s="104"/>
      <c r="H39" s="103"/>
      <c r="I39" s="103"/>
      <c r="J39" s="104"/>
    </row>
    <row r="40" spans="1:10" ht="12.75">
      <c r="A40" s="8" t="s">
        <v>94</v>
      </c>
      <c r="C40" s="59"/>
      <c r="D40" s="59"/>
      <c r="E40" s="100"/>
      <c r="F40" s="8" t="s">
        <v>94</v>
      </c>
      <c r="H40" s="59"/>
      <c r="I40" s="59"/>
      <c r="J40" s="100"/>
    </row>
    <row r="41" spans="1:10" ht="14.25">
      <c r="A41" s="8" t="s">
        <v>95</v>
      </c>
      <c r="B41" s="101"/>
      <c r="C41" s="59"/>
      <c r="D41" s="59"/>
      <c r="E41" s="100"/>
      <c r="F41" s="8" t="s">
        <v>95</v>
      </c>
      <c r="G41" s="101"/>
      <c r="H41" s="59"/>
      <c r="I41" s="59"/>
      <c r="J41" s="100"/>
    </row>
    <row r="42" spans="1:10" ht="14.25">
      <c r="A42" s="101"/>
      <c r="B42" s="101"/>
      <c r="C42" s="59"/>
      <c r="D42" s="59"/>
      <c r="E42" s="100"/>
      <c r="F42" s="101"/>
      <c r="G42" s="101"/>
      <c r="H42" s="59"/>
      <c r="I42" s="59"/>
      <c r="J42" s="100"/>
    </row>
    <row r="43" spans="1:10" ht="14.25">
      <c r="A43" s="101"/>
      <c r="B43" s="101"/>
      <c r="C43" s="59"/>
      <c r="D43" s="59"/>
      <c r="E43" s="100"/>
      <c r="F43" s="101"/>
      <c r="G43" s="101"/>
      <c r="H43" s="59"/>
      <c r="I43" s="59"/>
      <c r="J43" s="100"/>
    </row>
    <row r="44" spans="1:10" ht="14.25">
      <c r="A44" s="101"/>
      <c r="B44" s="101"/>
      <c r="C44" s="59"/>
      <c r="D44" s="59"/>
      <c r="E44" s="100"/>
      <c r="F44" s="101"/>
      <c r="G44" s="101"/>
      <c r="H44" s="59"/>
      <c r="I44" s="59"/>
      <c r="J44" s="100"/>
    </row>
    <row r="45" spans="1:10" ht="14.25">
      <c r="A45" s="101"/>
      <c r="B45" s="101"/>
      <c r="C45" s="59"/>
      <c r="D45" s="59"/>
      <c r="E45" s="100"/>
      <c r="F45" s="101"/>
      <c r="G45" s="101"/>
      <c r="H45" s="59"/>
      <c r="I45" s="59"/>
      <c r="J45" s="100"/>
    </row>
    <row r="46" spans="1:10" ht="14.25">
      <c r="A46" s="101"/>
      <c r="B46" s="101"/>
      <c r="C46" s="59"/>
      <c r="D46" s="59"/>
      <c r="E46" s="100"/>
      <c r="F46" s="101"/>
      <c r="G46" s="101"/>
      <c r="H46" s="59"/>
      <c r="I46" s="59"/>
      <c r="J46" s="100"/>
    </row>
    <row r="47" spans="1:10" ht="14.25">
      <c r="A47" s="101"/>
      <c r="B47" s="101"/>
      <c r="C47" s="59"/>
      <c r="D47" s="59"/>
      <c r="E47" s="100"/>
      <c r="F47" s="101"/>
      <c r="G47" s="101"/>
      <c r="H47" s="59"/>
      <c r="I47" s="59"/>
      <c r="J47" s="100"/>
    </row>
    <row r="48" spans="3:10" ht="12.75">
      <c r="C48" s="59"/>
      <c r="D48" s="59"/>
      <c r="E48" s="100"/>
      <c r="H48" s="59"/>
      <c r="I48" s="59"/>
      <c r="J48" s="100"/>
    </row>
    <row r="49" spans="3:10" ht="12.75">
      <c r="C49" s="59"/>
      <c r="D49" s="59"/>
      <c r="E49" s="100"/>
      <c r="H49" s="59"/>
      <c r="I49" s="59"/>
      <c r="J49" s="100"/>
    </row>
    <row r="50" spans="3:10" ht="12.75">
      <c r="C50" s="59"/>
      <c r="D50" s="59"/>
      <c r="E50" s="100"/>
      <c r="H50" s="59"/>
      <c r="I50" s="59"/>
      <c r="J50" s="100"/>
    </row>
    <row r="51" spans="3:10" ht="12.75">
      <c r="C51" s="59"/>
      <c r="D51" s="59"/>
      <c r="E51" s="100"/>
      <c r="H51" s="59"/>
      <c r="I51" s="59"/>
      <c r="J51" s="100"/>
    </row>
    <row r="52" spans="3:10" ht="12.75">
      <c r="C52" s="59"/>
      <c r="D52" s="59"/>
      <c r="E52" s="100"/>
      <c r="H52" s="59"/>
      <c r="I52" s="59"/>
      <c r="J52" s="100"/>
    </row>
    <row r="53" spans="3:10" ht="12.75">
      <c r="C53" s="103"/>
      <c r="D53" s="59"/>
      <c r="E53" s="100"/>
      <c r="H53" s="103"/>
      <c r="I53" s="59"/>
      <c r="J53" s="100"/>
    </row>
    <row r="54" spans="2:9" ht="12.75">
      <c r="B54" s="59"/>
      <c r="C54" s="59"/>
      <c r="D54" s="100"/>
      <c r="G54" s="59"/>
      <c r="H54" s="59"/>
      <c r="I54" s="100"/>
    </row>
    <row r="55" spans="2:9" ht="12.75">
      <c r="B55" s="59"/>
      <c r="C55" s="59"/>
      <c r="D55" s="100"/>
      <c r="G55" s="59"/>
      <c r="H55" s="59"/>
      <c r="I55" s="100"/>
    </row>
    <row r="56" spans="2:9" ht="12.75">
      <c r="B56" s="59"/>
      <c r="C56" s="59"/>
      <c r="D56" s="100"/>
      <c r="G56" s="59"/>
      <c r="H56" s="59"/>
      <c r="I56" s="100"/>
    </row>
    <row r="57" spans="2:9" ht="12.75">
      <c r="B57" s="103"/>
      <c r="C57" s="59"/>
      <c r="D57" s="100"/>
      <c r="G57" s="103"/>
      <c r="H57" s="59"/>
      <c r="I57" s="100"/>
    </row>
    <row r="58" spans="2:9" ht="12.75">
      <c r="B58" s="103"/>
      <c r="C58" s="59"/>
      <c r="D58" s="100"/>
      <c r="G58" s="103"/>
      <c r="H58" s="59"/>
      <c r="I58" s="100"/>
    </row>
    <row r="59" spans="2:9" ht="12.75">
      <c r="B59" s="103"/>
      <c r="C59" s="59"/>
      <c r="D59" s="100"/>
      <c r="G59" s="103"/>
      <c r="H59" s="59"/>
      <c r="I59" s="100"/>
    </row>
    <row r="60" spans="2:9" ht="12.75">
      <c r="B60" s="103"/>
      <c r="C60" s="70"/>
      <c r="D60" s="100"/>
      <c r="G60" s="103"/>
      <c r="H60" s="70"/>
      <c r="I60" s="100"/>
    </row>
    <row r="61" spans="2:9" ht="12.75">
      <c r="B61" s="103"/>
      <c r="C61" s="70"/>
      <c r="D61" s="100"/>
      <c r="G61" s="103"/>
      <c r="H61" s="70"/>
      <c r="I61" s="100"/>
    </row>
    <row r="62" spans="2:9" ht="12.75">
      <c r="B62" s="103"/>
      <c r="C62" s="70"/>
      <c r="D62" s="100"/>
      <c r="G62" s="103"/>
      <c r="H62" s="70"/>
      <c r="I62" s="100"/>
    </row>
    <row r="63" spans="2:9" ht="12.75">
      <c r="B63" s="103"/>
      <c r="C63" s="70"/>
      <c r="D63" s="100"/>
      <c r="G63" s="103"/>
      <c r="H63" s="70"/>
      <c r="I63" s="100"/>
    </row>
    <row r="64" spans="2:9" ht="12.75">
      <c r="B64" s="103"/>
      <c r="C64" s="70"/>
      <c r="D64" s="100"/>
      <c r="G64" s="103"/>
      <c r="H64" s="70"/>
      <c r="I64" s="100"/>
    </row>
    <row r="65" spans="2:9" ht="12.75">
      <c r="B65" s="103"/>
      <c r="C65" s="70"/>
      <c r="D65" s="100"/>
      <c r="G65" s="103"/>
      <c r="H65" s="70"/>
      <c r="I65" s="100"/>
    </row>
    <row r="66" spans="2:9" ht="12.75">
      <c r="B66" s="103"/>
      <c r="C66" s="70"/>
      <c r="D66" s="100"/>
      <c r="G66" s="103"/>
      <c r="H66" s="70"/>
      <c r="I66" s="100"/>
    </row>
    <row r="67" spans="2:9" ht="12.75">
      <c r="B67" s="103"/>
      <c r="C67" s="70"/>
      <c r="D67" s="100"/>
      <c r="G67" s="103"/>
      <c r="H67" s="70"/>
      <c r="I67" s="100"/>
    </row>
    <row r="68" spans="2:9" ht="12.75">
      <c r="B68" s="103"/>
      <c r="C68" s="70"/>
      <c r="D68" s="100"/>
      <c r="G68" s="103"/>
      <c r="H68" s="70"/>
      <c r="I68" s="100"/>
    </row>
    <row r="69" spans="2:9" ht="12.75">
      <c r="B69" s="103"/>
      <c r="C69" s="70"/>
      <c r="D69" s="100"/>
      <c r="G69" s="103"/>
      <c r="H69" s="70"/>
      <c r="I69" s="100"/>
    </row>
    <row r="70" spans="2:9" ht="12.75">
      <c r="B70" s="103"/>
      <c r="C70" s="70"/>
      <c r="D70" s="100"/>
      <c r="G70" s="103"/>
      <c r="H70" s="70"/>
      <c r="I70" s="100"/>
    </row>
    <row r="71" spans="2:9" ht="12.75">
      <c r="B71" s="103"/>
      <c r="C71" s="70"/>
      <c r="D71" s="100"/>
      <c r="G71" s="103"/>
      <c r="H71" s="70"/>
      <c r="I71" s="100"/>
    </row>
    <row r="72" spans="2:9" ht="12.75">
      <c r="B72" s="103"/>
      <c r="C72" s="70"/>
      <c r="D72" s="100"/>
      <c r="G72" s="103"/>
      <c r="H72" s="70"/>
      <c r="I72" s="100"/>
    </row>
    <row r="73" spans="2:9" ht="12.75">
      <c r="B73" s="103"/>
      <c r="C73" s="70"/>
      <c r="D73" s="100"/>
      <c r="G73" s="103"/>
      <c r="H73" s="70"/>
      <c r="I73" s="100"/>
    </row>
    <row r="74" spans="2:9" ht="12.75">
      <c r="B74" s="103"/>
      <c r="C74" s="70"/>
      <c r="D74" s="100"/>
      <c r="G74" s="103"/>
      <c r="H74" s="70"/>
      <c r="I74" s="100"/>
    </row>
    <row r="75" spans="2:9" ht="12.75">
      <c r="B75" s="103"/>
      <c r="C75" s="70"/>
      <c r="D75" s="100"/>
      <c r="G75" s="103"/>
      <c r="H75" s="70"/>
      <c r="I75" s="100"/>
    </row>
    <row r="76" spans="2:9" ht="12.75">
      <c r="B76" s="103"/>
      <c r="C76" s="70"/>
      <c r="D76" s="100"/>
      <c r="G76" s="103"/>
      <c r="H76" s="70"/>
      <c r="I76" s="100"/>
    </row>
    <row r="77" spans="2:9" ht="12.75">
      <c r="B77" s="103"/>
      <c r="C77" s="70"/>
      <c r="D77" s="100"/>
      <c r="G77" s="103"/>
      <c r="H77" s="70"/>
      <c r="I77" s="100"/>
    </row>
    <row r="78" spans="2:9" ht="12.75">
      <c r="B78" s="103"/>
      <c r="C78" s="70"/>
      <c r="D78" s="100"/>
      <c r="G78" s="103"/>
      <c r="H78" s="70"/>
      <c r="I78" s="100"/>
    </row>
    <row r="79" spans="2:9" ht="12.75">
      <c r="B79" s="103"/>
      <c r="C79" s="70"/>
      <c r="D79" s="100"/>
      <c r="G79" s="103"/>
      <c r="H79" s="70"/>
      <c r="I79" s="100"/>
    </row>
    <row r="80" spans="2:9" ht="12">
      <c r="B80" s="103"/>
      <c r="D80" s="100"/>
      <c r="G80" s="103"/>
      <c r="I80" s="100"/>
    </row>
    <row r="81" spans="2:9" ht="12">
      <c r="B81" s="103"/>
      <c r="D81" s="100"/>
      <c r="G81" s="103"/>
      <c r="I81" s="100"/>
    </row>
    <row r="82" spans="2:9" ht="12">
      <c r="B82" s="103"/>
      <c r="D82" s="100"/>
      <c r="G82" s="103"/>
      <c r="I82" s="100"/>
    </row>
    <row r="83" spans="2:9" ht="12">
      <c r="B83" s="103"/>
      <c r="D83" s="100"/>
      <c r="G83" s="103"/>
      <c r="I83" s="100"/>
    </row>
    <row r="84" spans="2:9" ht="12">
      <c r="B84" s="103"/>
      <c r="D84" s="100"/>
      <c r="G84" s="103"/>
      <c r="I84" s="100"/>
    </row>
    <row r="85" spans="2:9" ht="12">
      <c r="B85" s="103"/>
      <c r="D85" s="100"/>
      <c r="G85" s="103"/>
      <c r="I85" s="100"/>
    </row>
    <row r="86" spans="2:9" ht="12">
      <c r="B86" s="103"/>
      <c r="D86" s="100"/>
      <c r="G86" s="103"/>
      <c r="I86" s="100"/>
    </row>
    <row r="87" spans="2:9" ht="12">
      <c r="B87" s="103"/>
      <c r="D87" s="100"/>
      <c r="G87" s="103"/>
      <c r="I87" s="100"/>
    </row>
    <row r="88" spans="2:9" ht="12">
      <c r="B88" s="103"/>
      <c r="D88" s="100"/>
      <c r="G88" s="103"/>
      <c r="I88" s="100"/>
    </row>
    <row r="89" spans="2:9" ht="12">
      <c r="B89" s="103"/>
      <c r="D89" s="100"/>
      <c r="G89" s="103"/>
      <c r="I89" s="100"/>
    </row>
    <row r="90" spans="2:9" ht="12">
      <c r="B90" s="103"/>
      <c r="D90" s="100"/>
      <c r="G90" s="103"/>
      <c r="I90" s="100"/>
    </row>
    <row r="91" spans="2:9" ht="12">
      <c r="B91" s="103"/>
      <c r="D91" s="100"/>
      <c r="G91" s="103"/>
      <c r="I91" s="100"/>
    </row>
    <row r="92" spans="2:9" ht="12">
      <c r="B92" s="103"/>
      <c r="D92" s="100"/>
      <c r="G92" s="103"/>
      <c r="I92" s="100"/>
    </row>
    <row r="93" spans="2:9" ht="12">
      <c r="B93" s="103"/>
      <c r="D93" s="100"/>
      <c r="G93" s="103"/>
      <c r="I93" s="100"/>
    </row>
    <row r="94" spans="2:9" ht="12">
      <c r="B94" s="103"/>
      <c r="D94" s="100"/>
      <c r="G94" s="103"/>
      <c r="I94" s="100"/>
    </row>
    <row r="95" spans="2:9" ht="12">
      <c r="B95" s="103"/>
      <c r="D95" s="100"/>
      <c r="G95" s="103"/>
      <c r="I95" s="100"/>
    </row>
    <row r="96" spans="2:9" ht="12">
      <c r="B96" s="103"/>
      <c r="D96" s="100"/>
      <c r="G96" s="103"/>
      <c r="I96" s="100"/>
    </row>
    <row r="97" spans="2:9" ht="12">
      <c r="B97" s="103"/>
      <c r="D97" s="100"/>
      <c r="G97" s="103"/>
      <c r="I97" s="100"/>
    </row>
    <row r="98" spans="2:9" ht="12">
      <c r="B98" s="103"/>
      <c r="D98" s="100"/>
      <c r="G98" s="103"/>
      <c r="I98" s="100"/>
    </row>
    <row r="99" spans="2:9" ht="12">
      <c r="B99" s="103"/>
      <c r="D99" s="100"/>
      <c r="G99" s="103"/>
      <c r="I99" s="100"/>
    </row>
    <row r="100" spans="2:9" ht="12">
      <c r="B100" s="103"/>
      <c r="D100" s="100"/>
      <c r="G100" s="103"/>
      <c r="I100" s="100"/>
    </row>
    <row r="101" spans="2:9" ht="12">
      <c r="B101" s="103"/>
      <c r="D101" s="100"/>
      <c r="G101" s="103"/>
      <c r="I101" s="100"/>
    </row>
    <row r="102" spans="2:9" ht="12">
      <c r="B102" s="103"/>
      <c r="D102" s="100"/>
      <c r="G102" s="103"/>
      <c r="I102" s="100"/>
    </row>
    <row r="103" spans="2:9" ht="12">
      <c r="B103" s="103"/>
      <c r="D103" s="100"/>
      <c r="G103" s="103"/>
      <c r="I103" s="100"/>
    </row>
    <row r="104" spans="2:9" ht="12">
      <c r="B104" s="103"/>
      <c r="D104" s="100"/>
      <c r="G104" s="103"/>
      <c r="I104" s="100"/>
    </row>
    <row r="105" spans="2:9" ht="12">
      <c r="B105" s="103"/>
      <c r="D105" s="100"/>
      <c r="G105" s="103"/>
      <c r="I105" s="100"/>
    </row>
    <row r="106" spans="2:9" ht="12">
      <c r="B106" s="103"/>
      <c r="D106" s="100"/>
      <c r="G106" s="103"/>
      <c r="I106" s="100"/>
    </row>
    <row r="107" spans="2:7" ht="12">
      <c r="B107" s="103"/>
      <c r="G107" s="103"/>
    </row>
    <row r="108" spans="2:7" ht="12">
      <c r="B108" s="103"/>
      <c r="G108" s="103"/>
    </row>
    <row r="109" spans="2:7" ht="12">
      <c r="B109" s="103"/>
      <c r="G109" s="103"/>
    </row>
    <row r="110" spans="2:7" ht="12">
      <c r="B110" s="103"/>
      <c r="G110" s="103"/>
    </row>
    <row r="111" spans="2:7" ht="12">
      <c r="B111" s="103"/>
      <c r="G111" s="103"/>
    </row>
    <row r="112" spans="2:7" ht="12">
      <c r="B112" s="103"/>
      <c r="G112" s="103"/>
    </row>
    <row r="113" spans="2:7" ht="12">
      <c r="B113" s="103"/>
      <c r="G113" s="103"/>
    </row>
    <row r="114" spans="2:7" ht="12">
      <c r="B114" s="103"/>
      <c r="G114" s="103"/>
    </row>
    <row r="115" spans="2:7" ht="12">
      <c r="B115" s="103"/>
      <c r="G115" s="103"/>
    </row>
  </sheetData>
  <mergeCells count="1"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IlzeM</cp:lastModifiedBy>
  <dcterms:created xsi:type="dcterms:W3CDTF">1999-10-15T13:01:19Z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