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kopbudzets" sheetId="1" r:id="rId1"/>
    <sheet name="1.tab." sheetId="2" r:id="rId2"/>
    <sheet name="2.tab." sheetId="3" r:id="rId3"/>
    <sheet name="3.tab." sheetId="4" r:id="rId4"/>
    <sheet name="4.tab." sheetId="5" r:id="rId5"/>
    <sheet name="5.tab." sheetId="6" r:id="rId6"/>
    <sheet name="6.tab." sheetId="7" r:id="rId7"/>
    <sheet name="7.tab." sheetId="8" r:id="rId8"/>
    <sheet name="8.tab." sheetId="9" r:id="rId9"/>
    <sheet name="9.tab." sheetId="10" r:id="rId10"/>
    <sheet name="10.tab." sheetId="11" r:id="rId11"/>
    <sheet name="11.tabula" sheetId="12" r:id="rId12"/>
    <sheet name="12.tabula" sheetId="13" r:id="rId13"/>
    <sheet name="13.tabula" sheetId="14" r:id="rId14"/>
    <sheet name="14.tabula" sheetId="15" r:id="rId15"/>
    <sheet name="15.tabula" sheetId="16" r:id="rId16"/>
    <sheet name="16.tabula" sheetId="17" r:id="rId17"/>
    <sheet name="17.tabula" sheetId="18" r:id="rId18"/>
    <sheet name="18.tabula" sheetId="19" r:id="rId19"/>
    <sheet name="19.tabula" sheetId="20" r:id="rId20"/>
    <sheet name="20.tabula" sheetId="21" r:id="rId21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xlnm.Print_Area" localSheetId="12">'12.tabula'!$A$1:$E$59</definedName>
    <definedName name="_xlnm.Print_Area" localSheetId="13">'13.tabula'!$A$1:$F$48</definedName>
    <definedName name="_xlnm.Print_Area" localSheetId="14">'14.tabula'!$A$1:$E$47</definedName>
    <definedName name="_xlnm.Print_Area" localSheetId="15">'15.tabula'!$A$1:$E$34</definedName>
    <definedName name="_xlnm.Print_Area" localSheetId="16">'16.tabula'!$A$1:$E$49</definedName>
    <definedName name="_xlnm.Print_Titles" localSheetId="17">'17.tabula'!$8:$11</definedName>
    <definedName name="_xlnm.Print_Titles" localSheetId="18">'18.tabula'!$8:$11</definedName>
    <definedName name="_xlnm.Print_Titles" localSheetId="20">'20.tabula'!$7:$9</definedName>
  </definedNames>
  <calcPr fullCalcOnLoad="1"/>
</workbook>
</file>

<file path=xl/sharedStrings.xml><?xml version="1.0" encoding="utf-8"?>
<sst xmlns="http://schemas.openxmlformats.org/spreadsheetml/2006/main" count="2381" uniqueCount="760">
  <si>
    <t xml:space="preserve">                Valsts kases oficiālais pārskats</t>
  </si>
  <si>
    <t>18.tabula</t>
  </si>
  <si>
    <t>Pašvaldību speciālā budžeta izpildes rādītāji</t>
  </si>
  <si>
    <t xml:space="preserve">                            (tūkst. latu)</t>
  </si>
  <si>
    <t>Iekšējā finansēšana</t>
  </si>
  <si>
    <t>Rajona, pilsētas nosaukums</t>
  </si>
  <si>
    <t>Ieņēmumi kopā</t>
  </si>
  <si>
    <t>Izdevumi *   kopā</t>
  </si>
  <si>
    <t>Fiskālais deficīts (-), pārpalikums (+)       (2-3)</t>
  </si>
  <si>
    <t>Finansēšana       -(2-3)</t>
  </si>
  <si>
    <t>Budžeta līdzekļu izmaiņas         (8-9)</t>
  </si>
  <si>
    <t>Ārējā finansēšana</t>
  </si>
  <si>
    <t xml:space="preserve">*  -   ieskaitot  tīros aizdevumus </t>
  </si>
  <si>
    <t xml:space="preserve">                                      Valsts kases oficiālais mēneša pārskats</t>
  </si>
  <si>
    <t xml:space="preserve">                19. tabula</t>
  </si>
  <si>
    <t xml:space="preserve">                   Pašvaldību finansu izlīdzināšanas  fonda līdzekļi</t>
  </si>
  <si>
    <t>Izpilde</t>
  </si>
  <si>
    <t xml:space="preserve">1. Ieņēmumi - kopā   </t>
  </si>
  <si>
    <t xml:space="preserve">Atlikums uz 2000.gada  1. janvāri </t>
  </si>
  <si>
    <t xml:space="preserve">Ieņēmumu prognozes neizpildes kompensācija - </t>
  </si>
  <si>
    <t>aizdevums no valsts pamatbudžeta</t>
  </si>
  <si>
    <t>Ieskaitīts dotācija no valsts pamatbudžeta</t>
  </si>
  <si>
    <t>Ieskaitīts iedzīvotāju ienākuma nodoklis no pašvaldībām</t>
  </si>
  <si>
    <t>Ieņēmumi no nekustamā īpašuma nodokļa</t>
  </si>
  <si>
    <t>2. Izdevumi - kopā</t>
  </si>
  <si>
    <t>Dotācijas pašvaldību budžetiem</t>
  </si>
  <si>
    <t>Mērķdotācijas pašvaldību budžetiem</t>
  </si>
  <si>
    <t>Valsts kases pārvaldnieks              __________________________________</t>
  </si>
  <si>
    <t xml:space="preserve">                                                                                         Valsts kases oficiālais mēneša pārskats</t>
  </si>
  <si>
    <t>20. tabula</t>
  </si>
  <si>
    <t>No valsts budžeta pārskaitītās mērķdotācijas pašvaldībām</t>
  </si>
  <si>
    <t xml:space="preserve">   ( 2000. gada janvāris - augusts )</t>
  </si>
  <si>
    <t xml:space="preserve">                (latos)</t>
  </si>
  <si>
    <t>Rajona vai pilsētas nosaukums</t>
  </si>
  <si>
    <t>Mērķdotācijas investīcijām   (13.pielikums)</t>
  </si>
  <si>
    <t xml:space="preserve">Mērķdotācijas specializētiem izglītības pasākumiem (11.pielikums) </t>
  </si>
  <si>
    <t xml:space="preserve">Mērķdotācijas pašvaldību pašdarbības kolektīviem (12.pielikums) </t>
  </si>
  <si>
    <t>Mērķdotācijas izglītības pasākumiem
(6.-10.pielikums)</t>
  </si>
  <si>
    <t xml:space="preserve">Pārējās mērķdotā-cijas </t>
  </si>
  <si>
    <t>Mērķdotācijas teritoriālplānošanai</t>
  </si>
  <si>
    <t>Mērķdotācijas
 kopā              (2+3+4+5+6+7+8)</t>
  </si>
  <si>
    <t>1999.g.</t>
  </si>
  <si>
    <t>2000.g.</t>
  </si>
  <si>
    <t xml:space="preserve">   ( 2000. gada  janvāris - augusts )</t>
  </si>
  <si>
    <t>15.09.00.</t>
  </si>
  <si>
    <t xml:space="preserve">( 2000. gada  janvāris - augusts ) </t>
  </si>
  <si>
    <t>* nesadalītais atlikums 1 212 tūkst.latu</t>
  </si>
  <si>
    <t>( 2000. gada  janvāris - augusts )</t>
  </si>
  <si>
    <t>*   -   ieskaitot  tīros aizdevumus  -143  tūkst.latu</t>
  </si>
  <si>
    <t>*   -   ieskaitot  tīros aizdevumus  -904  tūkst.latu</t>
  </si>
  <si>
    <t xml:space="preserve">                   ( 2000. gada janvāris - augusts )</t>
  </si>
  <si>
    <t>3. Atlikums uz 2000.gada 1. septembri  (1.- 2.)</t>
  </si>
  <si>
    <t>Valsts kases oficiālais mēneša pārskats par valsts kopbudžeta izpildi
(2000. gada janvāris - augusts)</t>
  </si>
  <si>
    <t xml:space="preserve">                (tūkst.latu)</t>
  </si>
  <si>
    <t>Rādītāji</t>
  </si>
  <si>
    <t>Konsolidētais
valsts budžets*</t>
  </si>
  <si>
    <t>Konsolidētais
pašvaldību budžets</t>
  </si>
  <si>
    <t>Konsolidētais kopbudžets</t>
  </si>
  <si>
    <t>Augusta izpilde</t>
  </si>
  <si>
    <t>1. Ieņēmumi (bruto)</t>
  </si>
  <si>
    <t>mīnus transferts no valsts pamatbudžeta pašvaldību budžetos</t>
  </si>
  <si>
    <t>x</t>
  </si>
  <si>
    <t>mīnus transferts no valsts speciālā budžeta pašvaldību budžetos</t>
  </si>
  <si>
    <t>1.1. Kopbudžeta ieņēmumi (neto)</t>
  </si>
  <si>
    <t>2. Izdevumi (bruto)</t>
  </si>
  <si>
    <t>mīnus valsts pamatbudžeta dotācijas, mērķdotācijas pašvaldību budžetiem</t>
  </si>
  <si>
    <t>mīnus valsts speciālā budžeta dotācijas, mērķdotācijas pašvaldību budžetiem</t>
  </si>
  <si>
    <t>2.1.Kopbudžeta izdevumi (neto)</t>
  </si>
  <si>
    <t>3.  Finansiālais deficīts(-) vai pārpalikums(+)</t>
  </si>
  <si>
    <t>4. Budžeta aizdevumi un atmaksas</t>
  </si>
  <si>
    <t>Budžeta aizdevumi (bruto)</t>
  </si>
  <si>
    <t>mīnus valsts pamatbudžeta aizdevumi pašvaldību budžetiem</t>
  </si>
  <si>
    <t>Budžeta aizdevumi (neto)</t>
  </si>
  <si>
    <t>Budžeta aizdevumu atmaksa (bruto)</t>
  </si>
  <si>
    <t>mīnus pašvaldību aizdevumu atmaksas valsts pamatbudžetam **</t>
  </si>
  <si>
    <t>Budžeta aizdevumu atmaksas (neto)</t>
  </si>
  <si>
    <t>5. Fiskālais deficīts(-) vai pārpalikums(+)</t>
  </si>
  <si>
    <t>6. Finansēšana</t>
  </si>
  <si>
    <t>6.1.Iekšējā finansēšana</t>
  </si>
  <si>
    <t>No citām valsts pārvaldes struktūrām</t>
  </si>
  <si>
    <t xml:space="preserve">     no citām tā paša līmeņa valsts pārvaldes  struktūrām</t>
  </si>
  <si>
    <t xml:space="preserve">           no citiem valsts pārvaldes līmeņiem (bruto)</t>
  </si>
  <si>
    <t xml:space="preserve">   mīnus pašvaldību finansēšana no valsts pamatbudžeta</t>
  </si>
  <si>
    <t xml:space="preserve">       no citiem valsts pārvaldes līmeņiem (neto)</t>
  </si>
  <si>
    <t>No Latvijas Bankas</t>
  </si>
  <si>
    <t xml:space="preserve">         Depozītu apjoma izmaiņas</t>
  </si>
  <si>
    <t>Norēķinu kontu
atlikumu izmaiņas</t>
  </si>
  <si>
    <t xml:space="preserve">         Valsts iekšējā aizņēmuma vērtspapīri</t>
  </si>
  <si>
    <t>No komercbankām</t>
  </si>
  <si>
    <t xml:space="preserve"> Tīrais aizņēmumu apjoms</t>
  </si>
  <si>
    <t>Pārējā iekšējā finansēšana</t>
  </si>
  <si>
    <t>6.2. Ārējā finansēšana</t>
  </si>
  <si>
    <t>* ieskaitot budžeta iestāžu saņemtos ziedojumus, dāvinājumus un pārējo ārvalstu finansu palīdzību</t>
  </si>
  <si>
    <t>** izpilde no gada sākuma koriģēta saskaņā ar metodoloģijas izmaiņām</t>
  </si>
  <si>
    <t>Valsts kases pārvaldnieks                                                                A. Veiss</t>
  </si>
  <si>
    <t>Valsts kase/Pārskatu departaments</t>
  </si>
  <si>
    <t>2000.gada 15.septembris</t>
  </si>
  <si>
    <t>1.tabula</t>
  </si>
  <si>
    <t xml:space="preserve"> Valsts kases oficiālais mēneša pārskats</t>
  </si>
  <si>
    <t>Valsts konsolidētā budžeta izpilde (2000.gada janvāris)</t>
  </si>
  <si>
    <t>Valsts konsolidētā budžeta izpilde (2000. gada janvāris - augusts)</t>
  </si>
  <si>
    <t>(tūkst.latu)</t>
  </si>
  <si>
    <t>Likumā apstiprinātais gada plāns</t>
  </si>
  <si>
    <t>Izpilde no gada sākuma</t>
  </si>
  <si>
    <t>Izpilde  % pret gada plānu         (3/2)</t>
  </si>
  <si>
    <t xml:space="preserve">Janvāra  izpilde </t>
  </si>
  <si>
    <t xml:space="preserve">Augusta  izpilde </t>
  </si>
  <si>
    <t>A.1. Kopējie ieņēmumi (B.1.+C.1.)</t>
  </si>
  <si>
    <t xml:space="preserve">  Valsts pamatbudžeta ieņēmumi (bruto)</t>
  </si>
  <si>
    <t xml:space="preserve">     Nodokļu ieņēmumi</t>
  </si>
  <si>
    <t xml:space="preserve">               - Tiešie nodokļi</t>
  </si>
  <si>
    <t xml:space="preserve">                Uzņēmumu ienākuma nodoklis</t>
  </si>
  <si>
    <t xml:space="preserve">               -  Netiešie nodokļi</t>
  </si>
  <si>
    <t xml:space="preserve">               Pievienotās vērtības nodoklis</t>
  </si>
  <si>
    <t xml:space="preserve">               Akcīzes nodoklis</t>
  </si>
  <si>
    <t xml:space="preserve">               Muitas nodoklis</t>
  </si>
  <si>
    <t xml:space="preserve">              - Citiem budžetiem sadalāmie nodokļi</t>
  </si>
  <si>
    <t xml:space="preserve">     Nenodokļu ieņēmumi</t>
  </si>
  <si>
    <t xml:space="preserve">     Maksas pakalpojumi un citi pašu ieņēmumi</t>
  </si>
  <si>
    <t xml:space="preserve">     Ārvalstu finansu palīdzība</t>
  </si>
  <si>
    <t xml:space="preserve">                                        mīnus transferts no valsts speciālā budžeta</t>
  </si>
  <si>
    <t xml:space="preserve">  B.1. Valsts pamatbudžeta ieņēmumi (neto)</t>
  </si>
  <si>
    <t xml:space="preserve">   Valsts speciālā budžeta ieņēmumi (bruto)</t>
  </si>
  <si>
    <t xml:space="preserve">     Nodokļu un nenodokļu ieņēmumi</t>
  </si>
  <si>
    <t xml:space="preserve">             Sociālās apdrošināšanas iemaksas</t>
  </si>
  <si>
    <t xml:space="preserve">             Akcīzes nodoklis</t>
  </si>
  <si>
    <t xml:space="preserve">             Iedzīvotāju ienākuma nodoklis</t>
  </si>
  <si>
    <t xml:space="preserve">          Ārvalstu finansu palīdzība</t>
  </si>
  <si>
    <t xml:space="preserve">             Pārējie</t>
  </si>
  <si>
    <t xml:space="preserve">                                         mīnus transferts no valsts pamatbudžeta</t>
  </si>
  <si>
    <t xml:space="preserve"> C.1. Valsts speciālā budžeta ieņēmumi (neto)</t>
  </si>
  <si>
    <t>A.2. Kopējie valsts budžeta izdevumi  (A.2.1.+A.2.2.+A.2.3.)</t>
  </si>
  <si>
    <t>A.2.1. Kopējie valsts budžeta uzturēšanas izdevumi (B.2.1.+C.2.1.)</t>
  </si>
  <si>
    <t>A.2.2. Kopējie valsts budžeta kapitālie izdevumi (B.2.2.+C.2.2.)</t>
  </si>
  <si>
    <t>A.2.3. Kopējie valsts budžeta izdevumi investīcijām (B.2.3.+C.2.3.)</t>
  </si>
  <si>
    <t>A.3. Valsts budžeta finansiālais deficīts (-), pārpalikums (+), (A.1.-A.2.)</t>
  </si>
  <si>
    <t>A.4. Kopējie valsts budžeta tīrie aizdevumi (B.4.+C.4.)</t>
  </si>
  <si>
    <t>Kopējie valsts budžeta izdevumi, ieskaitot tīros aizdevumus (A.2.+A.4.)</t>
  </si>
  <si>
    <t>A.5. Valsts budžeta fiskālais deficīts (-), pārpalikums (+), (A.3.-A.4.)</t>
  </si>
  <si>
    <t xml:space="preserve">  Valsts pamatbudžeta izdevumi (bruto)</t>
  </si>
  <si>
    <t xml:space="preserve">                             mīnus transferts valsts speciālajam  budžetam</t>
  </si>
  <si>
    <t xml:space="preserve">  B.2. Valsts pamatbudžeta izdevumi (neto)</t>
  </si>
  <si>
    <t xml:space="preserve">     Valsts pamatbudžeta uzturēšanas izdevumi (bruto)</t>
  </si>
  <si>
    <t xml:space="preserve">                            mīnus transferts valsts speciālajam  budžetam</t>
  </si>
  <si>
    <t xml:space="preserve">  B.2.1. Valsts pamatbudžeta uzturēšanas izdevumi (neto)</t>
  </si>
  <si>
    <t xml:space="preserve">     Valsts pamatbudžeta kapitālie  izdevumi (bruto)</t>
  </si>
  <si>
    <t xml:space="preserve">  B.2.2. Valsts pamatbudžeta kapitālie izdevumi (neto)</t>
  </si>
  <si>
    <t xml:space="preserve">     Valsts pamatbudžeta investīcijas (bruto)</t>
  </si>
  <si>
    <t xml:space="preserve">                           mīnus transferts valsts speciālajam  budžetam</t>
  </si>
  <si>
    <t xml:space="preserve">  B.2.3. Valsts pamatbudžeta investīcijas (neto)</t>
  </si>
  <si>
    <t>B.3. Valsts pamatbudžeta finansiālais deficīts (-), pārpalikums (+)</t>
  </si>
  <si>
    <t xml:space="preserve">  B.4. Valsts pamatbudžeta tīrie aizdevumi </t>
  </si>
  <si>
    <t>Valsts pamatbudžeta tīrie aizdevumi (bruto)</t>
  </si>
  <si>
    <t>B.4.1. Valsts pamatbudžeta tīrie aizdevumi (bruto)</t>
  </si>
  <si>
    <t xml:space="preserve">     Valsts pamatbudžeta tīrie aizdevumi (neto)</t>
  </si>
  <si>
    <t>B.5. Valsts pamatbudžeta fiskālais deficīts (-), pārpalikums (+), (B.3.- B.4.)</t>
  </si>
  <si>
    <t>B.5. Valsts pamatbudžeta fiskālais deficīts (-), pārpalikums (+), (B.3.- B.4.1)</t>
  </si>
  <si>
    <t xml:space="preserve">  Valsts speciālā budžeta izdevumi (bruto)</t>
  </si>
  <si>
    <t xml:space="preserve">                           mīnus transferts valsts pamatbudžetam</t>
  </si>
  <si>
    <t xml:space="preserve">  C.2. Valsts speciālā budžeta izdevumi (neto)</t>
  </si>
  <si>
    <t xml:space="preserve">     Valsts speciālā budžeta uzturēšanas izdevumi (bruto)</t>
  </si>
  <si>
    <t xml:space="preserve">                          mīnus transferts valsts pamatbudžetam</t>
  </si>
  <si>
    <t xml:space="preserve">  C.2.1. Valsts speciālā budžeta uzturēšanas izdevumi (neto)</t>
  </si>
  <si>
    <t xml:space="preserve">     Valsts speciālā budžeta kapitālie izdevumi (bruto)</t>
  </si>
  <si>
    <t xml:space="preserve">  C.2.2. Valsts speciālā budžeta kapitālie izdevumi (neto)</t>
  </si>
  <si>
    <t xml:space="preserve">     Valsts speciālā budžeta investīcijas (bruto)</t>
  </si>
  <si>
    <t xml:space="preserve">  C.2.3. Valsts speciālā budžeta investīcijas (neto)</t>
  </si>
  <si>
    <t>C.3. Valsts speciālā budžeta finansiālais deficīts (-), pārpalikums (+)</t>
  </si>
  <si>
    <t xml:space="preserve">  C.4. Valsts speciālā budžeta tīrie aizdevumi </t>
  </si>
  <si>
    <t xml:space="preserve">     Valsts speciālā budžeta aizdevumi (bruto)</t>
  </si>
  <si>
    <t xml:space="preserve">     Valsts speciālā budžeta aizdevumi (neto)</t>
  </si>
  <si>
    <t>C.5. Valsts speciālā budžeta fiskālais deficīts (-), pārpalikums (+), (C.3.- C.4.)</t>
  </si>
  <si>
    <t xml:space="preserve">Valsts kases pārvaldnieks ______________________________  (A. Veiss)                                                                    </t>
  </si>
  <si>
    <t xml:space="preserve">Valsts kases pārvaldnieks ______________________________  (A.Veiss)                                                                    </t>
  </si>
  <si>
    <t>Valsts kase / Pārskatu departaments</t>
  </si>
  <si>
    <t>2.tabula</t>
  </si>
  <si>
    <t>Valsts kases oficiālais mēneša pārskats</t>
  </si>
  <si>
    <t xml:space="preserve">                    Valsts kases oficiālais mēneša pārskats</t>
  </si>
  <si>
    <t>Valsts pamatbudžeta ieņēmumi (2000.gada janvāris- augusts )</t>
  </si>
  <si>
    <t>Valsts pamatbudžeta ieņēmumi (2000.gada janvāris- augusts)</t>
  </si>
  <si>
    <t>Gada sagaidāmā izpilde %</t>
  </si>
  <si>
    <t>Izpilde % pret gada plānu            (4/2)</t>
  </si>
  <si>
    <t xml:space="preserve">Izpilde no gada sākuma </t>
  </si>
  <si>
    <t>augusts</t>
  </si>
  <si>
    <t>1.Ieņēmumi - kopā  (1.1.+1.2.+1.3.+1.4)</t>
  </si>
  <si>
    <t>1.1. Nodokļu ieņēmumi</t>
  </si>
  <si>
    <t>Tiešie nodokļi</t>
  </si>
  <si>
    <t xml:space="preserve">   Uzņēmumu ienākuma nodoklis</t>
  </si>
  <si>
    <t>Netiešie nodokļi</t>
  </si>
  <si>
    <t xml:space="preserve">   Pievienotās vērtības nodoklis</t>
  </si>
  <si>
    <t xml:space="preserve">   Akcīzes nodoklis</t>
  </si>
  <si>
    <t xml:space="preserve">   Muitas nodoklis</t>
  </si>
  <si>
    <t>Citiem budžetiem sadalāmie nodokļi *</t>
  </si>
  <si>
    <t>1.2. Nenodokļu ieņēmumi</t>
  </si>
  <si>
    <t xml:space="preserve">   Maksājumi par valsts kapitāla izmantošanu</t>
  </si>
  <si>
    <t xml:space="preserve">   Procentu maksājumi par kredītiem</t>
  </si>
  <si>
    <t xml:space="preserve">   Valsts nodevas par juridiskajiem un citiem pakalpojumiem</t>
  </si>
  <si>
    <t xml:space="preserve">   Valsts nodeva par licenču izsniegšanu atsevišķu uzņēmējdarbības veidu veikšanai</t>
  </si>
  <si>
    <t>Speciāliem mērķiem paredzētās nodevas</t>
  </si>
  <si>
    <t xml:space="preserve">   Speciāliem mērķiem paredzētās nodevas</t>
  </si>
  <si>
    <t xml:space="preserve">   Ienākumi no valsts īpašuma iznomāšanas</t>
  </si>
  <si>
    <t xml:space="preserve">   Ieņēmumi no valsts īpašuma iznomāšanas</t>
  </si>
  <si>
    <t xml:space="preserve">   Sodi un sankcijas</t>
  </si>
  <si>
    <t xml:space="preserve">   Pārējie nenodokļu ieņēmumi **</t>
  </si>
  <si>
    <t xml:space="preserve">  pārskaitījums valsts pamatbudžetā sociālās apdrošināšanas iemaksu administrēšanai</t>
  </si>
  <si>
    <t xml:space="preserve">  pārskaitījums valsts pamatbudžetā sociālās apdrošināšanas iemaksu administrēšanai un sporta nodarbību un brīvā  laika  pasākumiem</t>
  </si>
  <si>
    <t xml:space="preserve">   pārējie nenodokļu ieņēmumi</t>
  </si>
  <si>
    <t xml:space="preserve">   Citas iemaksas par nekustamo īpašumu</t>
  </si>
  <si>
    <t>t.sk. Ieņēmumi no Skrundas lokatora nomas maksas 50% apmērā</t>
  </si>
  <si>
    <t>1.3.Pašu ieņēmumi</t>
  </si>
  <si>
    <t xml:space="preserve">   Budžeta iestāžu ieņēmumi no maksas pakalpojumiem</t>
  </si>
  <si>
    <t>1.4. Ārvalstu finansu palīdzība</t>
  </si>
  <si>
    <t xml:space="preserve">1.4. Ārvalstu finansu palīdzība </t>
  </si>
  <si>
    <t>* - ieskaitot nodokli no īpašuma - 759005.52 latu</t>
  </si>
  <si>
    <t>* - ieskaitot nodokli no īpašuma - 806 tūkst. latu</t>
  </si>
  <si>
    <t>** - ieskaitot procentus par valsts depozītu - 2233327.65  latu</t>
  </si>
  <si>
    <t>** - ieskaitot procentus par valsts depozītu - 2 528 tūkst. latu</t>
  </si>
  <si>
    <t xml:space="preserve">Valsts kases pārvaldnieks_________________________________ A.Veiss </t>
  </si>
  <si>
    <t>Valsts kases pārvaldnieks________________________________________(A.Veiss)</t>
  </si>
  <si>
    <t>2000.gada 15. Augusts</t>
  </si>
  <si>
    <t>2000.gada 15. septembrī</t>
  </si>
  <si>
    <t xml:space="preserve">Valsts kases oficiālais mēneša pārskats </t>
  </si>
  <si>
    <t>3.tabula</t>
  </si>
  <si>
    <t>Valsts pamatbudżeta izdevumi pa ministrijām un pasākumiem</t>
  </si>
  <si>
    <t xml:space="preserve">     Valsts pamatbudżeta izdevumi pa ministrijām un pasākumiem</t>
  </si>
  <si>
    <t>(2000.gada janvāris-augusts)</t>
  </si>
  <si>
    <t>kopā ar ārvalstu  finansu palīdzību</t>
  </si>
  <si>
    <t>(latos)</t>
  </si>
  <si>
    <t xml:space="preserve">Finansēšanas plāns pārskata periodam </t>
  </si>
  <si>
    <t>Izpilde % pret gada plānu (4/2)</t>
  </si>
  <si>
    <t>Izpilde % pret finansēša-nas plānu pārskata periodam 
  (4/3)</t>
  </si>
  <si>
    <t>Izpilde % pret finansēšanas plānu pārskata periodam 
  (4/3)</t>
  </si>
  <si>
    <t>mēneša izpilde</t>
  </si>
  <si>
    <t xml:space="preserve">   Izdevumi - kopā </t>
  </si>
  <si>
    <t xml:space="preserve">     Uzturēšanas izdevumi</t>
  </si>
  <si>
    <t xml:space="preserve">     Izdevumi kapitālieguldījumiem</t>
  </si>
  <si>
    <t>Valsts Prezidenta kanceleja</t>
  </si>
  <si>
    <t>Valsts prezidenta kanceleja</t>
  </si>
  <si>
    <t>Saeima</t>
  </si>
  <si>
    <t>Ministru Kabinets</t>
  </si>
  <si>
    <t>Aizsardzības ministrija</t>
  </si>
  <si>
    <t>Ārlietu ministrija</t>
  </si>
  <si>
    <t>Ekonomikas ministrija</t>
  </si>
  <si>
    <t>Finansu ministrija</t>
  </si>
  <si>
    <t>Iekšlietu ministrija</t>
  </si>
  <si>
    <t>Izglītības un zinātnes ministrija</t>
  </si>
  <si>
    <t>Zemkopības ministrija</t>
  </si>
  <si>
    <t>Satiksmes ministrija</t>
  </si>
  <si>
    <t>Labklājības ministrija</t>
  </si>
  <si>
    <t>Tieslietu ministrija</t>
  </si>
  <si>
    <t>Vides aizsardzības un reģionālās attīstības ministrija</t>
  </si>
  <si>
    <t>Kultūras ministrija</t>
  </si>
  <si>
    <t>Valsts zemes dienests</t>
  </si>
  <si>
    <t>Valsts kontrole</t>
  </si>
  <si>
    <t>Augstākā tiesa</t>
  </si>
  <si>
    <t>Satversmes tiesa</t>
  </si>
  <si>
    <t>Prokuratūra</t>
  </si>
  <si>
    <t>Centrālā vēlēšanu komisija</t>
  </si>
  <si>
    <t>Centrālā zemes komisija</t>
  </si>
  <si>
    <t>Satversmes aizsardzības birojs</t>
  </si>
  <si>
    <t>Radio un televīzija</t>
  </si>
  <si>
    <t>Valsts cilvēktiesību birojs</t>
  </si>
  <si>
    <t>Īpašu uzdevumu ministra sadarbībai  ar starptautiskajām finansu institūcijām sekretariāts</t>
  </si>
  <si>
    <t>Īpašu uzdevumu ministra valsts pārvaldes  un  pašvaldību  reformu lietās  sekretariāts</t>
  </si>
  <si>
    <t>Īpašu uzdevumu ministra valsts pārvaldes  un  pašvaldību  reformas jautājumos  sekretariāts</t>
  </si>
  <si>
    <t>Mērķdotācijas pašvaldībām</t>
  </si>
  <si>
    <t>Dotācija pašvaldībām</t>
  </si>
  <si>
    <t>Valsts kases pārvaldnieks ________________________________________ (A.Veiss)</t>
  </si>
  <si>
    <t xml:space="preserve">        (paraksts)</t>
  </si>
  <si>
    <t xml:space="preserve">Valsts kases pārvaldnieks ._________________________________ A.Veiss </t>
  </si>
  <si>
    <t>2000. gada 15.augusts</t>
  </si>
  <si>
    <t>2000. gada 15.septembris</t>
  </si>
  <si>
    <t>4.tabula</t>
  </si>
  <si>
    <t xml:space="preserve">           Valsts kases oficiālais mēneša pārskats</t>
  </si>
  <si>
    <t xml:space="preserve">Valsts pamatbudžeta ieņēmumu un izdevumu atšifrējums </t>
  </si>
  <si>
    <t xml:space="preserve">Valsts pamatbudžeta ieņēmumi un izdevumi  </t>
  </si>
  <si>
    <t>pēc ekonomiskās klasifikācijas</t>
  </si>
  <si>
    <t>(2000.gada janvāris - augusts )</t>
  </si>
  <si>
    <t>Finansēšanas plāns pārskata periodam</t>
  </si>
  <si>
    <t>Izpilde % pret gada plānu      (4/2)</t>
  </si>
  <si>
    <t>Izpilde % pret finansēšanas plānu pārskata periodam       (4/3)</t>
  </si>
  <si>
    <t>Augusta  izpilde</t>
  </si>
  <si>
    <t>Izpilde % pret finansēša-nas plānu pārskata periodam       (4/3)</t>
  </si>
  <si>
    <t>jūlijs</t>
  </si>
  <si>
    <t>jūnijs</t>
  </si>
  <si>
    <t>1. Ieņēmumi - kopā</t>
  </si>
  <si>
    <t xml:space="preserve">Resursi izdevumu segšanai </t>
  </si>
  <si>
    <t xml:space="preserve">   Dotācija no vispārējiem ieņēmumiem</t>
  </si>
  <si>
    <t xml:space="preserve">   Dotācija īpašiem mērķiem</t>
  </si>
  <si>
    <t xml:space="preserve">   Maksas pakalpojumi un citi pašu ieņēmumi</t>
  </si>
  <si>
    <t xml:space="preserve">Ārvalstu finansu palīdzība </t>
  </si>
  <si>
    <t xml:space="preserve"> Ārvalstu finansu palīdzība </t>
  </si>
  <si>
    <t>2. Izdevumi - kopā (2.1.+2.2.)</t>
  </si>
  <si>
    <t>2.1. Uzturēšanas izdevumi</t>
  </si>
  <si>
    <t>Kārtējie izdevumi</t>
  </si>
  <si>
    <t xml:space="preserve">    atalgojumi</t>
  </si>
  <si>
    <t xml:space="preserve">   valsts sociālās apdrošināšanas obligātās iemaksas</t>
  </si>
  <si>
    <t xml:space="preserve">    pārējie kārtējie izdevumi</t>
  </si>
  <si>
    <t>Maksājumi par aizņēmumiem un kredītiem</t>
  </si>
  <si>
    <t xml:space="preserve">   procentu nomaksa par iekšējiem aizņēmumiem</t>
  </si>
  <si>
    <t xml:space="preserve">    procentu nomaksa ārvalstu institūcijām</t>
  </si>
  <si>
    <t xml:space="preserve">   Finansu ministrijas maksājumi par valsts parāda apkalpošanu</t>
  </si>
  <si>
    <t xml:space="preserve">   Finansu ministrijas maksājumi par valsts     parāda apkalpošanu</t>
  </si>
  <si>
    <t>Subsīdijas un dotācijas</t>
  </si>
  <si>
    <t xml:space="preserve">    subsīdijas</t>
  </si>
  <si>
    <t xml:space="preserve">    mērķdotācijas pašvaldību budžetiem</t>
  </si>
  <si>
    <t xml:space="preserve">    dotācijas pašvaldību budžetiem</t>
  </si>
  <si>
    <t xml:space="preserve">    dotācijas iestādēm un organizācijām</t>
  </si>
  <si>
    <t xml:space="preserve">        t.sk.        speciālajam budžetam*</t>
  </si>
  <si>
    <t xml:space="preserve">                 t.sk.speciālajam budžetam*</t>
  </si>
  <si>
    <t xml:space="preserve"> pārējiem</t>
  </si>
  <si>
    <t xml:space="preserve">           pārējiem</t>
  </si>
  <si>
    <t xml:space="preserve">     dotācijas iedzīvotājiem</t>
  </si>
  <si>
    <t xml:space="preserve">              t.sk.          pensijas </t>
  </si>
  <si>
    <t xml:space="preserve">                 t.sk.        pensijas </t>
  </si>
  <si>
    <t xml:space="preserve"> pabalsti</t>
  </si>
  <si>
    <t xml:space="preserve">         pabalsti</t>
  </si>
  <si>
    <t xml:space="preserve">    stipendijas</t>
  </si>
  <si>
    <t xml:space="preserve">            stipendijas</t>
  </si>
  <si>
    <t xml:space="preserve"> pārējie</t>
  </si>
  <si>
    <t xml:space="preserve">      pārējie</t>
  </si>
  <si>
    <t xml:space="preserve">   iemaksas starptautiskajās organizācijās</t>
  </si>
  <si>
    <t>2.2.Izdevumi kapitālieguldījumiem</t>
  </si>
  <si>
    <t>Kapitālie izdevumi kopā</t>
  </si>
  <si>
    <t>Kapitālie izdevumi</t>
  </si>
  <si>
    <t>Investīcijas kopā</t>
  </si>
  <si>
    <t>Investīcijas</t>
  </si>
  <si>
    <t>t.sk. speciālajam budžetam</t>
  </si>
  <si>
    <t>t.sk. pašvaldību budžetam</t>
  </si>
  <si>
    <t>3. Valsts budžeta tīrie aizdevumi (3.1.-3.2.)</t>
  </si>
  <si>
    <t>3.1.Valsts budžeta aizdevumi</t>
  </si>
  <si>
    <t>t.sk.speciālajam budžetam</t>
  </si>
  <si>
    <t>3.2.Valsts budžeta aizdevumu atmaksas</t>
  </si>
  <si>
    <t>t.sk. no speciālā budžeta</t>
  </si>
  <si>
    <t xml:space="preserve">Fiskālā bilance </t>
  </si>
  <si>
    <t>Finansēšana</t>
  </si>
  <si>
    <t>ieņēmumi no valsts īpašuma privatizācijas</t>
  </si>
  <si>
    <t xml:space="preserve">ieņēmumi no valsts īpašuma pārdošanas </t>
  </si>
  <si>
    <t xml:space="preserve">citi finansēšanas avoti </t>
  </si>
  <si>
    <t>* - ieskaitot AM pensiju apdrošināšanu 25 784 lati</t>
  </si>
  <si>
    <t>* - ieskaitot AM pensiju apdrošināšanu 25 tūkst. latu</t>
  </si>
  <si>
    <t>Valsts kases pārvaldnieks _______________________________________ (A.Veiss)</t>
  </si>
  <si>
    <t>Valsts kases pārvaldnieks _________________________________ A.Veiss</t>
  </si>
  <si>
    <t>2000.gada 15.septembrī</t>
  </si>
  <si>
    <t>5.tabula</t>
  </si>
  <si>
    <t xml:space="preserve">             Valsts kases oficiālais mēneša pārskats</t>
  </si>
  <si>
    <t xml:space="preserve">Valsts speciālā budžeta ieņēmumi un izdevumi pa ministrijām </t>
  </si>
  <si>
    <t>(2000.gada  janvāris -augusts )</t>
  </si>
  <si>
    <t>latos</t>
  </si>
  <si>
    <t xml:space="preserve"> (tūkst.latu)</t>
  </si>
  <si>
    <t>Izpilde % pret gada plānu 
   (4/2)</t>
  </si>
  <si>
    <t>Finansēšanas plāns</t>
  </si>
  <si>
    <t xml:space="preserve">Ieņēmumi - kopā  </t>
  </si>
  <si>
    <t>Izdevumi - kopā</t>
  </si>
  <si>
    <t xml:space="preserve">        Uzturēšanas izdevumi </t>
  </si>
  <si>
    <t xml:space="preserve">        Uzturēšanas izdevumi  </t>
  </si>
  <si>
    <t xml:space="preserve">        Izdevumi kapitālieguldījumiem</t>
  </si>
  <si>
    <t>Valsts budžeta aizdevumi</t>
  </si>
  <si>
    <t>Valsts budžeta aizdevumu atmaksas</t>
  </si>
  <si>
    <t>Fiskālā bilance</t>
  </si>
  <si>
    <t>Aizņēmums no pamatbudžeta</t>
  </si>
  <si>
    <t>Aizņēmums no pamatbudžeta *</t>
  </si>
  <si>
    <t>Centrālā dzīvojamo māju privatizācijas komisija</t>
  </si>
  <si>
    <t>Ieņēmumi</t>
  </si>
  <si>
    <t xml:space="preserve">       Atskaitījumi no valsts īpašuma privatizācijas</t>
  </si>
  <si>
    <t>Izdevumi</t>
  </si>
  <si>
    <t xml:space="preserve">        Uzturēšanas izdevumi</t>
  </si>
  <si>
    <t>Transportlīdzekļu īpašnieku civiltiesiskās atbildības obligātās apdrošināšanas sistēma</t>
  </si>
  <si>
    <t xml:space="preserve">    Atskaitījumi no apdrošināšanas prēmijām</t>
  </si>
  <si>
    <t xml:space="preserve">    Pārējie maksājumi</t>
  </si>
  <si>
    <t>Noguldījumu garantiju fonda veidošana, pārvaldīšana un izlietošana</t>
  </si>
  <si>
    <t xml:space="preserve">   Atskaitījumi no bankām</t>
  </si>
  <si>
    <t xml:space="preserve">   Atskaitījumi no komercbankām</t>
  </si>
  <si>
    <t xml:space="preserve">   Uzturēšanas izdevumi</t>
  </si>
  <si>
    <t>Augstas klases sasniegumu sports</t>
  </si>
  <si>
    <t xml:space="preserve">    Valsts pamatbudžeta dotācija</t>
  </si>
  <si>
    <t xml:space="preserve">    Uzturēšanas izdevumi</t>
  </si>
  <si>
    <t xml:space="preserve">               t.sk. aizņēmumu atmaksa</t>
  </si>
  <si>
    <t xml:space="preserve">           t.sk. aizņēmumu atmaksa</t>
  </si>
  <si>
    <t xml:space="preserve">    Izdevumi kapitālieguldījumiem</t>
  </si>
  <si>
    <t xml:space="preserve"> Studējošo un studiju kreditēšana</t>
  </si>
  <si>
    <t xml:space="preserve"> Zivju fonds</t>
  </si>
  <si>
    <t xml:space="preserve">   Maksa par rūpnieciskās zvejas tiesību nomu un izmantošanu</t>
  </si>
  <si>
    <t xml:space="preserve">   Pārējie ieņēmumi</t>
  </si>
  <si>
    <t>Valsts autoceļu fonds</t>
  </si>
  <si>
    <t xml:space="preserve">    Transportlīdzekļu ikgadējā nodeva</t>
  </si>
  <si>
    <t xml:space="preserve">    50%  akcīzes nodoklis par naftas produktiem</t>
  </si>
  <si>
    <t xml:space="preserve">   Ārvalstu finansu palīdzība</t>
  </si>
  <si>
    <t xml:space="preserve">   Ārvalstu finansu palīdzība </t>
  </si>
  <si>
    <t xml:space="preserve">        Izdevumi kapitālieguldļjumiem</t>
  </si>
  <si>
    <t>Aizņēmums no pamatbudžeta ***</t>
  </si>
  <si>
    <t>Ostu attīstības fonds</t>
  </si>
  <si>
    <t xml:space="preserve">    Ostas un kuģošanas nodeva</t>
  </si>
  <si>
    <t>Izlidošanas nodeva</t>
  </si>
  <si>
    <t xml:space="preserve">        Aizņēmums no pamatbudžeta</t>
  </si>
  <si>
    <t xml:space="preserve">        Aizņēmums no pamatbudžeta ***</t>
  </si>
  <si>
    <t>Valsts speciālais veselības aprūpes budžets</t>
  </si>
  <si>
    <t xml:space="preserve">   Iedzīvotāju ienākuma nodoklis</t>
  </si>
  <si>
    <t xml:space="preserve">   Valsts pamatbudžeta dotācija</t>
  </si>
  <si>
    <t>Sociālā apdrošināšana</t>
  </si>
  <si>
    <t xml:space="preserve">           Sociālās apdrošināšanas iemaksas </t>
  </si>
  <si>
    <t xml:space="preserve">           Valsts pamatbudžeta dotācija</t>
  </si>
  <si>
    <t xml:space="preserve">          Citi īpašiem mērķiem iezīmēti ieņēmumi</t>
  </si>
  <si>
    <t xml:space="preserve">Izdevumi </t>
  </si>
  <si>
    <t>Izdevumi  **</t>
  </si>
  <si>
    <t xml:space="preserve">     Valsts pensiju speciālais budžets</t>
  </si>
  <si>
    <t xml:space="preserve">           Uzturēšanas izdevumi</t>
  </si>
  <si>
    <t xml:space="preserve">     Nodarbinātības speciālais budžets</t>
  </si>
  <si>
    <t xml:space="preserve">     Darba negadījumu speciālais budžets</t>
  </si>
  <si>
    <t xml:space="preserve">    Invaliditātes, maternitātes un slimības speciālais budžets </t>
  </si>
  <si>
    <t xml:space="preserve">    Valsts sociālās apdrošināšanas aģentūra</t>
  </si>
  <si>
    <t xml:space="preserve">           Izdevumi kapitālieguldījumiem</t>
  </si>
  <si>
    <t>Vides aizsardzības fonds</t>
  </si>
  <si>
    <t xml:space="preserve">    Dabas resursu nodoklis</t>
  </si>
  <si>
    <t xml:space="preserve">    Akcīzes nodoklis par kurināmajiem naftas produktiem</t>
  </si>
  <si>
    <t>Skrundas RLS zemes nomas maksas līdzekļi</t>
  </si>
  <si>
    <t>Kultūrkapitāla fonds</t>
  </si>
  <si>
    <t xml:space="preserve">   Ienākumi no akcīzes nodokļa par alkoholiskajiem dzērieniem</t>
  </si>
  <si>
    <t xml:space="preserve">   Ienākumi no akcīzes nodokļa par tabakas izstrādājumiem</t>
  </si>
  <si>
    <t>Īpašu uzdevumu ministra sadarbībai ar starptautiskajām finansu institūcijām sekretariāts</t>
  </si>
  <si>
    <t xml:space="preserve">   Ieņēmumi no finansu institūcijām sniegtajiem pakalpojumiem</t>
  </si>
  <si>
    <t>* izpildē no gada sākuma uzrādīta no gada sākuma aizdotā summa ( izņemot  iedzīvotāju ienākuma nodoķļa kompensāciju  par 477 120 latu )</t>
  </si>
  <si>
    <t>* izpildē no gada sākuma uzrādīta no gada sākuma aizdotā summa ( izņemot  iedzīvotāju ienākuma nodoķļa kompensāciju 477 tūkst.latu )</t>
  </si>
  <si>
    <r>
      <t xml:space="preserve">** </t>
    </r>
    <r>
      <rPr>
        <i/>
        <sz val="10"/>
        <rFont val="Arial"/>
        <family val="2"/>
      </rPr>
      <t>konsolidēts par sociālās apdrošināšanas iekšējiem pārskaitījumiem      17 790 415 latu</t>
    </r>
  </si>
  <si>
    <r>
      <t xml:space="preserve">** </t>
    </r>
    <r>
      <rPr>
        <i/>
        <sz val="10"/>
        <rFont val="Arial"/>
        <family val="2"/>
      </rPr>
      <t>konsolidēts par sociālās apdrošināšanas iekšējiem pārskaitījumiem      17 790  tūkst.latu</t>
    </r>
  </si>
  <si>
    <t xml:space="preserve">*** aizņēmums saņemts īstermiņa finansu vadības nolūkos: </t>
  </si>
  <si>
    <t xml:space="preserve">            Valsts autoceļu fondam - 3 000 tūkst. latu</t>
  </si>
  <si>
    <t xml:space="preserve">                   izlidošanas nodevai - 1 000 latu</t>
  </si>
  <si>
    <t>Valsts kases pārvaldnieks _______________________________________  (A.Veiss)</t>
  </si>
  <si>
    <t>Valsts kases pārvaldnieks _______________________________________  A.Veiss</t>
  </si>
  <si>
    <t>6.tabula</t>
  </si>
  <si>
    <t xml:space="preserve">                                  Valsts kases oficiālais mēneša pārskats</t>
  </si>
  <si>
    <t>Valsts speciālā budžeta ieņēmumi un izdevumi</t>
  </si>
  <si>
    <t xml:space="preserve">Valsts speciālā budžeta ieņēmumi un izdevumi </t>
  </si>
  <si>
    <t>(2000.gada janvāris - augusts)</t>
  </si>
  <si>
    <t>(2000.gada janvāris -augusts)</t>
  </si>
  <si>
    <t>lati</t>
  </si>
  <si>
    <t>Izpilde % pret finansē-šanas plānu pārskata periodam           (4/3)</t>
  </si>
  <si>
    <t>Izpilde % pret finansēšanas plānu pārskata periodam           (4/3)</t>
  </si>
  <si>
    <t>1.Ieņēmumi - kopā</t>
  </si>
  <si>
    <t>Īpašiem mērķiem iezīmēti ieņēmumi</t>
  </si>
  <si>
    <t>Maksas pakalpojumi un citi pašu ieņēmumi</t>
  </si>
  <si>
    <t>Ārvalstu finansu palīdzība</t>
  </si>
  <si>
    <t>2.1.Uzturēšanas izdevumi</t>
  </si>
  <si>
    <t xml:space="preserve">     aizņēmumu atmaksa</t>
  </si>
  <si>
    <t xml:space="preserve">    procentu nomaksa par iekšējiem aizņēmumiem</t>
  </si>
  <si>
    <t xml:space="preserve">    procentu nomaksa par ārvalstu aizņēmumiem</t>
  </si>
  <si>
    <t xml:space="preserve">   mērķdotācijas pašvaldību budžetiem</t>
  </si>
  <si>
    <t xml:space="preserve">    dotācijas iedzīvotājiem</t>
  </si>
  <si>
    <t xml:space="preserve">    t.sk. pensijas</t>
  </si>
  <si>
    <t xml:space="preserve">           pabalsti</t>
  </si>
  <si>
    <t xml:space="preserve">          stipendijas</t>
  </si>
  <si>
    <t xml:space="preserve">          pārējie</t>
  </si>
  <si>
    <t xml:space="preserve">    iemaksas starptautiskajās organizācijās</t>
  </si>
  <si>
    <t xml:space="preserve">    dotācija valsts pamatbudžetam sociālās      apdrošināšanas iemaksu administrēšanai</t>
  </si>
  <si>
    <t>3.Valsts budžeta tīrie aizdevumi (3.1.-3.2.)</t>
  </si>
  <si>
    <t>Fiskālā bilance (1.-2.-3.)</t>
  </si>
  <si>
    <t>Aizņēmums no pamatbudžeta ( neto)</t>
  </si>
  <si>
    <t>Aizņēmums no pamatbudžeta               ( neto)</t>
  </si>
  <si>
    <t>Valsts speciālā budžeta naudas līdzekļu atlikumu izmaiņas palielinājums (-) vai samazinājums (+)</t>
  </si>
  <si>
    <t>Valsts kases pārvaldnieks _______________________________________ A.Veiss</t>
  </si>
  <si>
    <t xml:space="preserve">     Valsts kases oficiālais mēneša pārskats</t>
  </si>
  <si>
    <t>7.tabula</t>
  </si>
  <si>
    <t xml:space="preserve">                                              Valsts kases oficiālais mēneša pārskats</t>
  </si>
  <si>
    <t>Valsts speciālā budžeta (dāvinājumi un ziedojumi) ieņēmumi un izdevumi</t>
  </si>
  <si>
    <t xml:space="preserve">                                              (2000.gada janvāris - augusts)</t>
  </si>
  <si>
    <t>Izpilde % pret finansēšanas plānu  (3/2)</t>
  </si>
  <si>
    <t>1.Saņemtie dāvinājumi un ziedojumi - kopā</t>
  </si>
  <si>
    <t xml:space="preserve">   no iekšzemes juridiskajām un fiziskajām personām</t>
  </si>
  <si>
    <t xml:space="preserve">   no ārvalstu juridiskajām un fiziskajām       personām  *</t>
  </si>
  <si>
    <t xml:space="preserve">   no ārvalstu juridiskajām un fiziskajām personām  *</t>
  </si>
  <si>
    <t>2.Izdevumi - kopā (2.1.+2.2.) **</t>
  </si>
  <si>
    <t xml:space="preserve">    valsts sociālās apdrošināšanas obligātās iemaksas</t>
  </si>
  <si>
    <t xml:space="preserve">      preču un pakalpojumu izdevumi</t>
  </si>
  <si>
    <t xml:space="preserve">     t.sk. preču un pakalpojumu izdevumi  </t>
  </si>
  <si>
    <t xml:space="preserve">          pārējie izdevumi</t>
  </si>
  <si>
    <t xml:space="preserve">            pārējie izdevumi</t>
  </si>
  <si>
    <t xml:space="preserve">     procentu nomaksa par iekšējiem aizņēmumiem</t>
  </si>
  <si>
    <t xml:space="preserve">     procentu nomaksa par ārvalstu aizņēmumiem</t>
  </si>
  <si>
    <t xml:space="preserve">     dotācijas iestādēm un organizācijām</t>
  </si>
  <si>
    <t>2.2.Izdevumi  kapitālieguldījumiem</t>
  </si>
  <si>
    <t xml:space="preserve">Kapitālie izdevumi  </t>
  </si>
  <si>
    <t>Fiskālā bilance (1.-2.)</t>
  </si>
  <si>
    <t>Naudas līdzekļu atlikumu izmaiņas palielinājums (-) vai samazinājums (+)</t>
  </si>
  <si>
    <t>* t.sk .no gada sākuma budžetā neiekļautā  ārvalstu finansu palīdzība   13 036 tūkst.latu</t>
  </si>
  <si>
    <t>** t.sk. no gada sākuma budžetā neiekļautā ārvalstu finansu palīdzība 5 765 tūkst. latu</t>
  </si>
  <si>
    <t xml:space="preserve">                                               Valsts kases oficiālais mēneša pārskats</t>
  </si>
  <si>
    <t>8.tabula</t>
  </si>
  <si>
    <t xml:space="preserve">                         Valsts kases oficiālais mēneša pārskats</t>
  </si>
  <si>
    <t xml:space="preserve">                 Valsts pamatbudžeta izdevumi pēc valdības funkcijām</t>
  </si>
  <si>
    <t xml:space="preserve">                       ( 2000.gada janvāris - augusts)</t>
  </si>
  <si>
    <t>(latu)</t>
  </si>
  <si>
    <t>Valdības funkcijas kods</t>
  </si>
  <si>
    <t>Izpilde % pret gada plānu          (3/2)</t>
  </si>
  <si>
    <t>Vispārējie valdības dienesti</t>
  </si>
  <si>
    <t>Aizsardzība</t>
  </si>
  <si>
    <t>Sabiedriskā kārtība un drošība, tiesību aizsardzība</t>
  </si>
  <si>
    <t>Izglītība</t>
  </si>
  <si>
    <t>Veselības aprūpe</t>
  </si>
  <si>
    <t>Sociālā apdrošināšana un sociālā nodrošināšana</t>
  </si>
  <si>
    <t>Dzīvokļu un komunālā saimniecība, vides aizsardzība</t>
  </si>
  <si>
    <t xml:space="preserve">Brīvais laiks, sports,kultūra un reliģija </t>
  </si>
  <si>
    <t>Kurināmā un enerģētikas dienesti un pasākumi</t>
  </si>
  <si>
    <t xml:space="preserve">Lauksaimniecība (zemkopība), mežkopība un zvejniecība </t>
  </si>
  <si>
    <t>Iegūstošā rūpniecība, rūpniecība, celtniecība, derīgie izrakteņi</t>
  </si>
  <si>
    <t>Transports, sakari</t>
  </si>
  <si>
    <t>Pārējā ekonomiskā darbība un dienesti</t>
  </si>
  <si>
    <t>Pārējie izdevumi, kas nav atspoguļoti pamatgrupās *</t>
  </si>
  <si>
    <t>Pārējie izdevumi, kas nav atspoguļoti pamatgrupās  *</t>
  </si>
  <si>
    <t>* ieskaitot aizdevumus un atmaksas</t>
  </si>
  <si>
    <t>Valsts kases pārvaldnieks__________________________________</t>
  </si>
  <si>
    <t>A.Veiss</t>
  </si>
  <si>
    <t xml:space="preserve">                                                                 Valsts kases oficiālais mēneša pārskats</t>
  </si>
  <si>
    <t>9.tabula</t>
  </si>
  <si>
    <t xml:space="preserve">                                                      Valsts kases oficiālais mēneša pārskats</t>
  </si>
  <si>
    <t xml:space="preserve">                                                 Valsts speciālā budžeta izdevumi pēc valdības funkcijām</t>
  </si>
  <si>
    <t xml:space="preserve"> Valsts speciālā budžeta izdevumi pēc valdības funkcijām</t>
  </si>
  <si>
    <t xml:space="preserve">                                                                  (2000.gada janvāris - augusts)</t>
  </si>
  <si>
    <t>Izdevumi no ziedojumiem un dāvinājumiem</t>
  </si>
  <si>
    <t>Izglītība       *</t>
  </si>
  <si>
    <t>Izglītība   *</t>
  </si>
  <si>
    <t xml:space="preserve">Pārējie izdevumi, kas nav atspoguļoti pamatgrupās </t>
  </si>
  <si>
    <t xml:space="preserve"> </t>
  </si>
  <si>
    <t>* -  ieskaitot  tīros  aizdevumus</t>
  </si>
  <si>
    <t>Valsts kases pārvaldnieks_________________________________</t>
  </si>
  <si>
    <t>Valsts kases pārvaldnieks __________________________________________________</t>
  </si>
  <si>
    <t>10. tabula</t>
  </si>
  <si>
    <t>10.tabula</t>
  </si>
  <si>
    <t xml:space="preserve">Ārvalstu finansu palīdzības un valsts budžeta līdzdalības maksājumi </t>
  </si>
  <si>
    <t>(tūkst. latu)</t>
  </si>
  <si>
    <t xml:space="preserve">   1. Ārvalstu finansu palīdzība
un valsts pamatbudžeta 
līdzdalības maksājumi kopā</t>
  </si>
  <si>
    <t>Valsts pamatbudžets</t>
  </si>
  <si>
    <t xml:space="preserve">  Ārvalstu finansu palīdzība</t>
  </si>
  <si>
    <t xml:space="preserve">  Valsts pamatbudžets</t>
  </si>
  <si>
    <t xml:space="preserve">Tieslietu ministrija </t>
  </si>
  <si>
    <t>Vides aizsardzības un reģionālās 
attīstības ministrija</t>
  </si>
  <si>
    <t xml:space="preserve">   2. Ārvalstu finansu palīdzība
un valsts speciālā budžeta
līdzdalības maksājumi kopā</t>
  </si>
  <si>
    <t>Valsts speciālais budžets</t>
  </si>
  <si>
    <t xml:space="preserve">  Valsts speciālais budžets</t>
  </si>
  <si>
    <t>3. Pārējā ārvalstu finansu palīdzība</t>
  </si>
  <si>
    <t>X</t>
  </si>
  <si>
    <t>Valsts kases pārvaldnieks ________________________________________ (A. Veiss)</t>
  </si>
  <si>
    <t>2000. gada 15. septembrī</t>
  </si>
  <si>
    <t>11. tabula</t>
  </si>
  <si>
    <t xml:space="preserve">Pašvaldību konsolidētā budžeta izpilde </t>
  </si>
  <si>
    <t>Gada plāns</t>
  </si>
  <si>
    <t>A.1. Kopējie ieņēmumi (B.1.+ C.1)</t>
  </si>
  <si>
    <t xml:space="preserve">     Pašvaldību pamatbudžeta ieņēmumi (bruto)</t>
  </si>
  <si>
    <t xml:space="preserve">          Nodokļu ieņēmumi</t>
  </si>
  <si>
    <t xml:space="preserve">          Nenodokļu ieņēmumi</t>
  </si>
  <si>
    <t xml:space="preserve">          Maksas pakalpojumi un citi pašu ieņēmumi</t>
  </si>
  <si>
    <t xml:space="preserve">          Saņemtie maksājumi</t>
  </si>
  <si>
    <t xml:space="preserve">                                mīnus saņemtie maksājumi savstarpējo norēķinu kārtībā</t>
  </si>
  <si>
    <t>mīnus saņemtie maksājumi no Pašvaldību finansu izlīdzināšanas fonda, ko iemaksā citas pašvaldības</t>
  </si>
  <si>
    <t>B.1. Pašvaldību pamatbudžeta ieņēmumi (neto)</t>
  </si>
  <si>
    <t xml:space="preserve">     Pašvaldību speciālā budžeta ieņēmumi (bruto)</t>
  </si>
  <si>
    <t xml:space="preserve">               Ieņēmumi no īpašiem mērķiem iezīmētu  līdzekļu  avotiem</t>
  </si>
  <si>
    <t xml:space="preserve">               Ieņēmumi no ziedojumiem un dāvinājumiem</t>
  </si>
  <si>
    <t>C.1. Pašvaldību speciālā budžeta ieņēmumi (neto)</t>
  </si>
  <si>
    <t>A.2. Kopējie pašvaldību budžeta izdevumi (A.2.1.+ A.2.2. + A.2.3.)</t>
  </si>
  <si>
    <t>A.2.1. Kopējie pašvaldību uzturēšanas izdevumi (B.2.1.+ C.2.1.)</t>
  </si>
  <si>
    <t>A.2.2.Kopējie pašvaldību kapitālie izdevumi (B.2.2.+ C.2.2.)</t>
  </si>
  <si>
    <t>A.2.3.Kopējie pašvaldību izdevumi investīcijām (B.2.3.+ C.2.3.)</t>
  </si>
  <si>
    <t>A.3.Pašvaldību budžeta finansālais deficīts (-), pārpalikums (+), (A.1.-A.2.)</t>
  </si>
  <si>
    <t>A.4. Kopējie pašvaldību budžeta tīrie aizdevumi (B.4.+ C.4.)</t>
  </si>
  <si>
    <t>Kopējie pašvaldību budžeta izdevumi, ieskaitot tīros aizdevumus (A.2.+ A.4.)</t>
  </si>
  <si>
    <t>A.5.Pašvaldību budžeta fiskālais deficīts (-), pārpalikums (+),        (A.3.-A.4.)</t>
  </si>
  <si>
    <t xml:space="preserve">  Pašvaldību pamatbudžeta  izdevumi (bruto)</t>
  </si>
  <si>
    <t xml:space="preserve">                                mīnus  savstarpējo norēķinu kārtībā veiktie maksājumi</t>
  </si>
  <si>
    <t>B.2. Pašvaldību pamatbudžeta  izdevumi (neto)</t>
  </si>
  <si>
    <t xml:space="preserve">     Pašvaldību pamatbudžeta uzturēšanas izdevumi (bruto)</t>
  </si>
  <si>
    <t xml:space="preserve"> B.2.1.Pašvaldību pamatbudžeta  uzturēšanas izdevumi (neto)</t>
  </si>
  <si>
    <t xml:space="preserve"> B.2.2.Pašvaldību pamatbudžeta  kapitālie izdevumi </t>
  </si>
  <si>
    <t xml:space="preserve"> B.2.3.Pašvaldību pamatbudžeta  investīcijas </t>
  </si>
  <si>
    <t>B.3.Pašvaldību pamatbudžeta finansiālais deficīts (-), pārpalikums (+), (B.1.-B.2.)</t>
  </si>
  <si>
    <t xml:space="preserve">B.4.Pašvaldību pamatbudžeta  tīrie aizdevumi (neto) </t>
  </si>
  <si>
    <t xml:space="preserve">     Pašvaldību pamatbudžeta aizdevumi (neto)</t>
  </si>
  <si>
    <t xml:space="preserve">     Pašvaldību pamatbudžeta aizdevumu atmaksas (neto) </t>
  </si>
  <si>
    <t>B.5.Pašvaldību pamatbudžeta fiskālais deficīts (-), pārpalikums (+), (B.3.-B.4.)</t>
  </si>
  <si>
    <t xml:space="preserve">C.2. Pašvaldību speciālā budžeta  izdevumi </t>
  </si>
  <si>
    <t xml:space="preserve">C.2.1.Pašvaldību speciālā budžeta uzturēšanas izdevumi </t>
  </si>
  <si>
    <t xml:space="preserve">C.2.2.Pašvaldību speciālā budžeta  kapitālie izdevumi </t>
  </si>
  <si>
    <t xml:space="preserve">C.2.3.Pašvaldību speciālā budžeta  investīcijas </t>
  </si>
  <si>
    <t>C.3.Pašvaldību speciālā budžeta finansiālais deficīts (-), pārpalikums (+), (C.1.- C.2.)</t>
  </si>
  <si>
    <t>C.4.Pašvaldību speciālā budžeta  tīrie aizdevumi (neto)</t>
  </si>
  <si>
    <t xml:space="preserve">     Pašvaldību speciālā budžeta aizdevumi (neto)</t>
  </si>
  <si>
    <t xml:space="preserve">     Pašvaldību speciālā budžeta aizdevumu atmaksas (neto)</t>
  </si>
  <si>
    <t>C.5.Pašvaldību speciālā budžeta fiskālais deficīts (-), pārpalikums (+), (C.3. - C.4.)</t>
  </si>
  <si>
    <t xml:space="preserve"> Valsts kases pārvaldnieks                                                           __________________________ </t>
  </si>
  <si>
    <t>A. Veiss</t>
  </si>
  <si>
    <t xml:space="preserve">Valsts kase / Pārskatu departaments </t>
  </si>
  <si>
    <t xml:space="preserve">                                       Valsts kases oficiālais mēneša pārskats</t>
  </si>
  <si>
    <t>12. tabula</t>
  </si>
  <si>
    <t xml:space="preserve">      9.tabula</t>
  </si>
  <si>
    <t>Pašvaldību pamatbudžeta ieņēmumi</t>
  </si>
  <si>
    <t>Izpilde % pret gada plānu (3/2)</t>
  </si>
  <si>
    <t>1</t>
  </si>
  <si>
    <t>5</t>
  </si>
  <si>
    <t>1. Ieņēmumi  kopā (1.1. + 1.2.)</t>
  </si>
  <si>
    <t>1.1. Nodokļu un nenodokļu ieņēmumi (1.1.1.+1.1.2.+1.1.3.)</t>
  </si>
  <si>
    <t xml:space="preserve">1.1.1. Nodokļu ieņēmumi </t>
  </si>
  <si>
    <t xml:space="preserve">  Iedzīvotāju ienākuma nodoklis* </t>
  </si>
  <si>
    <t xml:space="preserve">  Nekustamā īpašuma nodoklis</t>
  </si>
  <si>
    <t xml:space="preserve">  Īpašuma nodokļa maksājumi</t>
  </si>
  <si>
    <t xml:space="preserve">  Zemes nodokļa parādu maksājumi</t>
  </si>
  <si>
    <t xml:space="preserve">  Iekšējie nodokļi par pakalpojumiem un precēm</t>
  </si>
  <si>
    <t>1.1.2. Nenodokļu ieņēmumi</t>
  </si>
  <si>
    <t xml:space="preserve">  Ieņēmumi no uzņēmējdarbības un īpašuma</t>
  </si>
  <si>
    <t xml:space="preserve">  Valsts (pašvaldību) nodevas un maksājumi</t>
  </si>
  <si>
    <t xml:space="preserve">  Sodi un sankcijas</t>
  </si>
  <si>
    <t xml:space="preserve">  Pārējie nenodokļu ieņēmumi</t>
  </si>
  <si>
    <t xml:space="preserve">  Ieņēmumi no valsts (pašvaldības) nekustamā  īpašuma pārdošanas</t>
  </si>
  <si>
    <t xml:space="preserve">  Ieņēmumi no zemes īpašuma pārdošanas</t>
  </si>
  <si>
    <t>1.1.3. Maksājumi par budžeta iestāžu sniegtajiem maksas pakalpojumiem un citi pašu ieņēmumi</t>
  </si>
  <si>
    <t>1.2. Saņemtie maksājumi</t>
  </si>
  <si>
    <t>Norēķini ar pašvaldību budžetiem</t>
  </si>
  <si>
    <t>Norēķini ar citām  pašvaldībām  par izglītības iestāžu sniegtajiem pakalpojumiem</t>
  </si>
  <si>
    <t>Norēķini ar citām pašvaldībām par sociālās palīdzības iestāžu sniegtajiem pakalpojumiem</t>
  </si>
  <si>
    <t>Pārējie norēķini</t>
  </si>
  <si>
    <t>Maksājumi no valsts budžeta</t>
  </si>
  <si>
    <t>Dotācijas</t>
  </si>
  <si>
    <t>Dotācijas no IM valsts ģimnāzijām</t>
  </si>
  <si>
    <t>Mērķdotācijas</t>
  </si>
  <si>
    <t>Valsts budžeta dotācija iedzīvotāju ienākuma nodokļa ieņēmumu prognozes neizpildes kompensācijai</t>
  </si>
  <si>
    <t>Maksājumi no pašvaldību  finansu izlīdzināšanas fonda pašvaldību budžetiem</t>
  </si>
  <si>
    <t>Iepriekšējā gada nesaņemtā dotācija</t>
  </si>
  <si>
    <t>Pārējie maksājumi no pašvaldību finansu izlīdzināšanas fonda pašvaldību budžetiem</t>
  </si>
  <si>
    <t>Maksājumi no citiem budžetiem</t>
  </si>
  <si>
    <t>Valsts kases pārvaldnieks</t>
  </si>
  <si>
    <t xml:space="preserve">                                           Valsts kases oficiālais mēneša pārskats</t>
  </si>
  <si>
    <t>13. tabula</t>
  </si>
  <si>
    <t xml:space="preserve">Pašvaldību pamatbudžeta izdevumi </t>
  </si>
  <si>
    <t xml:space="preserve">                               (tūkst.latu)</t>
  </si>
  <si>
    <t>2</t>
  </si>
  <si>
    <t>3</t>
  </si>
  <si>
    <t>4</t>
  </si>
  <si>
    <t>1. Izdevumi kopā (1.1. + 1.2.) *</t>
  </si>
  <si>
    <t>1.1. Izdevumi pēc valdības funkcijām</t>
  </si>
  <si>
    <t>Izpildvaras un likumdošanas varas institūcijas</t>
  </si>
  <si>
    <t>Brīvais laiks, sports, kultūra un reliģija</t>
  </si>
  <si>
    <t>Lauksaimniecība (zemkopība), mežkopība un zvejniecība</t>
  </si>
  <si>
    <t>Transports,sakari</t>
  </si>
  <si>
    <t xml:space="preserve">Pašvaldību iekšējā parāda procentu nomaksa </t>
  </si>
  <si>
    <t xml:space="preserve">Pašvaldību ārējo parādu procentu nomaksa </t>
  </si>
  <si>
    <t>Izdevumi neparedzētiem  gadījumiem</t>
  </si>
  <si>
    <t>Pārējie izdevumi, kas nav klasificēti citās pamatfunkcijās</t>
  </si>
  <si>
    <t>1.2. Norēķini</t>
  </si>
  <si>
    <t>Norēķini par citu pašvaldību izglītības iestāžu sniegtiem pakalpojumiem</t>
  </si>
  <si>
    <t>Norēķini par citu pašvaldību sociālās palīdzības iestāžu sniegtiem pakalpojumiem</t>
  </si>
  <si>
    <t>Maksājumi pašvaldību finansu izlīdzināšanas fondam</t>
  </si>
  <si>
    <t>Pašvaldību  pārskata gada maksājumi</t>
  </si>
  <si>
    <t>Pašvaldību iepriekšējā gada parādu maksājumi</t>
  </si>
  <si>
    <t xml:space="preserve">                     Valsts kases oficiālais mēneša pārskats</t>
  </si>
  <si>
    <t>14. tabula</t>
  </si>
  <si>
    <t>Pašvaldību pamatbudžeta izdevumu atšifrējums pēc ekonomiskās klasifikācijas</t>
  </si>
  <si>
    <t xml:space="preserve">                                                             (tūkst.latu)</t>
  </si>
  <si>
    <t>2.Izdevumi  kopā (2.1. +2.2.)</t>
  </si>
  <si>
    <t xml:space="preserve">  atalgojumi </t>
  </si>
  <si>
    <t xml:space="preserve">  valsts sociālāis apdrošināšanas obligātās iemaksas </t>
  </si>
  <si>
    <t>1300</t>
  </si>
  <si>
    <t>1400</t>
  </si>
  <si>
    <t>1500</t>
  </si>
  <si>
    <t>1600</t>
  </si>
  <si>
    <t xml:space="preserve">  pārējie kārtējie izdevumi</t>
  </si>
  <si>
    <t xml:space="preserve">                    t.sk. preču un pakalpojumu izdevumi</t>
  </si>
  <si>
    <t xml:space="preserve">                                   pārējie izdevumi</t>
  </si>
  <si>
    <t xml:space="preserve">Maksājumi par aizņēmumiem un kredītiem </t>
  </si>
  <si>
    <t xml:space="preserve">  subsīdijas</t>
  </si>
  <si>
    <t xml:space="preserve">  mērķdotācijas pašvaldību budžetiem</t>
  </si>
  <si>
    <t xml:space="preserve">  dotācijas pašvaldību budžetiem</t>
  </si>
  <si>
    <t xml:space="preserve">  dotācijas iestādēm, organizācijām un uzņēmumiem</t>
  </si>
  <si>
    <t xml:space="preserve">  dotācijas iedzīvotājiem</t>
  </si>
  <si>
    <t>2.2. Izdevumi kapitālieguldījumiem</t>
  </si>
  <si>
    <t>6000</t>
  </si>
  <si>
    <t xml:space="preserve">3. Pašvaldību budžeta tīrie aizdevumi </t>
  </si>
  <si>
    <t xml:space="preserve">3.1. Pašvaldību budžeta aizdevumi </t>
  </si>
  <si>
    <t xml:space="preserve">3.2. Pašvaldību budžeta aizdevumu atmaksas </t>
  </si>
  <si>
    <t>15. tabula</t>
  </si>
  <si>
    <t>Pašvaldību speciālā budžeta ieņēmumi un izdevumi</t>
  </si>
  <si>
    <t xml:space="preserve">                            (tūkst.latu)</t>
  </si>
  <si>
    <t>1. Ieņēmumi kopā (1.1. + 1.2.)</t>
  </si>
  <si>
    <t>1.1.Ieņēmumi no īpašiem mērķiem iezīmētu līdzekļu avotiem</t>
  </si>
  <si>
    <t xml:space="preserve">  Privatizācijas fonds</t>
  </si>
  <si>
    <t xml:space="preserve">  Dabas resursu nodoklis</t>
  </si>
  <si>
    <t xml:space="preserve">  Autoceļu (ielu) fonds</t>
  </si>
  <si>
    <t xml:space="preserve">  Pārējie ieņēmumi</t>
  </si>
  <si>
    <t>1.2.Ieņēmumi no ziedojumiem un dāvinājumiem</t>
  </si>
  <si>
    <t>2. Izdevumi kopā  (2.1. + 2.2.) *</t>
  </si>
  <si>
    <t>2.1.Izdevumi no īpašiem mērķiem iezīmētu līdzekļu avotiem</t>
  </si>
  <si>
    <t>2.2.Izdevumi no saņemto ziedojumu un dāvinājumu līdzekļiem</t>
  </si>
  <si>
    <t xml:space="preserve">                            Valsts kases oficiālais mēneša pārskats </t>
  </si>
  <si>
    <t>16. tabula</t>
  </si>
  <si>
    <t>Pašvaldību speciālā budžeta izdevumu atšifrējums pēc ekonomiskās klasifikācijas</t>
  </si>
  <si>
    <t xml:space="preserve">                                    (tūkst.latu)</t>
  </si>
  <si>
    <t>0010</t>
  </si>
  <si>
    <t xml:space="preserve">                                  pārējie izdevumi</t>
  </si>
  <si>
    <t xml:space="preserve">      Valsts kases oficiālais mēneša pārskats</t>
  </si>
  <si>
    <t>17. tabula</t>
  </si>
  <si>
    <t xml:space="preserve">Pašvaldību pamatbudžeta izpildes rādītāji </t>
  </si>
  <si>
    <t xml:space="preserve">                                                     (tūkst. latu)</t>
  </si>
  <si>
    <t>Izdevumi **</t>
  </si>
  <si>
    <t xml:space="preserve">   Iekšējā finansēšana</t>
  </si>
  <si>
    <t>tai skaitā</t>
  </si>
  <si>
    <t>Pilsētas, rajona nosaukums</t>
  </si>
  <si>
    <t xml:space="preserve">Nodokļu un nenodokļu ieņēmumi * </t>
  </si>
  <si>
    <t>Saņemtie maksājumi</t>
  </si>
  <si>
    <t>Ieņēmumi kopā (2+3)</t>
  </si>
  <si>
    <t>Izdevumi pēc valdības funkcijām</t>
  </si>
  <si>
    <t>Norēķini</t>
  </si>
  <si>
    <t>Izdevumi kopā (5+6)</t>
  </si>
  <si>
    <t>Fiskālais deficīts (-), pārpalikums (+) (4-7)</t>
  </si>
  <si>
    <t>Finansēšana                   -(4-7)</t>
  </si>
  <si>
    <t>Budžeta līdzekļu izmaiņas (12-13)</t>
  </si>
  <si>
    <t>Līdzekļu atlikums gada sākumā</t>
  </si>
  <si>
    <t>Līdzekļu atlikums perioda beigās</t>
  </si>
  <si>
    <t>No komerc-
bankām</t>
  </si>
  <si>
    <t>Ārējā  finansēšana</t>
  </si>
  <si>
    <t>PILSĒTAS</t>
  </si>
  <si>
    <t>RĪGA</t>
  </si>
  <si>
    <t>DAUGAVPILS</t>
  </si>
  <si>
    <t>JELGAVA</t>
  </si>
  <si>
    <t>JŪRMALA</t>
  </si>
  <si>
    <t>LIEPĀJA</t>
  </si>
  <si>
    <t>RĒZEKNE</t>
  </si>
  <si>
    <t>VENTSPILS</t>
  </si>
  <si>
    <t>KOPĀ PILSĒTĀS</t>
  </si>
  <si>
    <t>RAJONI</t>
  </si>
  <si>
    <t>AIZKRAUKLES RAJONS</t>
  </si>
  <si>
    <t>ALŪKSNES RAJONS</t>
  </si>
  <si>
    <t>BALVU RAJONS</t>
  </si>
  <si>
    <t>BAUSKAS RAJONS</t>
  </si>
  <si>
    <t>CĒSU RAJONS</t>
  </si>
  <si>
    <t>DAUGAVPILS RAJONS</t>
  </si>
  <si>
    <t>DOBELES RAJONS</t>
  </si>
  <si>
    <t>GULBENES RAJONS</t>
  </si>
  <si>
    <t>JELGAVAS RAJONS</t>
  </si>
  <si>
    <t>JĒKABPILS RAJONS</t>
  </si>
  <si>
    <t>KRĀSLAVAS RAJONS</t>
  </si>
  <si>
    <t>KULDĪGAS RAJONS</t>
  </si>
  <si>
    <t>LIEPĀJAS RAJONS</t>
  </si>
  <si>
    <t>LIMBAŽU RAJONS</t>
  </si>
  <si>
    <t>LUDZAS RAJONS</t>
  </si>
  <si>
    <t>MADONAS RAJONS</t>
  </si>
  <si>
    <t>OGRES RAJONS</t>
  </si>
  <si>
    <t>PREIĻU RAJONS</t>
  </si>
  <si>
    <t>RĒZEKNES RAJONS</t>
  </si>
  <si>
    <t>RĪGAS RAJONS</t>
  </si>
  <si>
    <t>SALDUS RAJONS</t>
  </si>
  <si>
    <t>TALSU RAJONS</t>
  </si>
  <si>
    <t>TUKUMA RAJONS</t>
  </si>
  <si>
    <t>VALKAS RAJONS</t>
  </si>
  <si>
    <t>VALMIERAS RAJONS</t>
  </si>
  <si>
    <t>VENTSPILS RAJONS</t>
  </si>
  <si>
    <t>KOPĀ RAJONOS</t>
  </si>
  <si>
    <t>KOPĀ</t>
  </si>
  <si>
    <t>*  -  neieskaitot iedzīvotāju ienākuma nodokļa atlikumu sadales kontā</t>
  </si>
  <si>
    <t xml:space="preserve">** -   ieskaitot  tīros aizdevumus </t>
  </si>
  <si>
    <t xml:space="preserve">Valsts kases pārvaldnieks </t>
  </si>
  <si>
    <t>_______________________________</t>
  </si>
  <si>
    <t xml:space="preserve">   A. Veiss</t>
  </si>
</sst>
</file>

<file path=xl/styles.xml><?xml version="1.0" encoding="utf-8"?>
<styleSheet xmlns="http://schemas.openxmlformats.org/spreadsheetml/2006/main">
  <numFmts count="59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#\ ##0"/>
    <numFmt numFmtId="165" formatCode="###0"/>
    <numFmt numFmtId="166" formatCode="###,###,###"/>
    <numFmt numFmtId="167" formatCode="#,###%"/>
    <numFmt numFmtId="168" formatCode="0.0"/>
    <numFmt numFmtId="169" formatCode="###,###,##0"/>
    <numFmt numFmtId="170" formatCode="###%"/>
    <numFmt numFmtId="171" formatCode="#,###.0%"/>
    <numFmt numFmtId="172" formatCode="0.0%"/>
    <numFmt numFmtId="173" formatCode="###,###"/>
    <numFmt numFmtId="174" formatCode="00.000"/>
    <numFmt numFmtId="175" formatCode="#,##0.0\ _L_s"/>
    <numFmt numFmtId="176" formatCode="#,##0\ &quot;LVR&quot;;\-#,##0\ &quot;LVR&quot;"/>
    <numFmt numFmtId="177" formatCode="#,##0\ &quot;LVR&quot;;[Red]\-#,##0\ &quot;LVR&quot;"/>
    <numFmt numFmtId="178" formatCode="#,##0.00\ &quot;LVR&quot;;\-#,##0.00\ &quot;LVR&quot;"/>
    <numFmt numFmtId="179" formatCode="#,##0.00\ &quot;LVR&quot;;[Red]\-#,##0.00\ &quot;LVR&quot;"/>
    <numFmt numFmtId="180" formatCode="_-* #,##0\ &quot;LVR&quot;_-;\-* #,##0\ &quot;LVR&quot;_-;_-* &quot;-&quot;\ &quot;LVR&quot;_-;_-@_-"/>
    <numFmt numFmtId="181" formatCode="_-* #,##0\ _L_V_R_-;\-* #,##0\ _L_V_R_-;_-* &quot;-&quot;\ _L_V_R_-;_-@_-"/>
    <numFmt numFmtId="182" formatCode="_-* #,##0.00\ &quot;LVR&quot;_-;\-* #,##0.00\ &quot;LVR&quot;_-;_-* &quot;-&quot;??\ &quot;LVR&quot;_-;_-@_-"/>
    <numFmt numFmtId="183" formatCode="_-* #,##0.00\ _L_V_R_-;\-* #,##0.00\ _L_V_R_-;_-* &quot;-&quot;??\ _L_V_R_-;_-@_-"/>
    <numFmt numFmtId="184" formatCode="&quot;Ls&quot;#,##0_);\(&quot;Ls&quot;#,##0\)"/>
    <numFmt numFmtId="185" formatCode="&quot;Ls&quot;#,##0_);[Red]\(&quot;Ls&quot;#,##0\)"/>
    <numFmt numFmtId="186" formatCode="&quot;Ls&quot;#,##0.00_);\(&quot;Ls&quot;#,##0.00\)"/>
    <numFmt numFmtId="187" formatCode="&quot;Ls&quot;#,##0.00_);[Red]\(&quot;Ls&quot;#,##0.00\)"/>
    <numFmt numFmtId="188" formatCode="_(&quot;Ls&quot;* #,##0_);_(&quot;Ls&quot;* \(#,##0\);_(&quot;Ls&quot;* &quot;-&quot;_);_(@_)"/>
    <numFmt numFmtId="189" formatCode="_(* #,##0_);_(* \(#,##0\);_(* &quot;-&quot;_);_(@_)"/>
    <numFmt numFmtId="190" formatCode="_(&quot;Ls&quot;* #,##0.00_);_(&quot;Ls&quot;* \(#,##0.00\);_(&quot;Ls&quot;* &quot;-&quot;??_);_(@_)"/>
    <numFmt numFmtId="191" formatCode="_(* #,##0.00_);_(* \(#,##0.00\);_(* &quot;-&quot;??_);_(@_)"/>
    <numFmt numFmtId="192" formatCode="#,###,##0"/>
    <numFmt numFmtId="193" formatCode="#,000"/>
    <numFmt numFmtId="194" formatCode="#,###,000"/>
    <numFmt numFmtId="195" formatCode="#,"/>
    <numFmt numFmtId="196" formatCode="0,"/>
    <numFmt numFmtId="197" formatCode="##0"/>
    <numFmt numFmtId="198" formatCode="#0,"/>
    <numFmt numFmtId="199" formatCode="#,#00"/>
    <numFmt numFmtId="200" formatCode="#."/>
    <numFmt numFmtId="201" formatCode="##0,"/>
    <numFmt numFmtId="202" formatCode="##0,###"/>
    <numFmt numFmtId="203" formatCode="#,###"/>
    <numFmt numFmtId="204" formatCode="\ #,"/>
    <numFmt numFmtId="205" formatCode="\ #"/>
    <numFmt numFmtId="206" formatCode="#,###,000.0"/>
    <numFmt numFmtId="207" formatCode="_(* #,##0.000_);_(* \(#,##0.000\);_(* &quot;-&quot;??_);_(@_)"/>
    <numFmt numFmtId="208" formatCode="_(* #,##0.0_);_(* \(#,##0.0\);_(* &quot;-&quot;??_);_(@_)"/>
    <numFmt numFmtId="209" formatCode="_(* #,##0_);_(* \(#,##0\);_(* &quot;-&quot;??_);_(@_)"/>
    <numFmt numFmtId="210" formatCode="#\ ###\ ##0"/>
    <numFmt numFmtId="211" formatCode="#\ ###\ \ ##0"/>
    <numFmt numFmtId="212" formatCode="###,##0,"/>
    <numFmt numFmtId="213" formatCode="#,###,"/>
    <numFmt numFmtId="214" formatCode="#,##0.0"/>
  </numFmts>
  <fonts count="27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8"/>
      <color indexed="63"/>
      <name val="Arial"/>
      <family val="2"/>
    </font>
    <font>
      <u val="single"/>
      <sz val="8"/>
      <color indexed="12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sz val="10"/>
      <name val="RimTimes"/>
      <family val="0"/>
    </font>
    <font>
      <b/>
      <sz val="10"/>
      <name val="RimTimes"/>
      <family val="0"/>
    </font>
    <font>
      <i/>
      <sz val="10"/>
      <name val="Times New Roman"/>
      <family val="0"/>
    </font>
    <font>
      <b/>
      <sz val="11"/>
      <name val="Arial"/>
      <family val="2"/>
    </font>
    <font>
      <i/>
      <sz val="11"/>
      <name val="Arial"/>
      <family val="2"/>
    </font>
    <font>
      <sz val="8.5"/>
      <name val="MS Sans Serif"/>
      <family val="0"/>
    </font>
    <font>
      <sz val="8.5"/>
      <name val="Arial"/>
      <family val="2"/>
    </font>
    <font>
      <b/>
      <sz val="8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76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/>
    </xf>
    <xf numFmtId="164" fontId="6" fillId="0" borderId="1" xfId="0" applyNumberFormat="1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/>
    </xf>
    <xf numFmtId="164" fontId="6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/>
    </xf>
    <xf numFmtId="0" fontId="3" fillId="0" borderId="0" xfId="0" applyFont="1" applyAlignment="1">
      <alignment/>
    </xf>
    <xf numFmtId="165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Continuous"/>
    </xf>
    <xf numFmtId="165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vertical="top"/>
    </xf>
    <xf numFmtId="0" fontId="0" fillId="0" borderId="0" xfId="0" applyFont="1" applyAlignment="1">
      <alignment/>
    </xf>
    <xf numFmtId="166" fontId="3" fillId="0" borderId="0" xfId="0" applyNumberFormat="1" applyFont="1" applyAlignment="1">
      <alignment/>
    </xf>
    <xf numFmtId="166" fontId="3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166" fontId="3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/>
    </xf>
    <xf numFmtId="167" fontId="5" fillId="0" borderId="1" xfId="21" applyNumberFormat="1" applyFont="1" applyBorder="1" applyAlignment="1">
      <alignment/>
    </xf>
    <xf numFmtId="166" fontId="8" fillId="0" borderId="1" xfId="0" applyNumberFormat="1" applyFont="1" applyBorder="1" applyAlignment="1">
      <alignment/>
    </xf>
    <xf numFmtId="168" fontId="8" fillId="0" borderId="1" xfId="21" applyNumberFormat="1" applyFont="1" applyBorder="1" applyAlignment="1">
      <alignment/>
    </xf>
    <xf numFmtId="0" fontId="8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166" fontId="3" fillId="0" borderId="1" xfId="0" applyNumberFormat="1" applyFont="1" applyBorder="1" applyAlignment="1">
      <alignment/>
    </xf>
    <xf numFmtId="167" fontId="3" fillId="0" borderId="1" xfId="21" applyNumberFormat="1" applyFont="1" applyBorder="1" applyAlignment="1">
      <alignment/>
    </xf>
    <xf numFmtId="166" fontId="2" fillId="0" borderId="1" xfId="0" applyNumberFormat="1" applyFont="1" applyBorder="1" applyAlignment="1">
      <alignment/>
    </xf>
    <xf numFmtId="168" fontId="2" fillId="0" borderId="1" xfId="21" applyNumberFormat="1" applyFon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166" fontId="6" fillId="0" borderId="1" xfId="0" applyNumberFormat="1" applyFont="1" applyBorder="1" applyAlignment="1">
      <alignment/>
    </xf>
    <xf numFmtId="169" fontId="6" fillId="0" borderId="1" xfId="0" applyNumberFormat="1" applyFont="1" applyBorder="1" applyAlignment="1">
      <alignment/>
    </xf>
    <xf numFmtId="168" fontId="6" fillId="0" borderId="1" xfId="21" applyNumberFormat="1" applyFont="1" applyBorder="1" applyAlignment="1">
      <alignment/>
    </xf>
    <xf numFmtId="0" fontId="8" fillId="0" borderId="1" xfId="0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left"/>
    </xf>
    <xf numFmtId="168" fontId="3" fillId="0" borderId="1" xfId="21" applyNumberFormat="1" applyFont="1" applyBorder="1" applyAlignment="1">
      <alignment/>
    </xf>
    <xf numFmtId="0" fontId="4" fillId="0" borderId="0" xfId="0" applyFont="1" applyBorder="1" applyAlignment="1">
      <alignment wrapText="1"/>
    </xf>
    <xf numFmtId="166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/>
    </xf>
    <xf numFmtId="10" fontId="4" fillId="0" borderId="0" xfId="19" applyNumberFormat="1" applyFont="1" applyBorder="1" applyAlignment="1">
      <alignment/>
    </xf>
    <xf numFmtId="9" fontId="4" fillId="0" borderId="0" xfId="21" applyFont="1" applyBorder="1" applyAlignment="1">
      <alignment/>
    </xf>
    <xf numFmtId="0" fontId="4" fillId="0" borderId="1" xfId="0" applyFont="1" applyBorder="1" applyAlignment="1">
      <alignment horizontal="center" wrapText="1"/>
    </xf>
    <xf numFmtId="3" fontId="4" fillId="0" borderId="1" xfId="0" applyNumberFormat="1" applyFont="1" applyBorder="1" applyAlignment="1">
      <alignment/>
    </xf>
    <xf numFmtId="9" fontId="4" fillId="0" borderId="1" xfId="0" applyNumberFormat="1" applyFont="1" applyBorder="1" applyAlignment="1">
      <alignment horizontal="right"/>
    </xf>
    <xf numFmtId="168" fontId="4" fillId="0" borderId="1" xfId="21" applyNumberFormat="1" applyFont="1" applyBorder="1" applyAlignment="1">
      <alignment horizontal="center"/>
    </xf>
    <xf numFmtId="1" fontId="0" fillId="0" borderId="0" xfId="0" applyNumberFormat="1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9" fontId="4" fillId="0" borderId="1" xfId="21" applyFont="1" applyBorder="1" applyAlignment="1">
      <alignment horizontal="right"/>
    </xf>
    <xf numFmtId="10" fontId="4" fillId="0" borderId="0" xfId="21" applyNumberFormat="1" applyFont="1" applyFill="1" applyBorder="1" applyAlignment="1">
      <alignment/>
    </xf>
    <xf numFmtId="9" fontId="4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0" fontId="2" fillId="0" borderId="0" xfId="21" applyNumberFormat="1" applyFont="1" applyFill="1" applyBorder="1" applyAlignment="1">
      <alignment/>
    </xf>
    <xf numFmtId="9" fontId="2" fillId="0" borderId="0" xfId="21" applyFont="1" applyBorder="1" applyAlignment="1">
      <alignment/>
    </xf>
    <xf numFmtId="164" fontId="0" fillId="0" borderId="1" xfId="0" applyNumberFormat="1" applyFont="1" applyBorder="1" applyAlignment="1">
      <alignment/>
    </xf>
    <xf numFmtId="9" fontId="0" fillId="0" borderId="1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5" fillId="0" borderId="0" xfId="0" applyFont="1" applyFill="1" applyBorder="1" applyAlignment="1">
      <alignment wrapText="1"/>
    </xf>
    <xf numFmtId="3" fontId="0" fillId="0" borderId="0" xfId="0" applyNumberFormat="1" applyFont="1" applyBorder="1" applyAlignment="1">
      <alignment/>
    </xf>
    <xf numFmtId="9" fontId="4" fillId="0" borderId="0" xfId="21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9" fontId="0" fillId="0" borderId="0" xfId="21" applyFont="1" applyBorder="1" applyAlignment="1">
      <alignment/>
    </xf>
    <xf numFmtId="9" fontId="4" fillId="0" borderId="1" xfId="0" applyNumberFormat="1" applyFont="1" applyBorder="1" applyAlignment="1">
      <alignment horizontal="center"/>
    </xf>
    <xf numFmtId="9" fontId="4" fillId="0" borderId="1" xfId="21" applyNumberFormat="1" applyFont="1" applyFill="1" applyBorder="1" applyAlignment="1">
      <alignment/>
    </xf>
    <xf numFmtId="0" fontId="2" fillId="0" borderId="0" xfId="0" applyFont="1" applyBorder="1" applyAlignment="1">
      <alignment wrapText="1"/>
    </xf>
    <xf numFmtId="10" fontId="2" fillId="0" borderId="0" xfId="21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center" wrapText="1"/>
    </xf>
    <xf numFmtId="3" fontId="2" fillId="2" borderId="0" xfId="0" applyNumberFormat="1" applyFont="1" applyFill="1" applyBorder="1" applyAlignment="1">
      <alignment/>
    </xf>
    <xf numFmtId="9" fontId="2" fillId="2" borderId="0" xfId="21" applyFont="1" applyFill="1" applyBorder="1" applyAlignment="1">
      <alignment/>
    </xf>
    <xf numFmtId="0" fontId="11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>
      <alignment/>
    </xf>
    <xf numFmtId="9" fontId="11" fillId="0" borderId="1" xfId="0" applyNumberFormat="1" applyFont="1" applyBorder="1" applyAlignment="1">
      <alignment/>
    </xf>
    <xf numFmtId="0" fontId="6" fillId="0" borderId="0" xfId="0" applyFont="1" applyFill="1" applyBorder="1" applyAlignment="1">
      <alignment horizontal="center" wrapText="1"/>
    </xf>
    <xf numFmtId="9" fontId="2" fillId="0" borderId="0" xfId="21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 wrapText="1"/>
    </xf>
    <xf numFmtId="9" fontId="0" fillId="0" borderId="1" xfId="0" applyNumberFormat="1" applyFont="1" applyFill="1" applyBorder="1" applyAlignment="1">
      <alignment/>
    </xf>
    <xf numFmtId="0" fontId="4" fillId="0" borderId="0" xfId="0" applyFont="1" applyBorder="1" applyAlignment="1">
      <alignment horizontal="left" wrapText="1"/>
    </xf>
    <xf numFmtId="10" fontId="4" fillId="0" borderId="0" xfId="21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left" wrapText="1"/>
    </xf>
    <xf numFmtId="164" fontId="12" fillId="0" borderId="1" xfId="0" applyNumberFormat="1" applyFont="1" applyBorder="1" applyAlignment="1">
      <alignment/>
    </xf>
    <xf numFmtId="9" fontId="12" fillId="0" borderId="1" xfId="21" applyFont="1" applyBorder="1" applyAlignment="1">
      <alignment/>
    </xf>
    <xf numFmtId="9" fontId="11" fillId="0" borderId="1" xfId="21" applyFont="1" applyBorder="1" applyAlignment="1">
      <alignment/>
    </xf>
    <xf numFmtId="164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0" fontId="0" fillId="0" borderId="0" xfId="21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3" fillId="0" borderId="0" xfId="0" applyNumberFormat="1" applyFont="1" applyFill="1" applyAlignment="1">
      <alignment horizontal="centerContinuous"/>
    </xf>
    <xf numFmtId="0" fontId="3" fillId="0" borderId="0" xfId="0" applyNumberFormat="1" applyFont="1" applyAlignment="1">
      <alignment horizontal="centerContinuous"/>
    </xf>
    <xf numFmtId="10" fontId="0" fillId="0" borderId="0" xfId="0" applyNumberFormat="1" applyFont="1" applyAlignment="1">
      <alignment horizontal="centerContinuous"/>
    </xf>
    <xf numFmtId="164" fontId="0" fillId="0" borderId="0" xfId="0" applyNumberFormat="1" applyFont="1" applyFill="1" applyAlignment="1">
      <alignment horizontal="centerContinuous"/>
    </xf>
    <xf numFmtId="0" fontId="13" fillId="0" borderId="0" xfId="19" applyFont="1" applyFill="1" applyAlignment="1">
      <alignment/>
    </xf>
    <xf numFmtId="0" fontId="14" fillId="0" borderId="0" xfId="19" applyFont="1" applyAlignment="1">
      <alignment/>
    </xf>
    <xf numFmtId="0" fontId="15" fillId="0" borderId="0" xfId="19" applyFont="1" applyAlignment="1">
      <alignment/>
    </xf>
    <xf numFmtId="0" fontId="10" fillId="0" borderId="0" xfId="19" applyFont="1" applyAlignment="1">
      <alignment/>
    </xf>
    <xf numFmtId="10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16" fillId="0" borderId="0" xfId="19" applyFont="1" applyAlignment="1">
      <alignment/>
    </xf>
    <xf numFmtId="9" fontId="6" fillId="0" borderId="1" xfId="21" applyFont="1" applyBorder="1" applyAlignment="1">
      <alignment/>
    </xf>
    <xf numFmtId="0" fontId="1" fillId="0" borderId="0" xfId="0" applyFont="1" applyAlignment="1">
      <alignment horizontal="centerContinuous"/>
    </xf>
    <xf numFmtId="0" fontId="4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right"/>
    </xf>
    <xf numFmtId="167" fontId="8" fillId="0" borderId="1" xfId="21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168" fontId="8" fillId="0" borderId="1" xfId="21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64" fontId="0" fillId="0" borderId="1" xfId="0" applyNumberFormat="1" applyFont="1" applyBorder="1" applyAlignment="1">
      <alignment horizontal="right"/>
    </xf>
    <xf numFmtId="168" fontId="2" fillId="0" borderId="1" xfId="21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" xfId="0" applyFont="1" applyFill="1" applyBorder="1" applyAlignment="1">
      <alignment/>
    </xf>
    <xf numFmtId="164" fontId="8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164" fontId="3" fillId="0" borderId="1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164" fontId="8" fillId="0" borderId="1" xfId="0" applyNumberFormat="1" applyFont="1" applyFill="1" applyBorder="1" applyAlignment="1">
      <alignment/>
    </xf>
    <xf numFmtId="0" fontId="8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0" fillId="0" borderId="0" xfId="0" applyFont="1" applyBorder="1" applyAlignment="1">
      <alignment wrapText="1"/>
    </xf>
    <xf numFmtId="164" fontId="0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0" fontId="0" fillId="0" borderId="0" xfId="0" applyNumberFormat="1" applyFont="1" applyBorder="1" applyAlignment="1">
      <alignment wrapText="1"/>
    </xf>
    <xf numFmtId="164" fontId="11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 horizontal="centerContinuous"/>
    </xf>
    <xf numFmtId="168" fontId="0" fillId="0" borderId="0" xfId="0" applyNumberFormat="1" applyFont="1" applyBorder="1" applyAlignment="1">
      <alignment horizontal="centerContinuous"/>
    </xf>
    <xf numFmtId="168" fontId="11" fillId="0" borderId="0" xfId="0" applyNumberFormat="1" applyFont="1" applyAlignment="1">
      <alignment horizontal="centerContinuous"/>
    </xf>
    <xf numFmtId="164" fontId="11" fillId="0" borderId="0" xfId="0" applyNumberFormat="1" applyFont="1" applyAlignment="1">
      <alignment horizontal="centerContinuous"/>
    </xf>
    <xf numFmtId="168" fontId="0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3" fontId="0" fillId="0" borderId="0" xfId="0" applyNumberFormat="1" applyFont="1" applyBorder="1" applyAlignment="1">
      <alignment wrapText="1"/>
    </xf>
    <xf numFmtId="0" fontId="8" fillId="0" borderId="1" xfId="0" applyFont="1" applyBorder="1" applyAlignment="1">
      <alignment/>
    </xf>
    <xf numFmtId="3" fontId="8" fillId="0" borderId="1" xfId="0" applyNumberFormat="1" applyFont="1" applyBorder="1" applyAlignment="1">
      <alignment/>
    </xf>
    <xf numFmtId="1" fontId="8" fillId="0" borderId="1" xfId="21" applyNumberFormat="1" applyFont="1" applyBorder="1" applyAlignment="1">
      <alignment horizontal="center"/>
    </xf>
    <xf numFmtId="167" fontId="8" fillId="0" borderId="1" xfId="21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right" wrapText="1"/>
    </xf>
    <xf numFmtId="168" fontId="4" fillId="0" borderId="1" xfId="21" applyNumberFormat="1" applyFont="1" applyBorder="1" applyAlignment="1">
      <alignment/>
    </xf>
    <xf numFmtId="3" fontId="5" fillId="0" borderId="1" xfId="0" applyNumberFormat="1" applyFont="1" applyFill="1" applyBorder="1" applyAlignment="1">
      <alignment/>
    </xf>
    <xf numFmtId="166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/>
    </xf>
    <xf numFmtId="3" fontId="8" fillId="0" borderId="1" xfId="0" applyNumberFormat="1" applyFont="1" applyFill="1" applyBorder="1" applyAlignment="1">
      <alignment/>
    </xf>
    <xf numFmtId="1" fontId="8" fillId="0" borderId="1" xfId="21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166" fontId="0" fillId="0" borderId="1" xfId="0" applyNumberFormat="1" applyFont="1" applyBorder="1" applyAlignment="1">
      <alignment/>
    </xf>
    <xf numFmtId="168" fontId="0" fillId="0" borderId="1" xfId="21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/>
    </xf>
    <xf numFmtId="166" fontId="0" fillId="0" borderId="1" xfId="0" applyNumberFormat="1" applyFont="1" applyBorder="1" applyAlignment="1">
      <alignment horizontal="right" wrapText="1"/>
    </xf>
    <xf numFmtId="9" fontId="2" fillId="0" borderId="1" xfId="21" applyFont="1" applyBorder="1" applyAlignment="1">
      <alignment horizontal="center"/>
    </xf>
    <xf numFmtId="1" fontId="2" fillId="0" borderId="1" xfId="0" applyNumberFormat="1" applyFont="1" applyBorder="1" applyAlignment="1">
      <alignment/>
    </xf>
    <xf numFmtId="1" fontId="2" fillId="0" borderId="1" xfId="21" applyNumberFormat="1" applyFont="1" applyBorder="1" applyAlignment="1">
      <alignment horizontal="center"/>
    </xf>
    <xf numFmtId="3" fontId="2" fillId="0" borderId="1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164" fontId="8" fillId="0" borderId="1" xfId="0" applyNumberFormat="1" applyFont="1" applyBorder="1" applyAlignment="1">
      <alignment/>
    </xf>
    <xf numFmtId="166" fontId="4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0" fontId="8" fillId="0" borderId="1" xfId="0" applyFont="1" applyBorder="1" applyAlignment="1">
      <alignment horizontal="left"/>
    </xf>
    <xf numFmtId="3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 wrapText="1"/>
    </xf>
    <xf numFmtId="10" fontId="2" fillId="0" borderId="1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8" fontId="0" fillId="0" borderId="1" xfId="0" applyNumberFormat="1" applyFont="1" applyBorder="1" applyAlignment="1">
      <alignment horizontal="center" wrapText="1"/>
    </xf>
    <xf numFmtId="168" fontId="0" fillId="0" borderId="1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right"/>
    </xf>
    <xf numFmtId="166" fontId="4" fillId="0" borderId="1" xfId="0" applyNumberFormat="1" applyFont="1" applyBorder="1" applyAlignment="1">
      <alignment horizontal="right"/>
    </xf>
    <xf numFmtId="166" fontId="0" fillId="0" borderId="1" xfId="0" applyNumberFormat="1" applyFont="1" applyBorder="1" applyAlignment="1">
      <alignment horizontal="right" vertical="center" wrapText="1"/>
    </xf>
    <xf numFmtId="0" fontId="17" fillId="0" borderId="1" xfId="0" applyFont="1" applyBorder="1" applyAlignment="1">
      <alignment horizontal="center" wrapText="1"/>
    </xf>
    <xf numFmtId="164" fontId="17" fillId="0" borderId="1" xfId="0" applyNumberFormat="1" applyFont="1" applyBorder="1" applyAlignment="1">
      <alignment horizontal="center"/>
    </xf>
    <xf numFmtId="3" fontId="17" fillId="0" borderId="1" xfId="0" applyNumberFormat="1" applyFont="1" applyFill="1" applyBorder="1" applyAlignment="1">
      <alignment/>
    </xf>
    <xf numFmtId="10" fontId="17" fillId="0" borderId="1" xfId="0" applyNumberFormat="1" applyFont="1" applyBorder="1" applyAlignment="1">
      <alignment horizontal="center" wrapText="1"/>
    </xf>
    <xf numFmtId="10" fontId="17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166" fontId="11" fillId="0" borderId="1" xfId="0" applyNumberFormat="1" applyFont="1" applyBorder="1" applyAlignment="1">
      <alignment horizontal="center"/>
    </xf>
    <xf numFmtId="166" fontId="11" fillId="0" borderId="1" xfId="0" applyNumberFormat="1" applyFont="1" applyBorder="1" applyAlignment="1">
      <alignment horizontal="right" wrapText="1"/>
    </xf>
    <xf numFmtId="168" fontId="11" fillId="0" borderId="1" xfId="0" applyNumberFormat="1" applyFont="1" applyBorder="1" applyAlignment="1">
      <alignment horizontal="center" wrapText="1"/>
    </xf>
    <xf numFmtId="168" fontId="11" fillId="0" borderId="1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3" fontId="17" fillId="0" borderId="1" xfId="0" applyNumberFormat="1" applyFont="1" applyBorder="1" applyAlignment="1">
      <alignment/>
    </xf>
    <xf numFmtId="0" fontId="11" fillId="0" borderId="0" xfId="0" applyFont="1" applyAlignment="1">
      <alignment/>
    </xf>
    <xf numFmtId="0" fontId="8" fillId="0" borderId="1" xfId="0" applyFont="1" applyBorder="1" applyAlignment="1">
      <alignment horizontal="center" wrapText="1"/>
    </xf>
    <xf numFmtId="0" fontId="0" fillId="0" borderId="1" xfId="0" applyFont="1" applyBorder="1" applyAlignment="1">
      <alignment vertical="center" wrapText="1"/>
    </xf>
    <xf numFmtId="166" fontId="0" fillId="0" borderId="1" xfId="0" applyNumberFormat="1" applyFont="1" applyBorder="1" applyAlignment="1">
      <alignment wrapText="1"/>
    </xf>
    <xf numFmtId="167" fontId="2" fillId="0" borderId="1" xfId="21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70" fontId="0" fillId="0" borderId="1" xfId="21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3" fontId="8" fillId="0" borderId="1" xfId="0" applyNumberFormat="1" applyFont="1" applyFill="1" applyBorder="1" applyAlignment="1">
      <alignment/>
    </xf>
    <xf numFmtId="170" fontId="0" fillId="0" borderId="1" xfId="0" applyNumberFormat="1" applyFont="1" applyBorder="1" applyAlignment="1">
      <alignment horizontal="center" wrapText="1"/>
    </xf>
    <xf numFmtId="170" fontId="0" fillId="0" borderId="1" xfId="0" applyNumberFormat="1" applyFont="1" applyBorder="1" applyAlignment="1">
      <alignment horizontal="center"/>
    </xf>
    <xf numFmtId="3" fontId="2" fillId="0" borderId="1" xfId="0" applyNumberFormat="1" applyFont="1" applyFill="1" applyBorder="1" applyAlignment="1">
      <alignment/>
    </xf>
    <xf numFmtId="3" fontId="0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left" wrapText="1"/>
    </xf>
    <xf numFmtId="166" fontId="0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70" fontId="0" fillId="0" borderId="1" xfId="0" applyNumberFormat="1" applyFont="1" applyBorder="1" applyAlignment="1">
      <alignment/>
    </xf>
    <xf numFmtId="10" fontId="0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Continuous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0" fontId="18" fillId="0" borderId="0" xfId="0" applyFont="1" applyAlignment="1">
      <alignment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 wrapText="1"/>
    </xf>
    <xf numFmtId="0" fontId="0" fillId="0" borderId="2" xfId="0" applyFont="1" applyBorder="1" applyAlignment="1">
      <alignment horizontal="center" vertical="center"/>
    </xf>
    <xf numFmtId="167" fontId="4" fillId="0" borderId="1" xfId="21" applyNumberFormat="1" applyFont="1" applyBorder="1" applyAlignment="1">
      <alignment/>
    </xf>
    <xf numFmtId="0" fontId="19" fillId="0" borderId="0" xfId="0" applyFont="1" applyAlignment="1">
      <alignment/>
    </xf>
    <xf numFmtId="171" fontId="4" fillId="0" borderId="1" xfId="21" applyNumberFormat="1" applyFont="1" applyBorder="1" applyAlignment="1">
      <alignment/>
    </xf>
    <xf numFmtId="164" fontId="4" fillId="0" borderId="2" xfId="0" applyNumberFormat="1" applyFont="1" applyBorder="1" applyAlignment="1">
      <alignment/>
    </xf>
    <xf numFmtId="171" fontId="0" fillId="0" borderId="1" xfId="21" applyNumberFormat="1" applyFont="1" applyBorder="1" applyAlignment="1">
      <alignment/>
    </xf>
    <xf numFmtId="166" fontId="0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168" fontId="0" fillId="0" borderId="1" xfId="21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164" fontId="0" fillId="0" borderId="2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0" fillId="3" borderId="1" xfId="0" applyFont="1" applyFill="1" applyBorder="1" applyAlignment="1">
      <alignment/>
    </xf>
    <xf numFmtId="0" fontId="11" fillId="0" borderId="1" xfId="0" applyFont="1" applyBorder="1" applyAlignment="1">
      <alignment/>
    </xf>
    <xf numFmtId="3" fontId="11" fillId="0" borderId="1" xfId="0" applyNumberFormat="1" applyFont="1" applyBorder="1" applyAlignment="1">
      <alignment/>
    </xf>
    <xf numFmtId="3" fontId="11" fillId="0" borderId="1" xfId="0" applyNumberFormat="1" applyFont="1" applyFill="1" applyBorder="1" applyAlignment="1">
      <alignment/>
    </xf>
    <xf numFmtId="166" fontId="11" fillId="0" borderId="1" xfId="0" applyNumberFormat="1" applyFont="1" applyBorder="1" applyAlignment="1">
      <alignment/>
    </xf>
    <xf numFmtId="3" fontId="11" fillId="0" borderId="1" xfId="0" applyNumberFormat="1" applyFont="1" applyBorder="1" applyAlignment="1">
      <alignment/>
    </xf>
    <xf numFmtId="164" fontId="11" fillId="0" borderId="2" xfId="0" applyNumberFormat="1" applyFont="1" applyBorder="1" applyAlignment="1">
      <alignment/>
    </xf>
    <xf numFmtId="171" fontId="11" fillId="0" borderId="1" xfId="21" applyNumberFormat="1" applyFont="1" applyBorder="1" applyAlignment="1">
      <alignment/>
    </xf>
    <xf numFmtId="0" fontId="21" fillId="0" borderId="0" xfId="0" applyFont="1" applyAlignment="1">
      <alignment/>
    </xf>
    <xf numFmtId="166" fontId="11" fillId="0" borderId="1" xfId="0" applyNumberFormat="1" applyFont="1" applyBorder="1" applyAlignment="1">
      <alignment/>
    </xf>
    <xf numFmtId="0" fontId="11" fillId="0" borderId="1" xfId="0" applyFont="1" applyBorder="1" applyAlignment="1">
      <alignment wrapText="1"/>
    </xf>
    <xf numFmtId="0" fontId="0" fillId="0" borderId="2" xfId="0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8" fillId="0" borderId="0" xfId="0" applyFont="1" applyAlignment="1">
      <alignment horizontal="centerContinuous"/>
    </xf>
    <xf numFmtId="3" fontId="18" fillId="0" borderId="0" xfId="0" applyNumberFormat="1" applyFont="1" applyAlignment="1">
      <alignment horizontal="centerContinuous"/>
    </xf>
    <xf numFmtId="0" fontId="18" fillId="0" borderId="0" xfId="0" applyFont="1" applyAlignment="1">
      <alignment horizontal="right"/>
    </xf>
    <xf numFmtId="3" fontId="18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3" fontId="22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wrapText="1"/>
    </xf>
    <xf numFmtId="3" fontId="22" fillId="0" borderId="1" xfId="0" applyNumberFormat="1" applyFont="1" applyBorder="1" applyAlignment="1">
      <alignment horizontal="right" wrapText="1"/>
    </xf>
    <xf numFmtId="172" fontId="22" fillId="0" borderId="1" xfId="21" applyNumberFormat="1" applyFont="1" applyBorder="1" applyAlignment="1">
      <alignment/>
    </xf>
    <xf numFmtId="0" fontId="22" fillId="0" borderId="2" xfId="0" applyFont="1" applyBorder="1" applyAlignment="1">
      <alignment horizontal="right" wrapText="1"/>
    </xf>
    <xf numFmtId="166" fontId="22" fillId="0" borderId="1" xfId="0" applyNumberFormat="1" applyFont="1" applyBorder="1" applyAlignment="1">
      <alignment horizontal="right" wrapText="1"/>
    </xf>
    <xf numFmtId="168" fontId="22" fillId="0" borderId="1" xfId="21" applyNumberFormat="1" applyFont="1" applyBorder="1" applyAlignment="1">
      <alignment/>
    </xf>
    <xf numFmtId="0" fontId="18" fillId="0" borderId="1" xfId="0" applyFont="1" applyBorder="1" applyAlignment="1">
      <alignment wrapText="1"/>
    </xf>
    <xf numFmtId="3" fontId="18" fillId="0" borderId="1" xfId="0" applyNumberFormat="1" applyFont="1" applyBorder="1" applyAlignment="1">
      <alignment horizontal="center" wrapText="1"/>
    </xf>
    <xf numFmtId="3" fontId="18" fillId="0" borderId="1" xfId="0" applyNumberFormat="1" applyFont="1" applyBorder="1" applyAlignment="1">
      <alignment horizontal="right" wrapText="1"/>
    </xf>
    <xf numFmtId="172" fontId="18" fillId="0" borderId="1" xfId="21" applyNumberFormat="1" applyFont="1" applyBorder="1" applyAlignment="1">
      <alignment/>
    </xf>
    <xf numFmtId="3" fontId="18" fillId="0" borderId="2" xfId="0" applyNumberFormat="1" applyFont="1" applyBorder="1" applyAlignment="1">
      <alignment/>
    </xf>
    <xf numFmtId="168" fontId="18" fillId="0" borderId="1" xfId="21" applyNumberFormat="1" applyFont="1" applyBorder="1" applyAlignment="1">
      <alignment/>
    </xf>
    <xf numFmtId="3" fontId="22" fillId="0" borderId="1" xfId="0" applyNumberFormat="1" applyFont="1" applyBorder="1" applyAlignment="1">
      <alignment/>
    </xf>
    <xf numFmtId="164" fontId="22" fillId="0" borderId="2" xfId="0" applyNumberFormat="1" applyFont="1" applyBorder="1" applyAlignment="1">
      <alignment/>
    </xf>
    <xf numFmtId="0" fontId="22" fillId="0" borderId="1" xfId="0" applyFont="1" applyBorder="1" applyAlignment="1">
      <alignment horizontal="left"/>
    </xf>
    <xf numFmtId="3" fontId="22" fillId="0" borderId="1" xfId="0" applyNumberFormat="1" applyFont="1" applyBorder="1" applyAlignment="1">
      <alignment/>
    </xf>
    <xf numFmtId="164" fontId="22" fillId="0" borderId="2" xfId="0" applyNumberFormat="1" applyFont="1" applyBorder="1" applyAlignment="1">
      <alignment/>
    </xf>
    <xf numFmtId="0" fontId="18" fillId="0" borderId="1" xfId="0" applyFont="1" applyBorder="1" applyAlignment="1">
      <alignment/>
    </xf>
    <xf numFmtId="3" fontId="18" fillId="0" borderId="1" xfId="0" applyNumberFormat="1" applyFont="1" applyBorder="1" applyAlignment="1">
      <alignment/>
    </xf>
    <xf numFmtId="164" fontId="18" fillId="0" borderId="2" xfId="0" applyNumberFormat="1" applyFont="1" applyBorder="1" applyAlignment="1">
      <alignment/>
    </xf>
    <xf numFmtId="3" fontId="18" fillId="0" borderId="1" xfId="0" applyNumberFormat="1" applyFont="1" applyBorder="1" applyAlignment="1">
      <alignment horizontal="center"/>
    </xf>
    <xf numFmtId="10" fontId="18" fillId="0" borderId="1" xfId="0" applyNumberFormat="1" applyFont="1" applyBorder="1" applyAlignment="1">
      <alignment horizontal="center" wrapText="1"/>
    </xf>
    <xf numFmtId="164" fontId="18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/>
    </xf>
    <xf numFmtId="0" fontId="0" fillId="0" borderId="1" xfId="0" applyFont="1" applyBorder="1" applyAlignment="1">
      <alignment horizontal="right" vertical="center" wrapText="1"/>
    </xf>
    <xf numFmtId="0" fontId="23" fillId="0" borderId="1" xfId="0" applyFont="1" applyBorder="1" applyAlignment="1">
      <alignment horizontal="center" wrapText="1"/>
    </xf>
    <xf numFmtId="3" fontId="23" fillId="0" borderId="1" xfId="0" applyNumberFormat="1" applyFont="1" applyBorder="1" applyAlignment="1">
      <alignment horizontal="center"/>
    </xf>
    <xf numFmtId="3" fontId="23" fillId="0" borderId="1" xfId="0" applyNumberFormat="1" applyFont="1" applyBorder="1" applyAlignment="1">
      <alignment/>
    </xf>
    <xf numFmtId="10" fontId="23" fillId="0" borderId="1" xfId="0" applyNumberFormat="1" applyFont="1" applyBorder="1" applyAlignment="1">
      <alignment horizontal="center" wrapText="1"/>
    </xf>
    <xf numFmtId="164" fontId="23" fillId="0" borderId="1" xfId="0" applyNumberFormat="1" applyFont="1" applyBorder="1" applyAlignment="1">
      <alignment horizontal="center"/>
    </xf>
    <xf numFmtId="10" fontId="11" fillId="0" borderId="1" xfId="0" applyNumberFormat="1" applyFont="1" applyBorder="1" applyAlignment="1">
      <alignment horizontal="center" wrapText="1"/>
    </xf>
    <xf numFmtId="164" fontId="11" fillId="0" borderId="1" xfId="0" applyNumberFormat="1" applyFont="1" applyBorder="1" applyAlignment="1">
      <alignment horizontal="center"/>
    </xf>
    <xf numFmtId="0" fontId="23" fillId="0" borderId="0" xfId="0" applyFont="1" applyAlignment="1">
      <alignment/>
    </xf>
    <xf numFmtId="166" fontId="4" fillId="0" borderId="1" xfId="0" applyNumberFormat="1" applyFont="1" applyBorder="1" applyAlignment="1">
      <alignment horizontal="center" wrapText="1"/>
    </xf>
    <xf numFmtId="0" fontId="22" fillId="0" borderId="1" xfId="0" applyFont="1" applyBorder="1" applyAlignment="1">
      <alignment horizontal="left" wrapText="1"/>
    </xf>
    <xf numFmtId="3" fontId="22" fillId="0" borderId="1" xfId="0" applyNumberFormat="1" applyFont="1" applyBorder="1" applyAlignment="1">
      <alignment horizontal="right"/>
    </xf>
    <xf numFmtId="164" fontId="22" fillId="0" borderId="2" xfId="0" applyNumberFormat="1" applyFont="1" applyBorder="1" applyAlignment="1">
      <alignment horizontal="right"/>
    </xf>
    <xf numFmtId="3" fontId="18" fillId="0" borderId="1" xfId="0" applyNumberFormat="1" applyFont="1" applyBorder="1" applyAlignment="1">
      <alignment horizontal="right"/>
    </xf>
    <xf numFmtId="3" fontId="23" fillId="0" borderId="1" xfId="0" applyNumberFormat="1" applyFont="1" applyBorder="1" applyAlignment="1">
      <alignment horizontal="right"/>
    </xf>
    <xf numFmtId="0" fontId="18" fillId="0" borderId="1" xfId="0" applyFont="1" applyBorder="1" applyAlignment="1">
      <alignment horizontal="left" wrapText="1"/>
    </xf>
    <xf numFmtId="0" fontId="18" fillId="0" borderId="1" xfId="0" applyFont="1" applyBorder="1" applyAlignment="1">
      <alignment/>
    </xf>
    <xf numFmtId="172" fontId="0" fillId="0" borderId="1" xfId="21" applyNumberFormat="1" applyFont="1" applyBorder="1" applyAlignment="1">
      <alignment/>
    </xf>
    <xf numFmtId="0" fontId="18" fillId="0" borderId="0" xfId="0" applyFont="1" applyBorder="1" applyAlignment="1">
      <alignment wrapText="1"/>
    </xf>
    <xf numFmtId="3" fontId="18" fillId="0" borderId="0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/>
    </xf>
    <xf numFmtId="10" fontId="18" fillId="0" borderId="0" xfId="0" applyNumberFormat="1" applyFont="1" applyBorder="1" applyAlignment="1">
      <alignment horizontal="center" wrapText="1"/>
    </xf>
    <xf numFmtId="164" fontId="23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 wrapText="1"/>
    </xf>
    <xf numFmtId="164" fontId="11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3" fontId="18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10" fontId="22" fillId="0" borderId="0" xfId="0" applyNumberFormat="1" applyFont="1" applyBorder="1" applyAlignment="1">
      <alignment horizontal="center" wrapText="1"/>
    </xf>
    <xf numFmtId="10" fontId="4" fillId="0" borderId="0" xfId="0" applyNumberFormat="1" applyFont="1" applyBorder="1" applyAlignment="1">
      <alignment horizontal="center" wrapText="1"/>
    </xf>
    <xf numFmtId="10" fontId="18" fillId="0" borderId="0" xfId="0" applyNumberFormat="1" applyFont="1" applyBorder="1" applyAlignment="1">
      <alignment horizontal="centerContinuous"/>
    </xf>
    <xf numFmtId="164" fontId="23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23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22" fillId="0" borderId="0" xfId="0" applyFont="1" applyAlignment="1">
      <alignment horizontal="centerContinuous"/>
    </xf>
    <xf numFmtId="3" fontId="1" fillId="0" borderId="0" xfId="0" applyNumberFormat="1" applyFont="1" applyAlignment="1">
      <alignment horizontal="centerContinuous"/>
    </xf>
    <xf numFmtId="0" fontId="22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2" xfId="0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173" fontId="4" fillId="0" borderId="1" xfId="0" applyNumberFormat="1" applyFont="1" applyBorder="1" applyAlignment="1">
      <alignment horizontal="right" wrapText="1"/>
    </xf>
    <xf numFmtId="172" fontId="8" fillId="0" borderId="1" xfId="21" applyNumberFormat="1" applyFont="1" applyBorder="1" applyAlignment="1">
      <alignment/>
    </xf>
    <xf numFmtId="0" fontId="4" fillId="0" borderId="1" xfId="0" applyFont="1" applyBorder="1" applyAlignment="1">
      <alignment horizontal="right" wrapText="1"/>
    </xf>
    <xf numFmtId="3" fontId="0" fillId="0" borderId="1" xfId="0" applyNumberFormat="1" applyFont="1" applyBorder="1" applyAlignment="1">
      <alignment horizontal="right" wrapText="1"/>
    </xf>
    <xf numFmtId="167" fontId="0" fillId="0" borderId="1" xfId="21" applyNumberFormat="1" applyFont="1" applyBorder="1" applyAlignment="1">
      <alignment horizontal="right"/>
    </xf>
    <xf numFmtId="0" fontId="0" fillId="0" borderId="1" xfId="0" applyFont="1" applyBorder="1" applyAlignment="1">
      <alignment horizontal="right" wrapText="1"/>
    </xf>
    <xf numFmtId="0" fontId="0" fillId="0" borderId="2" xfId="0" applyFont="1" applyBorder="1" applyAlignment="1">
      <alignment horizontal="right" wrapText="1"/>
    </xf>
    <xf numFmtId="3" fontId="4" fillId="0" borderId="1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7" fontId="0" fillId="0" borderId="1" xfId="21" applyNumberFormat="1" applyFont="1" applyBorder="1" applyAlignment="1">
      <alignment/>
    </xf>
    <xf numFmtId="164" fontId="0" fillId="0" borderId="2" xfId="0" applyNumberFormat="1" applyFont="1" applyBorder="1" applyAlignment="1">
      <alignment horizontal="right" wrapText="1"/>
    </xf>
    <xf numFmtId="164" fontId="0" fillId="0" borderId="2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right" wrapText="1"/>
    </xf>
    <xf numFmtId="0" fontId="11" fillId="0" borderId="0" xfId="0" applyFont="1" applyAlignment="1">
      <alignment/>
    </xf>
    <xf numFmtId="9" fontId="4" fillId="0" borderId="1" xfId="21" applyNumberFormat="1" applyFont="1" applyBorder="1" applyAlignment="1">
      <alignment/>
    </xf>
    <xf numFmtId="0" fontId="0" fillId="0" borderId="0" xfId="0" applyFont="1" applyBorder="1" applyAlignment="1">
      <alignment horizontal="left" wrapText="1"/>
    </xf>
    <xf numFmtId="3" fontId="0" fillId="0" borderId="0" xfId="0" applyNumberFormat="1" applyFont="1" applyBorder="1" applyAlignment="1">
      <alignment horizontal="center"/>
    </xf>
    <xf numFmtId="164" fontId="11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/>
    </xf>
    <xf numFmtId="10" fontId="4" fillId="0" borderId="0" xfId="21" applyNumberFormat="1" applyFont="1" applyBorder="1" applyAlignment="1">
      <alignment/>
    </xf>
    <xf numFmtId="174" fontId="0" fillId="0" borderId="0" xfId="0" applyNumberFormat="1" applyFont="1" applyBorder="1" applyAlignment="1">
      <alignment horizontal="center"/>
    </xf>
    <xf numFmtId="174" fontId="0" fillId="0" borderId="1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wrapText="1"/>
    </xf>
    <xf numFmtId="174" fontId="0" fillId="0" borderId="1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/>
    </xf>
    <xf numFmtId="3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3" fontId="4" fillId="0" borderId="1" xfId="0" applyNumberFormat="1" applyFont="1" applyBorder="1" applyAlignment="1">
      <alignment/>
    </xf>
    <xf numFmtId="10" fontId="4" fillId="0" borderId="1" xfId="21" applyNumberFormat="1" applyFont="1" applyBorder="1" applyAlignment="1">
      <alignment/>
    </xf>
    <xf numFmtId="175" fontId="4" fillId="0" borderId="1" xfId="21" applyNumberFormat="1" applyFont="1" applyBorder="1" applyAlignment="1">
      <alignment/>
    </xf>
    <xf numFmtId="10" fontId="0" fillId="0" borderId="1" xfId="21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3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164" fontId="4" fillId="0" borderId="4" xfId="0" applyNumberFormat="1" applyFont="1" applyBorder="1" applyAlignment="1">
      <alignment horizontal="right"/>
    </xf>
    <xf numFmtId="167" fontId="4" fillId="0" borderId="4" xfId="21" applyNumberFormat="1" applyFont="1" applyBorder="1" applyAlignment="1">
      <alignment/>
    </xf>
    <xf numFmtId="0" fontId="4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67" fontId="5" fillId="0" borderId="4" xfId="21" applyNumberFormat="1" applyFont="1" applyBorder="1" applyAlignment="1">
      <alignment/>
    </xf>
    <xf numFmtId="167" fontId="8" fillId="0" borderId="4" xfId="21" applyNumberFormat="1" applyFont="1" applyBorder="1" applyAlignment="1">
      <alignment/>
    </xf>
    <xf numFmtId="0" fontId="5" fillId="0" borderId="1" xfId="0" applyFont="1" applyBorder="1" applyAlignment="1">
      <alignment horizontal="left"/>
    </xf>
    <xf numFmtId="164" fontId="5" fillId="0" borderId="1" xfId="0" applyNumberFormat="1" applyFont="1" applyBorder="1" applyAlignment="1">
      <alignment/>
    </xf>
    <xf numFmtId="168" fontId="5" fillId="0" borderId="1" xfId="21" applyNumberFormat="1" applyFont="1" applyBorder="1" applyAlignment="1">
      <alignment/>
    </xf>
    <xf numFmtId="164" fontId="8" fillId="0" borderId="0" xfId="0" applyNumberFormat="1" applyFont="1" applyAlignment="1">
      <alignment/>
    </xf>
    <xf numFmtId="164" fontId="4" fillId="0" borderId="3" xfId="0" applyNumberFormat="1" applyFont="1" applyBorder="1" applyAlignment="1">
      <alignment/>
    </xf>
    <xf numFmtId="164" fontId="4" fillId="0" borderId="4" xfId="0" applyNumberFormat="1" applyFont="1" applyBorder="1" applyAlignment="1">
      <alignment/>
    </xf>
    <xf numFmtId="164" fontId="4" fillId="0" borderId="4" xfId="0" applyNumberFormat="1" applyFont="1" applyBorder="1" applyAlignment="1">
      <alignment horizontal="center"/>
    </xf>
    <xf numFmtId="167" fontId="4" fillId="0" borderId="4" xfId="21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10" fontId="2" fillId="0" borderId="0" xfId="0" applyNumberFormat="1" applyFont="1" applyBorder="1" applyAlignment="1">
      <alignment horizontal="centerContinuous"/>
    </xf>
    <xf numFmtId="164" fontId="17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0" fontId="2" fillId="0" borderId="0" xfId="0" applyNumberFormat="1" applyFont="1" applyBorder="1" applyAlignment="1">
      <alignment/>
    </xf>
    <xf numFmtId="164" fontId="17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0" fontId="3" fillId="0" borderId="0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0" fontId="0" fillId="0" borderId="0" xfId="20" applyFont="1" applyAlignment="1">
      <alignment horizontal="centerContinuous"/>
      <protection/>
    </xf>
    <xf numFmtId="0" fontId="0" fillId="0" borderId="0" xfId="20" applyFont="1" applyAlignment="1">
      <alignment horizontal="right"/>
      <protection/>
    </xf>
    <xf numFmtId="0" fontId="25" fillId="0" borderId="0" xfId="20" applyFont="1">
      <alignment/>
      <protection/>
    </xf>
    <xf numFmtId="0" fontId="0" fillId="0" borderId="0" xfId="20" applyFont="1">
      <alignment/>
      <protection/>
    </xf>
    <xf numFmtId="0" fontId="1" fillId="0" borderId="0" xfId="20" applyFont="1" applyAlignment="1">
      <alignment horizontal="centerContinuous"/>
      <protection/>
    </xf>
    <xf numFmtId="0" fontId="7" fillId="0" borderId="0" xfId="20" applyFont="1" applyAlignment="1">
      <alignment horizontal="centerContinuous"/>
      <protection/>
    </xf>
    <xf numFmtId="0" fontId="7" fillId="0" borderId="5" xfId="20" applyFont="1" applyBorder="1" applyAlignment="1">
      <alignment horizontal="centerContinuous"/>
      <protection/>
    </xf>
    <xf numFmtId="0" fontId="0" fillId="0" borderId="5" xfId="20" applyFont="1" applyBorder="1" applyAlignment="1">
      <alignment horizontal="centerContinuous"/>
      <protection/>
    </xf>
    <xf numFmtId="0" fontId="3" fillId="0" borderId="5" xfId="20" applyFont="1" applyBorder="1">
      <alignment/>
      <protection/>
    </xf>
    <xf numFmtId="0" fontId="3" fillId="0" borderId="6" xfId="20" applyFont="1" applyBorder="1" applyAlignment="1">
      <alignment horizontal="center" vertical="center" wrapText="1"/>
      <protection/>
    </xf>
    <xf numFmtId="0" fontId="3" fillId="0" borderId="4" xfId="20" applyFont="1" applyBorder="1" applyAlignment="1">
      <alignment horizontal="center" vertical="center" wrapText="1"/>
      <protection/>
    </xf>
    <xf numFmtId="0" fontId="3" fillId="0" borderId="7" xfId="20" applyFont="1" applyBorder="1" applyAlignment="1">
      <alignment horizontal="center" vertical="center" wrapText="1"/>
      <protection/>
    </xf>
    <xf numFmtId="0" fontId="3" fillId="0" borderId="8" xfId="20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3" fontId="11" fillId="0" borderId="0" xfId="0" applyNumberFormat="1" applyFont="1" applyBorder="1" applyAlignment="1">
      <alignment wrapText="1"/>
    </xf>
    <xf numFmtId="3" fontId="0" fillId="0" borderId="0" xfId="0" applyNumberFormat="1" applyAlignment="1">
      <alignment wrapText="1"/>
    </xf>
    <xf numFmtId="0" fontId="3" fillId="0" borderId="1" xfId="20" applyFont="1" applyBorder="1" applyAlignment="1">
      <alignment horizontal="center" vertical="center" wrapText="1"/>
      <protection/>
    </xf>
    <xf numFmtId="0" fontId="3" fillId="0" borderId="9" xfId="20" applyFont="1" applyBorder="1" applyAlignment="1">
      <alignment horizontal="center" vertical="center" wrapText="1"/>
      <protection/>
    </xf>
    <xf numFmtId="0" fontId="25" fillId="0" borderId="0" xfId="20" applyFont="1" applyAlignment="1">
      <alignment horizontal="center"/>
      <protection/>
    </xf>
    <xf numFmtId="0" fontId="4" fillId="0" borderId="8" xfId="20" applyFont="1" applyBorder="1" applyAlignment="1">
      <alignment wrapText="1"/>
      <protection/>
    </xf>
    <xf numFmtId="164" fontId="2" fillId="0" borderId="1" xfId="20" applyNumberFormat="1" applyFont="1" applyBorder="1">
      <alignment/>
      <protection/>
    </xf>
    <xf numFmtId="168" fontId="2" fillId="0" borderId="1" xfId="20" applyNumberFormat="1" applyFont="1" applyBorder="1">
      <alignment/>
      <protection/>
    </xf>
    <xf numFmtId="164" fontId="2" fillId="0" borderId="9" xfId="20" applyNumberFormat="1" applyFont="1" applyBorder="1">
      <alignment/>
      <protection/>
    </xf>
    <xf numFmtId="0" fontId="2" fillId="0" borderId="8" xfId="20" applyFont="1" applyBorder="1" applyAlignment="1">
      <alignment/>
      <protection/>
    </xf>
    <xf numFmtId="0" fontId="6" fillId="0" borderId="8" xfId="20" applyFont="1" applyBorder="1" applyAlignment="1">
      <alignment horizontal="center" wrapText="1"/>
      <protection/>
    </xf>
    <xf numFmtId="0" fontId="0" fillId="0" borderId="8" xfId="20" applyFont="1" applyBorder="1" applyAlignment="1">
      <alignment wrapText="1"/>
      <protection/>
    </xf>
    <xf numFmtId="0" fontId="8" fillId="0" borderId="8" xfId="20" applyFont="1" applyBorder="1" applyAlignment="1">
      <alignment wrapText="1"/>
      <protection/>
    </xf>
    <xf numFmtId="0" fontId="2" fillId="0" borderId="8" xfId="20" applyFont="1" applyBorder="1" applyAlignment="1">
      <alignment wrapText="1"/>
      <protection/>
    </xf>
    <xf numFmtId="0" fontId="25" fillId="0" borderId="10" xfId="20" applyFont="1" applyBorder="1">
      <alignment/>
      <protection/>
    </xf>
    <xf numFmtId="0" fontId="25" fillId="0" borderId="1" xfId="20" applyFont="1" applyBorder="1">
      <alignment/>
      <protection/>
    </xf>
    <xf numFmtId="0" fontId="4" fillId="0" borderId="11" xfId="20" applyFont="1" applyBorder="1" applyAlignment="1">
      <alignment wrapText="1"/>
      <protection/>
    </xf>
    <xf numFmtId="164" fontId="2" fillId="0" borderId="12" xfId="20" applyNumberFormat="1" applyFont="1" applyBorder="1">
      <alignment/>
      <protection/>
    </xf>
    <xf numFmtId="168" fontId="2" fillId="0" borderId="12" xfId="20" applyNumberFormat="1" applyFont="1" applyBorder="1">
      <alignment/>
      <protection/>
    </xf>
    <xf numFmtId="164" fontId="2" fillId="0" borderId="13" xfId="20" applyNumberFormat="1" applyFont="1" applyBorder="1">
      <alignment/>
      <protection/>
    </xf>
    <xf numFmtId="0" fontId="0" fillId="0" borderId="0" xfId="20" applyFont="1" applyAlignment="1">
      <alignment wrapText="1"/>
      <protection/>
    </xf>
    <xf numFmtId="0" fontId="2" fillId="0" borderId="0" xfId="20" applyFont="1" applyAlignment="1">
      <alignment horizontal="left"/>
      <protection/>
    </xf>
    <xf numFmtId="0" fontId="0" fillId="0" borderId="0" xfId="20" applyNumberFormat="1" applyFont="1" applyBorder="1">
      <alignment/>
      <protection/>
    </xf>
    <xf numFmtId="49" fontId="2" fillId="0" borderId="0" xfId="20" applyNumberFormat="1" applyFont="1" applyBorder="1" applyAlignment="1">
      <alignment horizontal="center"/>
      <protection/>
    </xf>
    <xf numFmtId="0" fontId="3" fillId="0" borderId="0" xfId="20" applyFont="1" applyAlignment="1">
      <alignment wrapText="1"/>
      <protection/>
    </xf>
    <xf numFmtId="0" fontId="25" fillId="0" borderId="0" xfId="20" applyFont="1" applyAlignment="1">
      <alignment wrapText="1"/>
      <protection/>
    </xf>
    <xf numFmtId="49" fontId="0" fillId="0" borderId="0" xfId="20" applyNumberFormat="1" applyFont="1" applyAlignment="1">
      <alignment horizontal="centerContinuous" vertical="top" wrapText="1"/>
      <protection/>
    </xf>
    <xf numFmtId="0" fontId="0" fillId="0" borderId="0" xfId="20" applyFont="1" applyAlignment="1">
      <alignment horizontal="left"/>
      <protection/>
    </xf>
    <xf numFmtId="49" fontId="1" fillId="0" borderId="0" xfId="20" applyNumberFormat="1" applyFont="1" applyAlignment="1">
      <alignment horizontal="centerContinuous" vertical="top" wrapText="1"/>
      <protection/>
    </xf>
    <xf numFmtId="49" fontId="9" fillId="0" borderId="0" xfId="20" applyNumberFormat="1" applyFont="1" applyAlignment="1">
      <alignment horizontal="centerContinuous" vertical="top" wrapText="1"/>
      <protection/>
    </xf>
    <xf numFmtId="0" fontId="9" fillId="0" borderId="0" xfId="20" applyFont="1" applyAlignment="1">
      <alignment horizontal="centerContinuous"/>
      <protection/>
    </xf>
    <xf numFmtId="0" fontId="9" fillId="0" borderId="0" xfId="20" applyFont="1">
      <alignment/>
      <protection/>
    </xf>
    <xf numFmtId="49" fontId="25" fillId="0" borderId="0" xfId="20" applyNumberFormat="1" applyFont="1" applyAlignment="1">
      <alignment vertical="top" wrapText="1"/>
      <protection/>
    </xf>
    <xf numFmtId="0" fontId="25" fillId="0" borderId="0" xfId="20" applyFont="1" applyAlignment="1">
      <alignment horizontal="centerContinuous"/>
      <protection/>
    </xf>
    <xf numFmtId="0" fontId="3" fillId="0" borderId="0" xfId="20" applyFont="1">
      <alignment/>
      <protection/>
    </xf>
    <xf numFmtId="49" fontId="3" fillId="0" borderId="5" xfId="20" applyNumberFormat="1" applyFont="1" applyBorder="1" applyAlignment="1">
      <alignment vertical="top" wrapText="1"/>
      <protection/>
    </xf>
    <xf numFmtId="0" fontId="3" fillId="0" borderId="5" xfId="20" applyFont="1" applyBorder="1" applyAlignment="1">
      <alignment horizontal="centerContinuous"/>
      <protection/>
    </xf>
    <xf numFmtId="49" fontId="3" fillId="0" borderId="6" xfId="20" applyNumberFormat="1" applyFont="1" applyFill="1" applyBorder="1" applyAlignment="1">
      <alignment horizontal="centerContinuous" vertical="center"/>
      <protection/>
    </xf>
    <xf numFmtId="49" fontId="3" fillId="0" borderId="4" xfId="20" applyNumberFormat="1" applyFont="1" applyFill="1" applyBorder="1" applyAlignment="1">
      <alignment horizontal="center" vertical="center" wrapText="1"/>
      <protection/>
    </xf>
    <xf numFmtId="49" fontId="3" fillId="0" borderId="7" xfId="20" applyNumberFormat="1" applyFont="1" applyFill="1" applyBorder="1" applyAlignment="1">
      <alignment horizontal="center" vertical="center" wrapText="1"/>
      <protection/>
    </xf>
    <xf numFmtId="49" fontId="3" fillId="0" borderId="8" xfId="20" applyNumberFormat="1" applyFont="1" applyFill="1" applyBorder="1" applyAlignment="1">
      <alignment horizontal="center" vertical="top" wrapText="1"/>
      <protection/>
    </xf>
    <xf numFmtId="49" fontId="3" fillId="0" borderId="1" xfId="20" applyNumberFormat="1" applyFont="1" applyFill="1" applyBorder="1" applyAlignment="1">
      <alignment horizontal="center" vertical="top" wrapText="1"/>
      <protection/>
    </xf>
    <xf numFmtId="49" fontId="3" fillId="0" borderId="9" xfId="20" applyNumberFormat="1" applyFont="1" applyFill="1" applyBorder="1" applyAlignment="1">
      <alignment horizontal="center" vertical="top" wrapText="1"/>
      <protection/>
    </xf>
    <xf numFmtId="3" fontId="4" fillId="0" borderId="8" xfId="20" applyNumberFormat="1" applyFont="1" applyBorder="1" applyAlignment="1">
      <alignment horizontal="center"/>
      <protection/>
    </xf>
    <xf numFmtId="3" fontId="2" fillId="0" borderId="1" xfId="20" applyNumberFormat="1" applyFont="1" applyBorder="1">
      <alignment/>
      <protection/>
    </xf>
    <xf numFmtId="214" fontId="2" fillId="0" borderId="1" xfId="20" applyNumberFormat="1" applyFont="1" applyBorder="1">
      <alignment/>
      <protection/>
    </xf>
    <xf numFmtId="3" fontId="2" fillId="0" borderId="9" xfId="20" applyNumberFormat="1" applyFont="1" applyBorder="1">
      <alignment/>
      <protection/>
    </xf>
    <xf numFmtId="49" fontId="4" fillId="0" borderId="8" xfId="20" applyNumberFormat="1" applyFont="1" applyFill="1" applyBorder="1" applyAlignment="1">
      <alignment horizontal="center" vertical="top" wrapText="1"/>
      <protection/>
    </xf>
    <xf numFmtId="3" fontId="4" fillId="0" borderId="8" xfId="20" applyNumberFormat="1" applyFont="1" applyBorder="1" applyAlignment="1">
      <alignment horizontal="left"/>
      <protection/>
    </xf>
    <xf numFmtId="3" fontId="5" fillId="0" borderId="8" xfId="20" applyNumberFormat="1" applyFont="1" applyBorder="1" applyAlignment="1">
      <alignment horizontal="left"/>
      <protection/>
    </xf>
    <xf numFmtId="3" fontId="3" fillId="0" borderId="8" xfId="20" applyNumberFormat="1" applyFont="1" applyBorder="1">
      <alignment/>
      <protection/>
    </xf>
    <xf numFmtId="49" fontId="3" fillId="0" borderId="8" xfId="20" applyNumberFormat="1" applyFont="1" applyFill="1" applyBorder="1" applyAlignment="1">
      <alignment vertical="top" wrapText="1"/>
      <protection/>
    </xf>
    <xf numFmtId="49" fontId="4" fillId="0" borderId="8" xfId="20" applyNumberFormat="1" applyFont="1" applyFill="1" applyBorder="1" applyAlignment="1">
      <alignment vertical="top" wrapText="1"/>
      <protection/>
    </xf>
    <xf numFmtId="3" fontId="5" fillId="0" borderId="8" xfId="20" applyNumberFormat="1" applyFont="1" applyBorder="1" applyAlignment="1">
      <alignment horizontal="center"/>
      <protection/>
    </xf>
    <xf numFmtId="3" fontId="3" fillId="0" borderId="8" xfId="20" applyNumberFormat="1" applyFont="1" applyBorder="1" applyAlignment="1">
      <alignment wrapText="1"/>
      <protection/>
    </xf>
    <xf numFmtId="49" fontId="5" fillId="0" borderId="8" xfId="20" applyNumberFormat="1" applyFont="1" applyFill="1" applyBorder="1" applyAlignment="1">
      <alignment horizontal="center" vertical="top" wrapText="1"/>
      <protection/>
    </xf>
    <xf numFmtId="3" fontId="5" fillId="0" borderId="11" xfId="20" applyNumberFormat="1" applyFont="1" applyBorder="1" applyAlignment="1">
      <alignment horizontal="center"/>
      <protection/>
    </xf>
    <xf numFmtId="3" fontId="2" fillId="0" borderId="12" xfId="20" applyNumberFormat="1" applyFont="1" applyBorder="1">
      <alignment/>
      <protection/>
    </xf>
    <xf numFmtId="214" fontId="2" fillId="0" borderId="12" xfId="20" applyNumberFormat="1" applyFont="1" applyBorder="1">
      <alignment/>
      <protection/>
    </xf>
    <xf numFmtId="3" fontId="2" fillId="0" borderId="13" xfId="20" applyNumberFormat="1" applyFont="1" applyBorder="1">
      <alignment/>
      <protection/>
    </xf>
    <xf numFmtId="0" fontId="25" fillId="0" borderId="0" xfId="20" applyFont="1" applyBorder="1" applyAlignment="1">
      <alignment horizontal="left"/>
      <protection/>
    </xf>
    <xf numFmtId="0" fontId="2" fillId="0" borderId="0" xfId="20" applyFont="1" applyAlignment="1">
      <alignment horizontal="center"/>
      <protection/>
    </xf>
    <xf numFmtId="0" fontId="25" fillId="0" borderId="0" xfId="20" applyFont="1" applyAlignment="1">
      <alignment horizontal="left"/>
      <protection/>
    </xf>
    <xf numFmtId="0" fontId="25" fillId="0" borderId="0" xfId="20" applyFont="1" applyBorder="1" applyAlignment="1">
      <alignment horizontal="center"/>
      <protection/>
    </xf>
    <xf numFmtId="49" fontId="0" fillId="0" borderId="0" xfId="20" applyNumberFormat="1" applyFont="1" applyAlignment="1">
      <alignment vertical="top" wrapText="1"/>
      <protection/>
    </xf>
    <xf numFmtId="49" fontId="2" fillId="0" borderId="0" xfId="20" applyNumberFormat="1" applyFont="1" applyAlignment="1">
      <alignment horizontal="left" vertical="top" wrapText="1"/>
      <protection/>
    </xf>
    <xf numFmtId="49" fontId="2" fillId="0" borderId="0" xfId="20" applyNumberFormat="1" applyFont="1" applyAlignment="1">
      <alignment vertical="top" wrapText="1"/>
      <protection/>
    </xf>
    <xf numFmtId="49" fontId="2" fillId="0" borderId="5" xfId="20" applyNumberFormat="1" applyFont="1" applyBorder="1" applyAlignment="1">
      <alignment horizontal="center"/>
      <protection/>
    </xf>
    <xf numFmtId="0" fontId="2" fillId="0" borderId="0" xfId="20" applyFont="1">
      <alignment/>
      <protection/>
    </xf>
    <xf numFmtId="49" fontId="25" fillId="0" borderId="0" xfId="20" applyNumberFormat="1" applyFont="1" applyAlignment="1">
      <alignment horizontal="left" vertical="top" wrapText="1"/>
      <protection/>
    </xf>
    <xf numFmtId="0" fontId="3" fillId="0" borderId="0" xfId="20" applyFont="1" applyAlignment="1">
      <alignment horizontal="left"/>
      <protection/>
    </xf>
    <xf numFmtId="0" fontId="25" fillId="0" borderId="0" xfId="20" applyFont="1" applyAlignment="1">
      <alignment/>
      <protection/>
    </xf>
    <xf numFmtId="49" fontId="3" fillId="0" borderId="0" xfId="20" applyNumberFormat="1" applyFont="1" applyAlignment="1">
      <alignment vertical="top" wrapText="1"/>
      <protection/>
    </xf>
    <xf numFmtId="49" fontId="3" fillId="0" borderId="0" xfId="20" applyNumberFormat="1" applyFont="1" applyAlignment="1">
      <alignment horizontal="centerContinuous" vertical="top" wrapText="1"/>
      <protection/>
    </xf>
    <xf numFmtId="0" fontId="3" fillId="0" borderId="0" xfId="20" applyFont="1" applyAlignment="1">
      <alignment horizontal="centerContinuous"/>
      <protection/>
    </xf>
    <xf numFmtId="49" fontId="25" fillId="0" borderId="0" xfId="20" applyNumberFormat="1" applyFont="1" applyAlignment="1">
      <alignment horizontal="centerContinuous" vertical="top" wrapText="1"/>
      <protection/>
    </xf>
    <xf numFmtId="49" fontId="3" fillId="0" borderId="0" xfId="20" applyNumberFormat="1" applyFont="1" applyAlignment="1">
      <alignment horizontal="center" vertical="top" wrapText="1"/>
      <protection/>
    </xf>
    <xf numFmtId="0" fontId="3" fillId="0" borderId="0" xfId="20" applyFont="1" applyAlignment="1">
      <alignment/>
      <protection/>
    </xf>
    <xf numFmtId="49" fontId="3" fillId="0" borderId="6" xfId="20" applyNumberFormat="1" applyFont="1" applyFill="1" applyBorder="1" applyAlignment="1">
      <alignment horizontal="center" vertical="center" wrapText="1"/>
      <protection/>
    </xf>
    <xf numFmtId="49" fontId="3" fillId="0" borderId="14" xfId="20" applyNumberFormat="1" applyFont="1" applyFill="1" applyBorder="1" applyAlignment="1">
      <alignment horizontal="center" vertical="center" wrapText="1"/>
      <protection/>
    </xf>
    <xf numFmtId="49" fontId="4" fillId="0" borderId="8" xfId="20" applyNumberFormat="1" applyFont="1" applyFill="1" applyBorder="1" applyAlignment="1">
      <alignment horizontal="left" vertical="top" wrapText="1"/>
      <protection/>
    </xf>
    <xf numFmtId="0" fontId="2" fillId="0" borderId="9" xfId="20" applyFont="1" applyBorder="1">
      <alignment/>
      <protection/>
    </xf>
    <xf numFmtId="49" fontId="5" fillId="0" borderId="8" xfId="20" applyNumberFormat="1" applyFont="1" applyFill="1" applyBorder="1" applyAlignment="1">
      <alignment horizontal="center" vertical="top" wrapText="1"/>
      <protection/>
    </xf>
    <xf numFmtId="49" fontId="3" fillId="0" borderId="8" xfId="20" applyNumberFormat="1" applyFont="1" applyFill="1" applyBorder="1" applyAlignment="1">
      <alignment horizontal="left" vertical="top" wrapText="1"/>
      <protection/>
    </xf>
    <xf numFmtId="49" fontId="3" fillId="0" borderId="15" xfId="20" applyNumberFormat="1" applyFont="1" applyFill="1" applyBorder="1" applyAlignment="1">
      <alignment horizontal="left" vertical="top" wrapText="1"/>
      <protection/>
    </xf>
    <xf numFmtId="49" fontId="3" fillId="0" borderId="11" xfId="20" applyNumberFormat="1" applyFont="1" applyFill="1" applyBorder="1" applyAlignment="1">
      <alignment horizontal="left" vertical="top" wrapText="1"/>
      <protection/>
    </xf>
    <xf numFmtId="0" fontId="2" fillId="0" borderId="12" xfId="20" applyFont="1" applyBorder="1" applyAlignment="1">
      <alignment horizontal="left"/>
      <protection/>
    </xf>
    <xf numFmtId="4" fontId="2" fillId="0" borderId="12" xfId="20" applyNumberFormat="1" applyFont="1" applyBorder="1">
      <alignment/>
      <protection/>
    </xf>
    <xf numFmtId="49" fontId="3" fillId="0" borderId="0" xfId="20" applyNumberFormat="1" applyFont="1" applyFill="1" applyBorder="1" applyAlignment="1">
      <alignment horizontal="left" vertical="top" wrapText="1"/>
      <protection/>
    </xf>
    <xf numFmtId="3" fontId="2" fillId="0" borderId="0" xfId="20" applyNumberFormat="1" applyFont="1" applyBorder="1">
      <alignment/>
      <protection/>
    </xf>
    <xf numFmtId="49" fontId="2" fillId="0" borderId="0" xfId="20" applyNumberFormat="1" applyFont="1" applyAlignment="1">
      <alignment horizontal="center" vertical="top" wrapText="1"/>
      <protection/>
    </xf>
    <xf numFmtId="49" fontId="2" fillId="0" borderId="0" xfId="20" applyNumberFormat="1" applyFont="1" applyFill="1" applyBorder="1" applyAlignment="1">
      <alignment vertical="top" wrapText="1"/>
      <protection/>
    </xf>
    <xf numFmtId="49" fontId="2" fillId="0" borderId="0" xfId="20" applyNumberFormat="1" applyFont="1" applyFill="1" applyBorder="1" applyAlignment="1">
      <alignment horizontal="center" vertical="top" wrapText="1"/>
      <protection/>
    </xf>
    <xf numFmtId="0" fontId="2" fillId="0" borderId="0" xfId="20" applyFont="1" applyAlignment="1">
      <alignment/>
      <protection/>
    </xf>
    <xf numFmtId="49" fontId="25" fillId="0" borderId="0" xfId="20" applyNumberFormat="1" applyFont="1" applyAlignment="1">
      <alignment horizontal="center" vertical="top" wrapText="1"/>
      <protection/>
    </xf>
    <xf numFmtId="49" fontId="0" fillId="0" borderId="0" xfId="20" applyNumberFormat="1" applyFont="1" applyAlignment="1">
      <alignment horizontal="right" vertical="top" wrapText="1"/>
      <protection/>
    </xf>
    <xf numFmtId="49" fontId="22" fillId="0" borderId="0" xfId="20" applyNumberFormat="1" applyFont="1" applyAlignment="1">
      <alignment horizontal="centerContinuous" vertical="top" wrapText="1"/>
      <protection/>
    </xf>
    <xf numFmtId="49" fontId="5" fillId="0" borderId="8" xfId="20" applyNumberFormat="1" applyFont="1" applyFill="1" applyBorder="1" applyAlignment="1">
      <alignment horizontal="left" vertical="top" wrapText="1"/>
      <protection/>
    </xf>
    <xf numFmtId="49" fontId="6" fillId="0" borderId="8" xfId="20" applyNumberFormat="1" applyFont="1" applyFill="1" applyBorder="1" applyAlignment="1">
      <alignment horizontal="left" vertical="top" wrapText="1"/>
      <protection/>
    </xf>
    <xf numFmtId="49" fontId="4" fillId="0" borderId="16" xfId="20" applyNumberFormat="1" applyFont="1" applyFill="1" applyBorder="1" applyAlignment="1">
      <alignment horizontal="left" vertical="top" wrapText="1"/>
      <protection/>
    </xf>
    <xf numFmtId="3" fontId="25" fillId="0" borderId="0" xfId="20" applyNumberFormat="1" applyFont="1" applyAlignment="1">
      <alignment horizontal="left"/>
      <protection/>
    </xf>
    <xf numFmtId="3" fontId="2" fillId="0" borderId="2" xfId="20" applyNumberFormat="1" applyFont="1" applyBorder="1">
      <alignment/>
      <protection/>
    </xf>
    <xf numFmtId="3" fontId="2" fillId="0" borderId="17" xfId="20" applyNumberFormat="1" applyFont="1" applyBorder="1">
      <alignment/>
      <protection/>
    </xf>
    <xf numFmtId="49" fontId="4" fillId="0" borderId="18" xfId="20" applyNumberFormat="1" applyFont="1" applyFill="1" applyBorder="1" applyAlignment="1">
      <alignment horizontal="left" vertical="top" wrapText="1"/>
      <protection/>
    </xf>
    <xf numFmtId="214" fontId="2" fillId="0" borderId="19" xfId="20" applyNumberFormat="1" applyFont="1" applyBorder="1">
      <alignment/>
      <protection/>
    </xf>
    <xf numFmtId="3" fontId="2" fillId="0" borderId="20" xfId="20" applyNumberFormat="1" applyFont="1" applyBorder="1">
      <alignment/>
      <protection/>
    </xf>
    <xf numFmtId="49" fontId="3" fillId="0" borderId="0" xfId="20" applyNumberFormat="1" applyFont="1" applyAlignment="1">
      <alignment horizontal="left" vertical="top" wrapText="1"/>
      <protection/>
    </xf>
    <xf numFmtId="0" fontId="3" fillId="0" borderId="8" xfId="20" applyFont="1" applyBorder="1" applyAlignment="1">
      <alignment horizontal="center"/>
      <protection/>
    </xf>
    <xf numFmtId="3" fontId="3" fillId="0" borderId="1" xfId="20" applyNumberFormat="1" applyFont="1" applyBorder="1" applyAlignment="1">
      <alignment horizontal="center"/>
      <protection/>
    </xf>
    <xf numFmtId="0" fontId="3" fillId="0" borderId="1" xfId="20" applyNumberFormat="1" applyFont="1" applyBorder="1" applyAlignment="1">
      <alignment horizontal="center"/>
      <protection/>
    </xf>
    <xf numFmtId="0" fontId="3" fillId="0" borderId="9" xfId="20" applyNumberFormat="1" applyFont="1" applyBorder="1" applyAlignment="1">
      <alignment horizontal="center"/>
      <protection/>
    </xf>
    <xf numFmtId="0" fontId="4" fillId="0" borderId="8" xfId="20" applyFont="1" applyBorder="1" applyAlignment="1">
      <alignment horizontal="left" vertical="top" wrapText="1"/>
      <protection/>
    </xf>
    <xf numFmtId="0" fontId="3" fillId="0" borderId="8" xfId="20" applyFont="1" applyBorder="1" applyAlignment="1">
      <alignment vertical="top" wrapText="1"/>
      <protection/>
    </xf>
    <xf numFmtId="0" fontId="4" fillId="0" borderId="8" xfId="20" applyFont="1" applyBorder="1" applyAlignment="1">
      <alignment vertical="top" wrapText="1"/>
      <protection/>
    </xf>
    <xf numFmtId="0" fontId="4" fillId="0" borderId="11" xfId="20" applyFont="1" applyBorder="1" applyAlignment="1">
      <alignment vertical="top" wrapText="1"/>
      <protection/>
    </xf>
    <xf numFmtId="0" fontId="4" fillId="0" borderId="0" xfId="20" applyFont="1" applyBorder="1" applyAlignment="1">
      <alignment vertical="top" wrapText="1"/>
      <protection/>
    </xf>
    <xf numFmtId="2" fontId="2" fillId="0" borderId="0" xfId="20" applyNumberFormat="1" applyFont="1" applyBorder="1">
      <alignment/>
      <protection/>
    </xf>
    <xf numFmtId="49" fontId="2" fillId="0" borderId="0" xfId="20" applyNumberFormat="1" applyFont="1" applyBorder="1">
      <alignment/>
      <protection/>
    </xf>
    <xf numFmtId="3" fontId="2" fillId="0" borderId="8" xfId="20" applyNumberFormat="1" applyFont="1" applyBorder="1">
      <alignment/>
      <protection/>
    </xf>
    <xf numFmtId="49" fontId="3" fillId="0" borderId="21" xfId="20" applyNumberFormat="1" applyFont="1" applyFill="1" applyBorder="1" applyAlignment="1">
      <alignment horizontal="left" vertical="top" wrapText="1"/>
      <protection/>
    </xf>
    <xf numFmtId="49" fontId="4" fillId="0" borderId="11" xfId="20" applyNumberFormat="1" applyFont="1" applyFill="1" applyBorder="1" applyAlignment="1">
      <alignment horizontal="left" vertical="top" wrapText="1"/>
      <protection/>
    </xf>
    <xf numFmtId="3" fontId="2" fillId="0" borderId="19" xfId="20" applyNumberFormat="1" applyFont="1" applyBorder="1">
      <alignment/>
      <protection/>
    </xf>
    <xf numFmtId="168" fontId="2" fillId="0" borderId="19" xfId="20" applyNumberFormat="1" applyFont="1" applyBorder="1">
      <alignment/>
      <protection/>
    </xf>
    <xf numFmtId="3" fontId="2" fillId="0" borderId="22" xfId="20" applyNumberFormat="1" applyFont="1" applyBorder="1">
      <alignment/>
      <protection/>
    </xf>
    <xf numFmtId="4" fontId="2" fillId="0" borderId="0" xfId="20" applyNumberFormat="1" applyFont="1" applyBorder="1">
      <alignment/>
      <protection/>
    </xf>
    <xf numFmtId="0" fontId="25" fillId="0" borderId="5" xfId="20" applyFont="1" applyBorder="1">
      <alignment/>
      <protection/>
    </xf>
    <xf numFmtId="0" fontId="2" fillId="0" borderId="0" xfId="20" applyFont="1" applyBorder="1" applyAlignment="1">
      <alignment/>
      <protection/>
    </xf>
    <xf numFmtId="49" fontId="2" fillId="0" borderId="0" xfId="20" applyNumberFormat="1" applyFont="1">
      <alignment/>
      <protection/>
    </xf>
    <xf numFmtId="0" fontId="2" fillId="0" borderId="5" xfId="20" applyFont="1" applyBorder="1" applyAlignment="1">
      <alignment/>
      <protection/>
    </xf>
    <xf numFmtId="0" fontId="0" fillId="0" borderId="0" xfId="20" applyFont="1" applyAlignment="1">
      <alignment/>
      <protection/>
    </xf>
    <xf numFmtId="49" fontId="0" fillId="0" borderId="0" xfId="20" applyNumberFormat="1" applyFont="1" applyAlignment="1">
      <alignment horizontal="center" vertical="top" wrapText="1"/>
      <protection/>
    </xf>
    <xf numFmtId="0" fontId="2" fillId="0" borderId="0" xfId="20" applyFont="1" applyAlignment="1">
      <alignment horizontal="centerContinuous"/>
      <protection/>
    </xf>
    <xf numFmtId="0" fontId="1" fillId="0" borderId="0" xfId="20" applyFont="1" applyAlignment="1">
      <alignment horizontal="centerContinuous" wrapText="1"/>
      <protection/>
    </xf>
    <xf numFmtId="0" fontId="26" fillId="0" borderId="0" xfId="20" applyFont="1" applyAlignment="1">
      <alignment horizontal="centerContinuous"/>
      <protection/>
    </xf>
    <xf numFmtId="0" fontId="1" fillId="0" borderId="0" xfId="20" applyFont="1">
      <alignment/>
      <protection/>
    </xf>
    <xf numFmtId="0" fontId="5" fillId="0" borderId="0" xfId="20" applyFont="1" applyAlignment="1">
      <alignment horizontal="centerContinuous" wrapText="1"/>
      <protection/>
    </xf>
    <xf numFmtId="0" fontId="0" fillId="0" borderId="23" xfId="20" applyFont="1" applyBorder="1" applyAlignment="1">
      <alignment wrapText="1"/>
      <protection/>
    </xf>
    <xf numFmtId="0" fontId="3" fillId="0" borderId="24" xfId="20" applyFont="1" applyBorder="1" applyAlignment="1">
      <alignment horizontal="centerContinuous"/>
      <protection/>
    </xf>
    <xf numFmtId="0" fontId="3" fillId="0" borderId="25" xfId="20" applyFont="1" applyBorder="1" applyAlignment="1">
      <alignment horizontal="centerContinuous"/>
      <protection/>
    </xf>
    <xf numFmtId="0" fontId="0" fillId="0" borderId="26" xfId="20" applyFont="1" applyBorder="1" applyAlignment="1">
      <alignment/>
      <protection/>
    </xf>
    <xf numFmtId="0" fontId="3" fillId="0" borderId="25" xfId="20" applyFont="1" applyBorder="1" applyAlignment="1">
      <alignment horizontal="centerContinuous" vertical="center"/>
      <protection/>
    </xf>
    <xf numFmtId="0" fontId="3" fillId="0" borderId="24" xfId="20" applyFont="1" applyBorder="1" applyAlignment="1">
      <alignment horizontal="centerContinuous" vertical="center" wrapText="1"/>
      <protection/>
    </xf>
    <xf numFmtId="0" fontId="0" fillId="0" borderId="24" xfId="20" applyFont="1" applyBorder="1" applyAlignment="1">
      <alignment horizontal="centerContinuous"/>
      <protection/>
    </xf>
    <xf numFmtId="0" fontId="0" fillId="0" borderId="27" xfId="20" applyFont="1" applyBorder="1" applyAlignment="1">
      <alignment horizontal="center"/>
      <protection/>
    </xf>
    <xf numFmtId="0" fontId="3" fillId="0" borderId="28" xfId="20" applyFont="1" applyBorder="1" applyAlignment="1">
      <alignment wrapText="1"/>
      <protection/>
    </xf>
    <xf numFmtId="0" fontId="3" fillId="0" borderId="29" xfId="20" applyFont="1" applyBorder="1" applyAlignment="1">
      <alignment/>
      <protection/>
    </xf>
    <xf numFmtId="0" fontId="3" fillId="0" borderId="4" xfId="20" applyFont="1" applyBorder="1" applyAlignment="1">
      <alignment horizontal="centerContinuous"/>
      <protection/>
    </xf>
    <xf numFmtId="0" fontId="3" fillId="0" borderId="30" xfId="20" applyFont="1" applyBorder="1" applyAlignment="1">
      <alignment horizontal="center"/>
      <protection/>
    </xf>
    <xf numFmtId="49" fontId="3" fillId="0" borderId="28" xfId="20" applyNumberFormat="1" applyFont="1" applyBorder="1" applyAlignment="1">
      <alignment horizontal="center" vertical="top" wrapText="1"/>
      <protection/>
    </xf>
    <xf numFmtId="49" fontId="3" fillId="0" borderId="31" xfId="20" applyNumberFormat="1" applyFont="1" applyBorder="1" applyAlignment="1">
      <alignment horizontal="center" vertical="center" wrapText="1"/>
      <protection/>
    </xf>
    <xf numFmtId="49" fontId="3" fillId="0" borderId="0" xfId="20" applyNumberFormat="1" applyFont="1" applyAlignment="1">
      <alignment horizontal="center" vertical="center" wrapText="1"/>
      <protection/>
    </xf>
    <xf numFmtId="49" fontId="3" fillId="0" borderId="29" xfId="20" applyNumberFormat="1" applyFont="1" applyBorder="1" applyAlignment="1">
      <alignment horizontal="center" vertical="center" wrapText="1"/>
      <protection/>
    </xf>
    <xf numFmtId="0" fontId="3" fillId="0" borderId="29" xfId="20" applyFont="1" applyBorder="1" applyAlignment="1">
      <alignment horizontal="center" vertical="center" wrapText="1"/>
      <protection/>
    </xf>
    <xf numFmtId="49" fontId="3" fillId="0" borderId="30" xfId="20" applyNumberFormat="1" applyFont="1" applyBorder="1" applyAlignment="1">
      <alignment horizontal="center" vertical="center" wrapText="1"/>
      <protection/>
    </xf>
    <xf numFmtId="49" fontId="3" fillId="0" borderId="0" xfId="20" applyNumberFormat="1" applyFont="1">
      <alignment/>
      <protection/>
    </xf>
    <xf numFmtId="0" fontId="3" fillId="0" borderId="8" xfId="20" applyFont="1" applyBorder="1" applyAlignment="1">
      <alignment horizontal="center" wrapText="1"/>
      <protection/>
    </xf>
    <xf numFmtId="0" fontId="3" fillId="0" borderId="1" xfId="20" applyFont="1" applyBorder="1" applyAlignment="1">
      <alignment horizontal="center"/>
      <protection/>
    </xf>
    <xf numFmtId="0" fontId="3" fillId="0" borderId="9" xfId="20" applyFont="1" applyBorder="1" applyAlignment="1">
      <alignment horizontal="center"/>
      <protection/>
    </xf>
    <xf numFmtId="3" fontId="4" fillId="0" borderId="32" xfId="20" applyNumberFormat="1" applyFont="1" applyBorder="1">
      <alignment/>
      <protection/>
    </xf>
    <xf numFmtId="201" fontId="25" fillId="0" borderId="1" xfId="20" applyNumberFormat="1" applyFont="1" applyBorder="1">
      <alignment/>
      <protection/>
    </xf>
    <xf numFmtId="201" fontId="25" fillId="0" borderId="9" xfId="20" applyNumberFormat="1" applyFont="1" applyBorder="1">
      <alignment/>
      <protection/>
    </xf>
    <xf numFmtId="212" fontId="2" fillId="0" borderId="1" xfId="20" applyNumberFormat="1" applyFont="1" applyBorder="1">
      <alignment/>
      <protection/>
    </xf>
    <xf numFmtId="212" fontId="2" fillId="0" borderId="9" xfId="20" applyNumberFormat="1" applyFont="1" applyBorder="1">
      <alignment/>
      <protection/>
    </xf>
    <xf numFmtId="3" fontId="3" fillId="0" borderId="32" xfId="20" applyNumberFormat="1" applyFont="1" applyBorder="1">
      <alignment/>
      <protection/>
    </xf>
    <xf numFmtId="0" fontId="4" fillId="0" borderId="0" xfId="20" applyFont="1">
      <alignment/>
      <protection/>
    </xf>
    <xf numFmtId="0" fontId="4" fillId="0" borderId="33" xfId="20" applyFont="1" applyBorder="1" applyAlignment="1">
      <alignment horizontal="right" wrapText="1"/>
      <protection/>
    </xf>
    <xf numFmtId="212" fontId="2" fillId="0" borderId="12" xfId="20" applyNumberFormat="1" applyFont="1" applyBorder="1">
      <alignment/>
      <protection/>
    </xf>
    <xf numFmtId="212" fontId="2" fillId="0" borderId="13" xfId="20" applyNumberFormat="1" applyFont="1" applyBorder="1">
      <alignment/>
      <protection/>
    </xf>
    <xf numFmtId="0" fontId="3" fillId="0" borderId="0" xfId="20" applyFont="1" applyBorder="1" applyAlignment="1">
      <alignment/>
      <protection/>
    </xf>
    <xf numFmtId="0" fontId="2" fillId="0" borderId="0" xfId="20" applyFont="1" applyBorder="1">
      <alignment/>
      <protection/>
    </xf>
    <xf numFmtId="49" fontId="2" fillId="0" borderId="0" xfId="20" applyNumberFormat="1" applyFont="1" applyBorder="1" applyAlignment="1">
      <alignment/>
      <protection/>
    </xf>
    <xf numFmtId="49" fontId="2" fillId="0" borderId="0" xfId="20" applyNumberFormat="1" applyFont="1" applyBorder="1" applyAlignment="1">
      <alignment horizontal="center" vertical="top" wrapText="1"/>
      <protection/>
    </xf>
    <xf numFmtId="0" fontId="2" fillId="0" borderId="0" xfId="20" applyFont="1" applyBorder="1" applyAlignment="1">
      <alignment horizontal="center"/>
      <protection/>
    </xf>
    <xf numFmtId="0" fontId="25" fillId="0" borderId="0" xfId="20" applyFont="1" applyBorder="1" applyAlignment="1">
      <alignment wrapText="1"/>
      <protection/>
    </xf>
    <xf numFmtId="0" fontId="25" fillId="0" borderId="0" xfId="20" applyFont="1" applyBorder="1">
      <alignment/>
      <protection/>
    </xf>
    <xf numFmtId="0" fontId="2" fillId="0" borderId="0" xfId="20" applyFont="1" applyBorder="1" applyAlignment="1">
      <alignment horizontal="left"/>
      <protection/>
    </xf>
    <xf numFmtId="0" fontId="1" fillId="0" borderId="0" xfId="20" applyFont="1" applyAlignment="1">
      <alignment/>
      <protection/>
    </xf>
    <xf numFmtId="0" fontId="4" fillId="0" borderId="0" xfId="20" applyFont="1" applyAlignment="1">
      <alignment horizontal="centerContinuous" wrapText="1"/>
      <protection/>
    </xf>
    <xf numFmtId="0" fontId="0" fillId="0" borderId="34" xfId="20" applyFont="1" applyBorder="1" applyAlignment="1">
      <alignment horizontal="center" vertical="top" wrapText="1"/>
      <protection/>
    </xf>
    <xf numFmtId="0" fontId="0" fillId="0" borderId="26" xfId="20" applyFont="1" applyBorder="1" applyAlignment="1">
      <alignment horizontal="center" vertical="top"/>
      <protection/>
    </xf>
    <xf numFmtId="0" fontId="0" fillId="0" borderId="26" xfId="20" applyFont="1" applyBorder="1" applyAlignment="1">
      <alignment horizontal="centerContinuous"/>
      <protection/>
    </xf>
    <xf numFmtId="0" fontId="0" fillId="0" borderId="25" xfId="20" applyFont="1" applyBorder="1" applyAlignment="1">
      <alignment horizontal="centerContinuous" vertical="center"/>
      <protection/>
    </xf>
    <xf numFmtId="0" fontId="0" fillId="0" borderId="24" xfId="20" applyFont="1" applyBorder="1" applyAlignment="1">
      <alignment horizontal="centerContinuous" vertical="center" wrapText="1"/>
      <protection/>
    </xf>
    <xf numFmtId="0" fontId="0" fillId="0" borderId="27" xfId="20" applyFont="1" applyBorder="1" applyAlignment="1">
      <alignment horizontal="center" vertical="top" wrapText="1"/>
      <protection/>
    </xf>
    <xf numFmtId="0" fontId="3" fillId="0" borderId="35" xfId="20" applyFont="1" applyBorder="1" applyAlignment="1">
      <alignment horizontal="center" vertical="top" wrapText="1"/>
      <protection/>
    </xf>
    <xf numFmtId="0" fontId="3" fillId="0" borderId="29" xfId="20" applyFont="1" applyBorder="1" applyAlignment="1">
      <alignment horizontal="center" vertical="top"/>
      <protection/>
    </xf>
    <xf numFmtId="0" fontId="3" fillId="0" borderId="2" xfId="20" applyFont="1" applyBorder="1" applyAlignment="1">
      <alignment horizontal="centerContinuous"/>
      <protection/>
    </xf>
    <xf numFmtId="0" fontId="3" fillId="0" borderId="10" xfId="20" applyFont="1" applyBorder="1" applyAlignment="1">
      <alignment horizontal="centerContinuous"/>
      <protection/>
    </xf>
    <xf numFmtId="0" fontId="3" fillId="0" borderId="30" xfId="20" applyFont="1" applyBorder="1" applyAlignment="1">
      <alignment/>
      <protection/>
    </xf>
    <xf numFmtId="0" fontId="3" fillId="0" borderId="29" xfId="20" applyFont="1" applyBorder="1" applyAlignment="1">
      <alignment horizontal="center" vertical="top" wrapText="1"/>
      <protection/>
    </xf>
    <xf numFmtId="0" fontId="3" fillId="0" borderId="30" xfId="20" applyFont="1" applyBorder="1" applyAlignment="1">
      <alignment horizontal="center" vertical="top" wrapText="1"/>
      <protection/>
    </xf>
    <xf numFmtId="0" fontId="3" fillId="0" borderId="1" xfId="20" applyFont="1" applyBorder="1" applyAlignment="1">
      <alignment horizontal="center" vertical="center"/>
      <protection/>
    </xf>
    <xf numFmtId="0" fontId="3" fillId="0" borderId="9" xfId="20" applyFont="1" applyBorder="1" applyAlignment="1">
      <alignment horizontal="center" vertical="center"/>
      <protection/>
    </xf>
    <xf numFmtId="0" fontId="3" fillId="0" borderId="8" xfId="20" applyFont="1" applyBorder="1" applyAlignment="1">
      <alignment wrapText="1"/>
      <protection/>
    </xf>
    <xf numFmtId="0" fontId="25" fillId="0" borderId="35" xfId="20" applyFont="1" applyBorder="1">
      <alignment/>
      <protection/>
    </xf>
    <xf numFmtId="0" fontId="4" fillId="0" borderId="8" xfId="20" applyFont="1" applyBorder="1" applyAlignment="1">
      <alignment horizontal="right" wrapText="1"/>
      <protection/>
    </xf>
    <xf numFmtId="3" fontId="26" fillId="0" borderId="0" xfId="20" applyNumberFormat="1" applyFont="1">
      <alignment/>
      <protection/>
    </xf>
    <xf numFmtId="0" fontId="26" fillId="0" borderId="0" xfId="20" applyFont="1">
      <alignment/>
      <protection/>
    </xf>
    <xf numFmtId="0" fontId="4" fillId="0" borderId="11" xfId="20" applyFont="1" applyBorder="1" applyAlignment="1">
      <alignment horizontal="right" wrapText="1"/>
      <protection/>
    </xf>
    <xf numFmtId="0" fontId="4" fillId="0" borderId="0" xfId="20" applyFont="1" applyBorder="1" applyAlignment="1">
      <alignment horizontal="right" wrapText="1"/>
      <protection/>
    </xf>
    <xf numFmtId="212" fontId="2" fillId="0" borderId="0" xfId="20" applyNumberFormat="1" applyFont="1" applyBorder="1">
      <alignment/>
      <protection/>
    </xf>
    <xf numFmtId="0" fontId="2" fillId="0" borderId="0" xfId="20" applyFont="1" applyAlignment="1">
      <alignment wrapText="1"/>
      <protection/>
    </xf>
    <xf numFmtId="49" fontId="3" fillId="0" borderId="0" xfId="20" applyNumberFormat="1" applyFont="1" applyBorder="1" applyAlignment="1">
      <alignment vertical="top" wrapText="1"/>
      <protection/>
    </xf>
    <xf numFmtId="49" fontId="3" fillId="0" borderId="0" xfId="20" applyNumberFormat="1" applyFont="1" applyBorder="1" applyAlignment="1">
      <alignment horizontal="center" vertical="top" wrapText="1"/>
      <protection/>
    </xf>
    <xf numFmtId="0" fontId="3" fillId="0" borderId="0" xfId="20" applyFont="1" applyBorder="1" applyAlignment="1">
      <alignment horizontal="center"/>
      <protection/>
    </xf>
    <xf numFmtId="0" fontId="3" fillId="0" borderId="0" xfId="20" applyFont="1" applyBorder="1">
      <alignment/>
      <protection/>
    </xf>
    <xf numFmtId="49" fontId="0" fillId="0" borderId="0" xfId="20" applyNumberFormat="1" applyFont="1" applyBorder="1" applyAlignment="1">
      <alignment horizontal="center" vertical="top" wrapText="1"/>
      <protection/>
    </xf>
    <xf numFmtId="0" fontId="0" fillId="0" borderId="0" xfId="20" applyFont="1" applyBorder="1">
      <alignment/>
      <protection/>
    </xf>
    <xf numFmtId="3" fontId="25" fillId="0" borderId="0" xfId="20" applyNumberFormat="1" applyFont="1" applyBorder="1">
      <alignment/>
      <protection/>
    </xf>
    <xf numFmtId="0" fontId="1" fillId="0" borderId="0" xfId="20" applyFont="1" applyAlignment="1">
      <alignment horizontal="center"/>
      <protection/>
    </xf>
    <xf numFmtId="0" fontId="2" fillId="0" borderId="5" xfId="20" applyFont="1" applyBorder="1">
      <alignment/>
      <protection/>
    </xf>
    <xf numFmtId="0" fontId="3" fillId="0" borderId="5" xfId="20" applyFont="1" applyBorder="1" applyAlignment="1">
      <alignment horizontal="right"/>
      <protection/>
    </xf>
    <xf numFmtId="0" fontId="0" fillId="0" borderId="6" xfId="20" applyFont="1" applyBorder="1" applyAlignment="1">
      <alignment horizontal="center" wrapText="1"/>
      <protection/>
    </xf>
    <xf numFmtId="3" fontId="2" fillId="0" borderId="7" xfId="20" applyNumberFormat="1" applyFont="1" applyBorder="1" applyAlignment="1">
      <alignment horizontal="center"/>
      <protection/>
    </xf>
    <xf numFmtId="0" fontId="0" fillId="0" borderId="8" xfId="20" applyFont="1" applyBorder="1" applyAlignment="1">
      <alignment horizontal="center" wrapText="1"/>
      <protection/>
    </xf>
    <xf numFmtId="3" fontId="2" fillId="0" borderId="9" xfId="20" applyNumberFormat="1" applyFont="1" applyBorder="1" applyAlignment="1">
      <alignment horizontal="center"/>
      <protection/>
    </xf>
    <xf numFmtId="0" fontId="2" fillId="0" borderId="1" xfId="20" applyFont="1" applyBorder="1">
      <alignment/>
      <protection/>
    </xf>
    <xf numFmtId="3" fontId="8" fillId="0" borderId="9" xfId="20" applyNumberFormat="1" applyFont="1" applyBorder="1" applyAlignment="1">
      <alignment horizontal="right"/>
      <protection/>
    </xf>
    <xf numFmtId="3" fontId="2" fillId="0" borderId="9" xfId="20" applyNumberFormat="1" applyFont="1" applyBorder="1" applyAlignment="1">
      <alignment horizontal="right"/>
      <protection/>
    </xf>
    <xf numFmtId="0" fontId="0" fillId="0" borderId="16" xfId="20" applyFont="1" applyBorder="1" applyAlignment="1">
      <alignment wrapText="1"/>
      <protection/>
    </xf>
    <xf numFmtId="3" fontId="2" fillId="0" borderId="36" xfId="20" applyNumberFormat="1" applyFont="1" applyBorder="1" applyAlignment="1">
      <alignment horizontal="right"/>
      <protection/>
    </xf>
    <xf numFmtId="0" fontId="0" fillId="0" borderId="21" xfId="20" applyFont="1" applyBorder="1" applyAlignment="1">
      <alignment wrapText="1"/>
      <protection/>
    </xf>
    <xf numFmtId="3" fontId="2" fillId="0" borderId="37" xfId="20" applyNumberFormat="1" applyFont="1" applyBorder="1" applyAlignment="1">
      <alignment horizontal="right"/>
      <protection/>
    </xf>
    <xf numFmtId="0" fontId="4" fillId="0" borderId="8" xfId="20" applyFont="1" applyBorder="1" applyAlignment="1">
      <alignment horizontal="left"/>
      <protection/>
    </xf>
    <xf numFmtId="0" fontId="4" fillId="0" borderId="11" xfId="20" applyFont="1" applyBorder="1" applyAlignment="1">
      <alignment horizontal="left"/>
      <protection/>
    </xf>
    <xf numFmtId="3" fontId="8" fillId="0" borderId="13" xfId="20" applyNumberFormat="1" applyFont="1" applyBorder="1" applyAlignment="1">
      <alignment horizontal="right"/>
      <protection/>
    </xf>
    <xf numFmtId="0" fontId="18" fillId="0" borderId="0" xfId="20" applyFont="1">
      <alignment/>
      <protection/>
    </xf>
    <xf numFmtId="3" fontId="2" fillId="0" borderId="0" xfId="20" applyNumberFormat="1" applyFont="1">
      <alignment/>
      <protection/>
    </xf>
    <xf numFmtId="3" fontId="2" fillId="0" borderId="0" xfId="20" applyNumberFormat="1" applyFont="1" applyAlignment="1">
      <alignment horizontal="center"/>
      <protection/>
    </xf>
    <xf numFmtId="0" fontId="0" fillId="0" borderId="0" xfId="20" applyFont="1" applyAlignment="1">
      <alignment horizontal="center"/>
      <protection/>
    </xf>
    <xf numFmtId="0" fontId="3" fillId="0" borderId="4" xfId="20" applyFont="1" applyBorder="1" applyAlignment="1">
      <alignment horizontal="centerContinuous" vertical="center" wrapText="1"/>
      <protection/>
    </xf>
    <xf numFmtId="0" fontId="25" fillId="0" borderId="4" xfId="20" applyFont="1" applyBorder="1" applyAlignment="1">
      <alignment horizontal="centerContinuous"/>
      <protection/>
    </xf>
    <xf numFmtId="164" fontId="3" fillId="0" borderId="8" xfId="20" applyNumberFormat="1" applyFont="1" applyBorder="1" applyAlignment="1">
      <alignment horizontal="center"/>
      <protection/>
    </xf>
    <xf numFmtId="164" fontId="3" fillId="0" borderId="1" xfId="20" applyNumberFormat="1" applyFont="1" applyBorder="1" applyAlignment="1">
      <alignment horizontal="center"/>
      <protection/>
    </xf>
    <xf numFmtId="164" fontId="3" fillId="0" borderId="9" xfId="20" applyNumberFormat="1" applyFont="1" applyBorder="1" applyAlignment="1">
      <alignment horizontal="center"/>
      <protection/>
    </xf>
    <xf numFmtId="3" fontId="2" fillId="0" borderId="1" xfId="20" applyNumberFormat="1" applyFont="1" applyBorder="1" applyAlignment="1">
      <alignment horizontal="right"/>
      <protection/>
    </xf>
    <xf numFmtId="0" fontId="3" fillId="0" borderId="11" xfId="20" applyFont="1" applyBorder="1" applyAlignment="1">
      <alignment wrapText="1"/>
      <protection/>
    </xf>
    <xf numFmtId="3" fontId="2" fillId="0" borderId="12" xfId="20" applyNumberFormat="1" applyFont="1" applyBorder="1" applyAlignment="1">
      <alignment horizontal="right"/>
      <protection/>
    </xf>
    <xf numFmtId="3" fontId="2" fillId="0" borderId="13" xfId="20" applyNumberFormat="1" applyFont="1" applyBorder="1" applyAlignment="1">
      <alignment horizontal="right"/>
      <protection/>
    </xf>
    <xf numFmtId="0" fontId="4" fillId="0" borderId="18" xfId="20" applyFont="1" applyBorder="1" applyAlignment="1">
      <alignment horizontal="right" wrapText="1"/>
      <protection/>
    </xf>
    <xf numFmtId="3" fontId="2" fillId="0" borderId="17" xfId="20" applyNumberFormat="1" applyFont="1" applyBorder="1" applyAlignment="1">
      <alignment horizontal="right"/>
      <protection/>
    </xf>
    <xf numFmtId="3" fontId="2" fillId="0" borderId="20" xfId="20" applyNumberFormat="1" applyFont="1" applyBorder="1" applyAlignment="1">
      <alignment horizontal="right"/>
      <protection/>
    </xf>
    <xf numFmtId="4" fontId="8" fillId="0" borderId="0" xfId="20" applyNumberFormat="1" applyFont="1" applyBorder="1">
      <alignment/>
      <protection/>
    </xf>
    <xf numFmtId="3" fontId="2" fillId="0" borderId="0" xfId="20" applyNumberFormat="1" applyFont="1" applyBorder="1" applyAlignment="1">
      <alignment horizontal="right"/>
      <protection/>
    </xf>
    <xf numFmtId="3" fontId="8" fillId="0" borderId="0" xfId="20" applyNumberFormat="1" applyFont="1" applyBorder="1" applyAlignment="1">
      <alignment horizontal="right"/>
      <protection/>
    </xf>
    <xf numFmtId="4" fontId="4" fillId="0" borderId="0" xfId="20" applyNumberFormat="1" applyFont="1" applyBorder="1">
      <alignment/>
      <protection/>
    </xf>
    <xf numFmtId="210" fontId="4" fillId="0" borderId="0" xfId="20" applyNumberFormat="1" applyFont="1" applyBorder="1">
      <alignment/>
      <protection/>
    </xf>
    <xf numFmtId="211" fontId="4" fillId="0" borderId="0" xfId="20" applyNumberFormat="1" applyFont="1" applyBorder="1">
      <alignment/>
      <protection/>
    </xf>
    <xf numFmtId="164" fontId="4" fillId="0" borderId="0" xfId="20" applyNumberFormat="1" applyFont="1" applyBorder="1">
      <alignment/>
      <protection/>
    </xf>
    <xf numFmtId="211" fontId="2" fillId="0" borderId="0" xfId="20" applyNumberFormat="1" applyFont="1" applyBorder="1">
      <alignment/>
      <protection/>
    </xf>
    <xf numFmtId="164" fontId="2" fillId="0" borderId="0" xfId="20" applyNumberFormat="1" applyFont="1" applyBorder="1">
      <alignment/>
      <protection/>
    </xf>
    <xf numFmtId="4" fontId="8" fillId="0" borderId="0" xfId="20" applyNumberFormat="1" applyFont="1">
      <alignment/>
      <protection/>
    </xf>
    <xf numFmtId="164" fontId="2" fillId="0" borderId="0" xfId="20" applyNumberFormat="1" applyFont="1">
      <alignment/>
      <protection/>
    </xf>
    <xf numFmtId="0" fontId="25" fillId="0" borderId="0" xfId="20" applyFont="1" applyAlignment="1">
      <alignment horizontal="right"/>
      <protection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Pasv 08 2000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externalLink" Target="externalLinks/externalLink5.xml" /><Relationship Id="rId29" Type="http://schemas.openxmlformats.org/officeDocument/2006/relationships/externalLink" Target="externalLinks/externalLink6.xml" /><Relationship Id="rId30" Type="http://schemas.openxmlformats.org/officeDocument/2006/relationships/externalLink" Target="externalLinks/externalLink7.xml" /><Relationship Id="rId31" Type="http://schemas.openxmlformats.org/officeDocument/2006/relationships/externalLink" Target="externalLinks/externalLink8.xml" /><Relationship Id="rId32" Type="http://schemas.openxmlformats.org/officeDocument/2006/relationships/externalLink" Target="externalLinks/externalLink9.xml" /><Relationship Id="rId33" Type="http://schemas.openxmlformats.org/officeDocument/2006/relationships/externalLink" Target="externalLinks/externalLink10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kopbudzets%20(1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10-arv.fin.pal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-konso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PB-ie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3PB-izd-mi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4PB-ekon-klasif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5SBizdev_ienem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Darba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6SB%20-ekon-klasi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7SB-zied-dav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</sheetNames>
    <sheetDataSet>
      <sheetData sheetId="6">
        <row r="5">
          <cell r="D5">
            <v>1017869</v>
          </cell>
        </row>
        <row r="6">
          <cell r="D6">
            <v>65095</v>
          </cell>
        </row>
        <row r="7">
          <cell r="D7">
            <v>10331</v>
          </cell>
        </row>
        <row r="8">
          <cell r="D8">
            <v>942443</v>
          </cell>
        </row>
        <row r="9">
          <cell r="D9">
            <v>1061696</v>
          </cell>
        </row>
        <row r="10">
          <cell r="D10">
            <v>65095</v>
          </cell>
        </row>
        <row r="11">
          <cell r="D11">
            <v>10331</v>
          </cell>
        </row>
        <row r="12">
          <cell r="D12">
            <v>986270</v>
          </cell>
        </row>
        <row r="13">
          <cell r="D13">
            <v>-43827</v>
          </cell>
        </row>
        <row r="14">
          <cell r="D14">
            <v>2431</v>
          </cell>
        </row>
        <row r="15">
          <cell r="D15">
            <v>19368</v>
          </cell>
        </row>
        <row r="16">
          <cell r="D16">
            <v>10610</v>
          </cell>
        </row>
        <row r="17">
          <cell r="D17">
            <v>8758</v>
          </cell>
        </row>
        <row r="18">
          <cell r="D18">
            <v>15730</v>
          </cell>
        </row>
        <row r="19">
          <cell r="D19">
            <v>9403</v>
          </cell>
        </row>
        <row r="20">
          <cell r="D20">
            <v>6327</v>
          </cell>
        </row>
        <row r="21">
          <cell r="D21">
            <v>-46258</v>
          </cell>
        </row>
        <row r="22">
          <cell r="D22">
            <v>46258</v>
          </cell>
        </row>
        <row r="23">
          <cell r="D23">
            <v>54474</v>
          </cell>
        </row>
        <row r="26">
          <cell r="D26">
            <v>1207</v>
          </cell>
        </row>
        <row r="27">
          <cell r="D27">
            <v>-1207</v>
          </cell>
        </row>
        <row r="29">
          <cell r="D29">
            <v>58494</v>
          </cell>
        </row>
        <row r="30">
          <cell r="D30">
            <v>-24507</v>
          </cell>
        </row>
        <row r="31">
          <cell r="D31">
            <v>2780</v>
          </cell>
        </row>
        <row r="32">
          <cell r="D32">
            <v>80221</v>
          </cell>
        </row>
        <row r="33">
          <cell r="D33">
            <v>-33613</v>
          </cell>
        </row>
        <row r="34">
          <cell r="D34">
            <v>-4409</v>
          </cell>
        </row>
        <row r="35">
          <cell r="D35">
            <v>-20101</v>
          </cell>
        </row>
        <row r="36">
          <cell r="D36">
            <v>-9103</v>
          </cell>
        </row>
        <row r="37">
          <cell r="D37">
            <v>27799</v>
          </cell>
        </row>
        <row r="38">
          <cell r="D38">
            <v>-8216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  <sheetName val="Augusts"/>
    </sheetNames>
    <sheetDataSet>
      <sheetData sheetId="6">
        <row r="8">
          <cell r="D8">
            <v>3431951</v>
          </cell>
          <cell r="K8">
            <v>3432</v>
          </cell>
        </row>
        <row r="9">
          <cell r="D9">
            <v>2218760</v>
          </cell>
          <cell r="K9">
            <v>2219</v>
          </cell>
        </row>
        <row r="10">
          <cell r="D10">
            <v>1797167</v>
          </cell>
          <cell r="K10">
            <v>1797</v>
          </cell>
        </row>
        <row r="11">
          <cell r="D11">
            <v>421593</v>
          </cell>
          <cell r="K11">
            <v>422</v>
          </cell>
        </row>
        <row r="12">
          <cell r="D12">
            <v>1213191</v>
          </cell>
          <cell r="K12">
            <v>1213</v>
          </cell>
        </row>
        <row r="13">
          <cell r="D13">
            <v>619994</v>
          </cell>
          <cell r="K13">
            <v>620</v>
          </cell>
        </row>
        <row r="14">
          <cell r="D14">
            <v>593197</v>
          </cell>
          <cell r="K14">
            <v>593</v>
          </cell>
        </row>
        <row r="15">
          <cell r="D15">
            <v>107728</v>
          </cell>
          <cell r="K15">
            <v>108</v>
          </cell>
        </row>
        <row r="16">
          <cell r="D16">
            <v>101087</v>
          </cell>
          <cell r="K16">
            <v>101</v>
          </cell>
        </row>
        <row r="17">
          <cell r="D17">
            <v>101087</v>
          </cell>
          <cell r="K17">
            <v>101</v>
          </cell>
        </row>
        <row r="18">
          <cell r="D18">
            <v>6641</v>
          </cell>
          <cell r="K18">
            <v>7</v>
          </cell>
        </row>
        <row r="19">
          <cell r="D19">
            <v>6641</v>
          </cell>
          <cell r="K19">
            <v>7</v>
          </cell>
        </row>
        <row r="20">
          <cell r="D20">
            <v>242170</v>
          </cell>
          <cell r="K20">
            <v>242</v>
          </cell>
        </row>
        <row r="21">
          <cell r="D21">
            <v>217103</v>
          </cell>
          <cell r="K21">
            <v>217</v>
          </cell>
        </row>
        <row r="22">
          <cell r="D22">
            <v>217103</v>
          </cell>
          <cell r="K22">
            <v>217</v>
          </cell>
        </row>
        <row r="23">
          <cell r="K23">
            <v>0</v>
          </cell>
        </row>
        <row r="24">
          <cell r="D24">
            <v>25067</v>
          </cell>
          <cell r="K24">
            <v>25</v>
          </cell>
        </row>
        <row r="25">
          <cell r="D25">
            <v>25067</v>
          </cell>
          <cell r="K25">
            <v>25</v>
          </cell>
        </row>
        <row r="26">
          <cell r="D26">
            <v>203202</v>
          </cell>
          <cell r="K26">
            <v>203</v>
          </cell>
        </row>
        <row r="27">
          <cell r="D27">
            <v>202780</v>
          </cell>
          <cell r="K27">
            <v>203</v>
          </cell>
        </row>
        <row r="28">
          <cell r="D28">
            <v>202780</v>
          </cell>
          <cell r="K28">
            <v>203</v>
          </cell>
        </row>
        <row r="29">
          <cell r="K29">
            <v>0</v>
          </cell>
        </row>
        <row r="30">
          <cell r="D30">
            <v>422</v>
          </cell>
          <cell r="K30">
            <v>0</v>
          </cell>
        </row>
        <row r="31">
          <cell r="D31">
            <v>422</v>
          </cell>
          <cell r="K31">
            <v>0</v>
          </cell>
        </row>
        <row r="32">
          <cell r="K32">
            <v>0</v>
          </cell>
        </row>
        <row r="33">
          <cell r="D33">
            <v>204319</v>
          </cell>
          <cell r="K33">
            <v>204</v>
          </cell>
        </row>
        <row r="34">
          <cell r="D34">
            <v>181051</v>
          </cell>
          <cell r="K34">
            <v>181</v>
          </cell>
        </row>
        <row r="35">
          <cell r="D35">
            <v>181051</v>
          </cell>
          <cell r="K35">
            <v>181</v>
          </cell>
        </row>
        <row r="36">
          <cell r="K36">
            <v>0</v>
          </cell>
        </row>
        <row r="37">
          <cell r="D37">
            <v>23268</v>
          </cell>
          <cell r="K37">
            <v>23</v>
          </cell>
        </row>
        <row r="38">
          <cell r="D38">
            <v>23268</v>
          </cell>
          <cell r="K38">
            <v>23</v>
          </cell>
        </row>
        <row r="39">
          <cell r="K39">
            <v>0</v>
          </cell>
        </row>
        <row r="40">
          <cell r="D40">
            <v>670827</v>
          </cell>
          <cell r="K40">
            <v>671</v>
          </cell>
        </row>
        <row r="41">
          <cell r="D41">
            <v>258681</v>
          </cell>
          <cell r="K41">
            <v>259</v>
          </cell>
        </row>
        <row r="42">
          <cell r="D42">
            <v>258681</v>
          </cell>
          <cell r="K42">
            <v>259</v>
          </cell>
        </row>
        <row r="43">
          <cell r="D43">
            <v>412146</v>
          </cell>
          <cell r="K43">
            <v>412</v>
          </cell>
        </row>
        <row r="44">
          <cell r="D44">
            <v>412146</v>
          </cell>
          <cell r="K44">
            <v>412</v>
          </cell>
        </row>
        <row r="45">
          <cell r="D45">
            <v>314230</v>
          </cell>
          <cell r="K45">
            <v>314</v>
          </cell>
        </row>
        <row r="46">
          <cell r="D46">
            <v>204646</v>
          </cell>
          <cell r="K46">
            <v>205</v>
          </cell>
        </row>
        <row r="47">
          <cell r="D47">
            <v>204646</v>
          </cell>
          <cell r="K47">
            <v>205</v>
          </cell>
        </row>
        <row r="48">
          <cell r="K48">
            <v>0</v>
          </cell>
        </row>
        <row r="49">
          <cell r="D49">
            <v>109584</v>
          </cell>
          <cell r="K49">
            <v>109</v>
          </cell>
        </row>
        <row r="50">
          <cell r="D50">
            <v>19578</v>
          </cell>
          <cell r="K50">
            <v>19</v>
          </cell>
        </row>
        <row r="51">
          <cell r="D51">
            <v>90006</v>
          </cell>
          <cell r="K51">
            <v>90</v>
          </cell>
        </row>
        <row r="52">
          <cell r="D52">
            <v>786088</v>
          </cell>
          <cell r="K52">
            <v>786</v>
          </cell>
        </row>
        <row r="53">
          <cell r="D53">
            <v>421593</v>
          </cell>
          <cell r="K53">
            <v>422</v>
          </cell>
        </row>
        <row r="54">
          <cell r="D54">
            <v>421593</v>
          </cell>
          <cell r="K54">
            <v>422</v>
          </cell>
        </row>
        <row r="55">
          <cell r="D55">
            <v>364495</v>
          </cell>
          <cell r="K55">
            <v>364</v>
          </cell>
        </row>
        <row r="56">
          <cell r="D56">
            <v>364495</v>
          </cell>
          <cell r="K56">
            <v>364</v>
          </cell>
        </row>
        <row r="57">
          <cell r="D57">
            <v>78515</v>
          </cell>
          <cell r="K57">
            <v>79</v>
          </cell>
        </row>
        <row r="58">
          <cell r="D58">
            <v>0</v>
          </cell>
          <cell r="K58">
            <v>0</v>
          </cell>
        </row>
        <row r="59">
          <cell r="K59">
            <v>0</v>
          </cell>
        </row>
        <row r="60">
          <cell r="K60">
            <v>0</v>
          </cell>
        </row>
        <row r="61">
          <cell r="D61">
            <v>78515</v>
          </cell>
          <cell r="K61">
            <v>79</v>
          </cell>
        </row>
        <row r="62">
          <cell r="D62">
            <v>54722</v>
          </cell>
          <cell r="K62">
            <v>55</v>
          </cell>
        </row>
        <row r="63">
          <cell r="D63">
            <v>23793</v>
          </cell>
          <cell r="K63">
            <v>24</v>
          </cell>
        </row>
        <row r="64">
          <cell r="D64">
            <v>147529</v>
          </cell>
          <cell r="K64">
            <v>148</v>
          </cell>
        </row>
        <row r="65">
          <cell r="D65">
            <v>14126</v>
          </cell>
          <cell r="K65">
            <v>14</v>
          </cell>
        </row>
        <row r="66">
          <cell r="D66">
            <v>14126</v>
          </cell>
          <cell r="K66">
            <v>14</v>
          </cell>
        </row>
        <row r="67">
          <cell r="K67">
            <v>0</v>
          </cell>
        </row>
        <row r="68">
          <cell r="D68">
            <v>133403</v>
          </cell>
          <cell r="K68">
            <v>134</v>
          </cell>
        </row>
        <row r="69">
          <cell r="D69">
            <v>18500</v>
          </cell>
          <cell r="K69">
            <v>19</v>
          </cell>
        </row>
        <row r="70">
          <cell r="D70">
            <v>114903</v>
          </cell>
          <cell r="K70">
            <v>115</v>
          </cell>
        </row>
        <row r="71">
          <cell r="D71">
            <v>201588</v>
          </cell>
          <cell r="K71">
            <v>201</v>
          </cell>
        </row>
        <row r="72">
          <cell r="D72">
            <v>201588</v>
          </cell>
          <cell r="K72">
            <v>201</v>
          </cell>
        </row>
        <row r="73">
          <cell r="D73">
            <v>201588</v>
          </cell>
          <cell r="K73">
            <v>201</v>
          </cell>
        </row>
        <row r="74">
          <cell r="K74">
            <v>0</v>
          </cell>
        </row>
        <row r="75">
          <cell r="D75">
            <v>0</v>
          </cell>
          <cell r="K75">
            <v>0</v>
          </cell>
        </row>
        <row r="76">
          <cell r="K76">
            <v>0</v>
          </cell>
        </row>
        <row r="77">
          <cell r="K77">
            <v>0</v>
          </cell>
        </row>
        <row r="78">
          <cell r="D78">
            <v>308697</v>
          </cell>
          <cell r="K78">
            <v>309</v>
          </cell>
        </row>
        <row r="79">
          <cell r="D79">
            <v>249047</v>
          </cell>
          <cell r="K79">
            <v>249</v>
          </cell>
        </row>
        <row r="80">
          <cell r="D80">
            <v>249047</v>
          </cell>
          <cell r="K80">
            <v>249</v>
          </cell>
        </row>
        <row r="81">
          <cell r="D81">
            <v>59650</v>
          </cell>
          <cell r="K81">
            <v>60</v>
          </cell>
        </row>
        <row r="82">
          <cell r="D82">
            <v>59650</v>
          </cell>
          <cell r="K82">
            <v>60</v>
          </cell>
        </row>
        <row r="83">
          <cell r="D83">
            <v>167058</v>
          </cell>
          <cell r="K83">
            <v>167</v>
          </cell>
        </row>
        <row r="84">
          <cell r="D84">
            <v>167058</v>
          </cell>
          <cell r="K84">
            <v>167</v>
          </cell>
        </row>
        <row r="85">
          <cell r="D85">
            <v>167058</v>
          </cell>
          <cell r="K85">
            <v>167</v>
          </cell>
        </row>
        <row r="86">
          <cell r="D86">
            <v>992950</v>
          </cell>
          <cell r="K86">
            <v>993</v>
          </cell>
        </row>
        <row r="87">
          <cell r="D87">
            <v>521783</v>
          </cell>
          <cell r="K87">
            <v>522</v>
          </cell>
        </row>
        <row r="88">
          <cell r="D88">
            <v>521783</v>
          </cell>
          <cell r="K88">
            <v>522</v>
          </cell>
        </row>
        <row r="89">
          <cell r="D89">
            <v>471167</v>
          </cell>
          <cell r="K89">
            <v>471</v>
          </cell>
        </row>
        <row r="90">
          <cell r="D90">
            <v>471167</v>
          </cell>
          <cell r="K90">
            <v>471</v>
          </cell>
        </row>
        <row r="91">
          <cell r="D91">
            <v>992950</v>
          </cell>
          <cell r="K91">
            <v>993</v>
          </cell>
        </row>
        <row r="92">
          <cell r="D92">
            <v>521783</v>
          </cell>
          <cell r="K92">
            <v>522</v>
          </cell>
        </row>
        <row r="93">
          <cell r="D93">
            <v>521783</v>
          </cell>
          <cell r="K93">
            <v>522</v>
          </cell>
        </row>
        <row r="94">
          <cell r="D94">
            <v>471167</v>
          </cell>
          <cell r="K94">
            <v>471</v>
          </cell>
        </row>
        <row r="95">
          <cell r="D95">
            <v>471167</v>
          </cell>
          <cell r="K95">
            <v>471</v>
          </cell>
        </row>
        <row r="96">
          <cell r="D96">
            <v>4757130</v>
          </cell>
          <cell r="K96">
            <v>4757</v>
          </cell>
        </row>
        <row r="97">
          <cell r="D97">
            <v>2649396</v>
          </cell>
          <cell r="K97">
            <v>2649</v>
          </cell>
        </row>
        <row r="98">
          <cell r="D98">
            <v>2107734</v>
          </cell>
          <cell r="K98">
            <v>2108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  <sheetName val="Augusts"/>
    </sheetNames>
    <sheetDataSet>
      <sheetData sheetId="6">
        <row r="9">
          <cell r="H9">
            <v>742296</v>
          </cell>
        </row>
        <row r="10">
          <cell r="H10">
            <v>388842</v>
          </cell>
        </row>
        <row r="11">
          <cell r="H11">
            <v>318173</v>
          </cell>
        </row>
        <row r="12">
          <cell r="H12">
            <v>49364</v>
          </cell>
        </row>
        <row r="13">
          <cell r="H13">
            <v>49364</v>
          </cell>
        </row>
        <row r="14">
          <cell r="H14">
            <v>265576</v>
          </cell>
        </row>
        <row r="15">
          <cell r="H15">
            <v>190871</v>
          </cell>
        </row>
        <row r="16">
          <cell r="H16">
            <v>66419</v>
          </cell>
        </row>
        <row r="17">
          <cell r="H17">
            <v>8286</v>
          </cell>
        </row>
        <row r="18">
          <cell r="H18">
            <v>3233</v>
          </cell>
        </row>
        <row r="19">
          <cell r="H19">
            <v>37480</v>
          </cell>
        </row>
        <row r="20">
          <cell r="H20">
            <v>30970</v>
          </cell>
        </row>
        <row r="21">
          <cell r="H21">
            <v>2219</v>
          </cell>
        </row>
        <row r="22">
          <cell r="H22">
            <v>701</v>
          </cell>
        </row>
        <row r="23">
          <cell r="H23">
            <v>388141</v>
          </cell>
        </row>
        <row r="24">
          <cell r="H24">
            <v>392007</v>
          </cell>
        </row>
        <row r="25">
          <cell r="H25">
            <v>392007</v>
          </cell>
        </row>
        <row r="26">
          <cell r="H26">
            <v>267229</v>
          </cell>
        </row>
        <row r="27">
          <cell r="H27">
            <v>25749</v>
          </cell>
        </row>
        <row r="28">
          <cell r="H28">
            <v>41411</v>
          </cell>
        </row>
        <row r="29">
          <cell r="H29">
            <v>522</v>
          </cell>
        </row>
        <row r="30">
          <cell r="H30">
            <v>57096</v>
          </cell>
        </row>
        <row r="31">
          <cell r="H31">
            <v>37852</v>
          </cell>
        </row>
        <row r="32">
          <cell r="H32">
            <v>354155</v>
          </cell>
        </row>
        <row r="33">
          <cell r="H33">
            <v>799634</v>
          </cell>
        </row>
        <row r="34">
          <cell r="H34">
            <v>757640</v>
          </cell>
        </row>
        <row r="35">
          <cell r="H35">
            <v>14059</v>
          </cell>
        </row>
        <row r="36">
          <cell r="H36">
            <v>27935</v>
          </cell>
        </row>
        <row r="37">
          <cell r="H37">
            <v>-57338</v>
          </cell>
        </row>
        <row r="38">
          <cell r="H38">
            <v>1035</v>
          </cell>
        </row>
        <row r="39">
          <cell r="H39">
            <v>800669</v>
          </cell>
        </row>
        <row r="40">
          <cell r="H40">
            <v>-58373</v>
          </cell>
        </row>
        <row r="41">
          <cell r="H41">
            <v>418134</v>
          </cell>
        </row>
        <row r="42">
          <cell r="H42">
            <v>37852</v>
          </cell>
        </row>
        <row r="43">
          <cell r="H43">
            <v>380282</v>
          </cell>
        </row>
        <row r="44">
          <cell r="H44">
            <v>390607</v>
          </cell>
        </row>
        <row r="45">
          <cell r="H45">
            <v>36736</v>
          </cell>
        </row>
        <row r="46">
          <cell r="H46">
            <v>353871</v>
          </cell>
        </row>
        <row r="47">
          <cell r="H47">
            <v>7777</v>
          </cell>
        </row>
        <row r="48">
          <cell r="H48">
            <v>7777</v>
          </cell>
        </row>
        <row r="49">
          <cell r="H49">
            <v>19750</v>
          </cell>
        </row>
        <row r="50">
          <cell r="H50">
            <v>1116</v>
          </cell>
        </row>
        <row r="51">
          <cell r="H51">
            <v>18634</v>
          </cell>
        </row>
        <row r="52">
          <cell r="H52">
            <v>-29292</v>
          </cell>
        </row>
        <row r="53">
          <cell r="H53">
            <v>-1436</v>
          </cell>
        </row>
        <row r="54">
          <cell r="H54">
            <v>35686</v>
          </cell>
        </row>
        <row r="55">
          <cell r="H55">
            <v>37122</v>
          </cell>
        </row>
        <row r="56">
          <cell r="H56">
            <v>-1436</v>
          </cell>
        </row>
        <row r="57">
          <cell r="H57">
            <v>-64978</v>
          </cell>
        </row>
        <row r="58">
          <cell r="H58">
            <v>420053</v>
          </cell>
        </row>
        <row r="59">
          <cell r="H59">
            <v>701</v>
          </cell>
        </row>
        <row r="60">
          <cell r="H60">
            <v>419352</v>
          </cell>
        </row>
        <row r="61">
          <cell r="H61">
            <v>404470</v>
          </cell>
        </row>
        <row r="62">
          <cell r="H62">
            <v>701</v>
          </cell>
        </row>
        <row r="63">
          <cell r="H63">
            <v>403769</v>
          </cell>
        </row>
        <row r="64">
          <cell r="H64">
            <v>6282</v>
          </cell>
        </row>
        <row r="65">
          <cell r="H65">
            <v>6282</v>
          </cell>
        </row>
        <row r="66">
          <cell r="H66">
            <v>9301</v>
          </cell>
        </row>
        <row r="67">
          <cell r="H67">
            <v>9301</v>
          </cell>
        </row>
        <row r="68">
          <cell r="H68">
            <v>-28046</v>
          </cell>
        </row>
        <row r="69">
          <cell r="H69">
            <v>2471</v>
          </cell>
        </row>
        <row r="70">
          <cell r="H70">
            <v>2471</v>
          </cell>
        </row>
        <row r="71">
          <cell r="H71">
            <v>2471</v>
          </cell>
        </row>
        <row r="72">
          <cell r="H72">
            <v>-30517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rbam"/>
      <sheetName val="Janvāris"/>
      <sheetName val="Februaris"/>
      <sheetName val="feb.labotais"/>
      <sheetName val="MARTS"/>
      <sheetName val="Aprīlis "/>
      <sheetName val="Maijs"/>
      <sheetName val="Jūnijs"/>
      <sheetName val="Jūlijs"/>
      <sheetName val="Augusts"/>
      <sheetName val="Sheet2"/>
      <sheetName val="Sheet1"/>
      <sheetName val="iensad"/>
      <sheetName val="sadale"/>
      <sheetName val="nodokļi"/>
      <sheetName val="Sheet3"/>
    </sheetNames>
    <sheetDataSet>
      <sheetData sheetId="1">
        <row r="29">
          <cell r="F29">
            <v>0</v>
          </cell>
        </row>
      </sheetData>
      <sheetData sheetId="8">
        <row r="12">
          <cell r="J12">
            <v>49364</v>
          </cell>
        </row>
        <row r="14">
          <cell r="J14">
            <v>190871</v>
          </cell>
        </row>
        <row r="15">
          <cell r="J15">
            <v>66419</v>
          </cell>
        </row>
        <row r="16">
          <cell r="J16">
            <v>8286</v>
          </cell>
        </row>
        <row r="17">
          <cell r="J17">
            <v>3233</v>
          </cell>
        </row>
        <row r="19">
          <cell r="J19">
            <v>1593</v>
          </cell>
        </row>
        <row r="20">
          <cell r="J20">
            <v>7304</v>
          </cell>
        </row>
        <row r="21">
          <cell r="J21">
            <v>9336</v>
          </cell>
        </row>
        <row r="22">
          <cell r="J22">
            <v>453</v>
          </cell>
        </row>
        <row r="23">
          <cell r="J23">
            <v>2695</v>
          </cell>
        </row>
        <row r="24">
          <cell r="J24">
            <v>212</v>
          </cell>
        </row>
        <row r="25">
          <cell r="J25">
            <v>5106</v>
          </cell>
        </row>
        <row r="26">
          <cell r="J26">
            <v>10780</v>
          </cell>
        </row>
        <row r="27">
          <cell r="J27">
            <v>701</v>
          </cell>
        </row>
        <row r="28">
          <cell r="J28">
            <v>10080</v>
          </cell>
        </row>
        <row r="31">
          <cell r="J31">
            <v>30970</v>
          </cell>
        </row>
        <row r="32">
          <cell r="J32">
            <v>30970</v>
          </cell>
        </row>
        <row r="33">
          <cell r="J33">
            <v>2219</v>
          </cell>
        </row>
      </sheetData>
      <sheetData sheetId="9">
        <row r="13">
          <cell r="D13">
            <v>442685566.02000004</v>
          </cell>
        </row>
        <row r="36">
          <cell r="D36">
            <v>35548245.37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ūnijs"/>
      <sheetName val="Jūlijs"/>
      <sheetName val="Augusts "/>
      <sheetName val="Sheet1"/>
      <sheetName val="darbam"/>
    </sheetNames>
    <sheetDataSet>
      <sheetData sheetId="1">
        <row r="8">
          <cell r="K8" t="str">
            <v>Izpilde no gada sākuma</v>
          </cell>
        </row>
        <row r="9">
          <cell r="K9">
            <v>4</v>
          </cell>
        </row>
      </sheetData>
      <sheetData sheetId="5">
        <row r="67">
          <cell r="D67">
            <v>152570.02000000002</v>
          </cell>
        </row>
      </sheetData>
      <sheetData sheetId="6">
        <row r="15">
          <cell r="D15">
            <v>488507.82</v>
          </cell>
          <cell r="K15">
            <v>489</v>
          </cell>
        </row>
        <row r="16">
          <cell r="D16">
            <v>45582.15</v>
          </cell>
          <cell r="K16">
            <v>46</v>
          </cell>
        </row>
        <row r="18">
          <cell r="D18">
            <v>2957583.06</v>
          </cell>
          <cell r="K18">
            <v>2958</v>
          </cell>
        </row>
        <row r="19">
          <cell r="D19">
            <v>656110.54</v>
          </cell>
          <cell r="K19">
            <v>656</v>
          </cell>
        </row>
        <row r="21">
          <cell r="D21">
            <v>1710403.15</v>
          </cell>
          <cell r="K21">
            <v>1710</v>
          </cell>
        </row>
        <row r="22">
          <cell r="D22">
            <v>26634.21</v>
          </cell>
          <cell r="K22">
            <v>27</v>
          </cell>
        </row>
        <row r="24">
          <cell r="D24">
            <v>20690815.79</v>
          </cell>
          <cell r="K24">
            <v>20691</v>
          </cell>
        </row>
        <row r="25">
          <cell r="D25">
            <v>825034.56</v>
          </cell>
          <cell r="K25">
            <v>825</v>
          </cell>
        </row>
        <row r="27">
          <cell r="D27">
            <v>5596811.86</v>
          </cell>
          <cell r="K27">
            <v>5597</v>
          </cell>
        </row>
        <row r="28">
          <cell r="D28">
            <v>205069.3</v>
          </cell>
          <cell r="K28">
            <v>205</v>
          </cell>
        </row>
        <row r="30">
          <cell r="D30">
            <v>3209366.3</v>
          </cell>
          <cell r="K30">
            <v>3210</v>
          </cell>
        </row>
        <row r="31">
          <cell r="D31">
            <v>86385.26</v>
          </cell>
          <cell r="K31">
            <v>86</v>
          </cell>
        </row>
        <row r="33">
          <cell r="D33">
            <v>51197200.29</v>
          </cell>
          <cell r="K33">
            <v>51197</v>
          </cell>
        </row>
        <row r="34">
          <cell r="D34">
            <v>5164548.76</v>
          </cell>
          <cell r="K34">
            <v>5164</v>
          </cell>
        </row>
        <row r="36">
          <cell r="D36">
            <v>41682548.78</v>
          </cell>
          <cell r="K36">
            <v>41682</v>
          </cell>
        </row>
        <row r="37">
          <cell r="D37">
            <v>4439892.27</v>
          </cell>
          <cell r="K37">
            <v>4440</v>
          </cell>
        </row>
        <row r="39">
          <cell r="D39">
            <v>35799405.22</v>
          </cell>
          <cell r="K39">
            <v>35799</v>
          </cell>
        </row>
        <row r="40">
          <cell r="D40">
            <v>2011610.88</v>
          </cell>
          <cell r="K40">
            <v>2012</v>
          </cell>
        </row>
        <row r="42">
          <cell r="D42">
            <v>27747555.08</v>
          </cell>
          <cell r="K42">
            <v>27748</v>
          </cell>
        </row>
        <row r="43">
          <cell r="D43">
            <v>1849198.55</v>
          </cell>
          <cell r="K43">
            <v>1849</v>
          </cell>
        </row>
        <row r="45">
          <cell r="D45">
            <v>3987210.36</v>
          </cell>
          <cell r="K45">
            <v>3987</v>
          </cell>
        </row>
        <row r="46">
          <cell r="D46">
            <v>2186202.63</v>
          </cell>
          <cell r="K46">
            <v>2186</v>
          </cell>
        </row>
        <row r="48">
          <cell r="D48">
            <v>89577953.68</v>
          </cell>
          <cell r="K48">
            <v>89578</v>
          </cell>
        </row>
        <row r="49">
          <cell r="D49">
            <v>2333055.27</v>
          </cell>
          <cell r="K49">
            <v>2333</v>
          </cell>
        </row>
        <row r="51">
          <cell r="D51">
            <v>14066823.54</v>
          </cell>
          <cell r="K51">
            <v>14067</v>
          </cell>
        </row>
        <row r="52">
          <cell r="D52">
            <v>1657563.94</v>
          </cell>
          <cell r="K52">
            <v>1658</v>
          </cell>
        </row>
        <row r="54">
          <cell r="D54">
            <v>3767495.48</v>
          </cell>
          <cell r="K54">
            <v>3767</v>
          </cell>
        </row>
        <row r="55">
          <cell r="D55">
            <v>552763.75</v>
          </cell>
          <cell r="K55">
            <v>553</v>
          </cell>
        </row>
        <row r="57">
          <cell r="D57">
            <v>9142479.94</v>
          </cell>
          <cell r="K57">
            <v>9142</v>
          </cell>
        </row>
        <row r="58">
          <cell r="D58">
            <v>976707.12</v>
          </cell>
          <cell r="K58">
            <v>977</v>
          </cell>
        </row>
        <row r="60">
          <cell r="D60">
            <v>7117240.27</v>
          </cell>
          <cell r="K60">
            <v>7117</v>
          </cell>
        </row>
        <row r="61">
          <cell r="D61">
            <v>558291.68</v>
          </cell>
          <cell r="K61">
            <v>558</v>
          </cell>
        </row>
        <row r="63">
          <cell r="D63">
            <v>651786.63</v>
          </cell>
          <cell r="K63">
            <v>652</v>
          </cell>
        </row>
        <row r="64">
          <cell r="D64">
            <v>12500.52</v>
          </cell>
          <cell r="K64">
            <v>12</v>
          </cell>
        </row>
        <row r="66">
          <cell r="D66">
            <v>421099.58</v>
          </cell>
          <cell r="K66">
            <v>421</v>
          </cell>
        </row>
        <row r="68">
          <cell r="D68">
            <v>167314.05</v>
          </cell>
          <cell r="K68">
            <v>167</v>
          </cell>
        </row>
        <row r="69">
          <cell r="D69">
            <v>15000</v>
          </cell>
          <cell r="K69">
            <v>15</v>
          </cell>
        </row>
        <row r="71">
          <cell r="D71">
            <v>3518345.76</v>
          </cell>
          <cell r="K71">
            <v>3519</v>
          </cell>
        </row>
        <row r="72">
          <cell r="D72">
            <v>45352.58</v>
          </cell>
          <cell r="K72">
            <v>45</v>
          </cell>
        </row>
        <row r="74">
          <cell r="D74">
            <v>38470.24</v>
          </cell>
          <cell r="K74">
            <v>38</v>
          </cell>
        </row>
        <row r="75">
          <cell r="D75">
            <v>1698.29</v>
          </cell>
          <cell r="K75">
            <v>2</v>
          </cell>
        </row>
        <row r="77">
          <cell r="D77">
            <v>27231.53</v>
          </cell>
          <cell r="K77">
            <v>27</v>
          </cell>
        </row>
        <row r="78">
          <cell r="K78">
            <v>445</v>
          </cell>
        </row>
        <row r="79">
          <cell r="D79">
            <v>444518</v>
          </cell>
          <cell r="K79">
            <v>445</v>
          </cell>
        </row>
        <row r="80">
          <cell r="K80">
            <v>3981</v>
          </cell>
        </row>
        <row r="81">
          <cell r="D81">
            <v>3822159.41</v>
          </cell>
          <cell r="K81">
            <v>3822</v>
          </cell>
        </row>
        <row r="82">
          <cell r="D82">
            <v>158504.9</v>
          </cell>
          <cell r="K82">
            <v>159</v>
          </cell>
        </row>
        <row r="84">
          <cell r="D84">
            <v>58588</v>
          </cell>
          <cell r="K84">
            <v>59</v>
          </cell>
        </row>
        <row r="85">
          <cell r="K85">
            <v>707</v>
          </cell>
        </row>
        <row r="86">
          <cell r="D86">
            <v>703266.63</v>
          </cell>
          <cell r="K86">
            <v>703</v>
          </cell>
        </row>
        <row r="87">
          <cell r="D87">
            <v>4000</v>
          </cell>
          <cell r="K87">
            <v>4</v>
          </cell>
        </row>
        <row r="88">
          <cell r="K88">
            <v>635</v>
          </cell>
        </row>
        <row r="89">
          <cell r="D89">
            <v>624935.17</v>
          </cell>
          <cell r="K89">
            <v>625</v>
          </cell>
        </row>
        <row r="90">
          <cell r="D90">
            <v>10137.64</v>
          </cell>
          <cell r="K90">
            <v>10</v>
          </cell>
        </row>
        <row r="92">
          <cell r="D92">
            <v>57165633</v>
          </cell>
          <cell r="K92">
            <v>57166</v>
          </cell>
        </row>
        <row r="93">
          <cell r="D93">
            <v>3705051.8</v>
          </cell>
          <cell r="K93">
            <v>3705</v>
          </cell>
        </row>
        <row r="95">
          <cell r="D95">
            <v>4224099</v>
          </cell>
          <cell r="K95">
            <v>4224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rbam"/>
      <sheetName val="Janvāris"/>
      <sheetName val="Februāris"/>
      <sheetName val="Marts"/>
      <sheetName val="Aprīlis"/>
      <sheetName val="Maijs"/>
      <sheetName val="Jūnijs"/>
      <sheetName val="Jūlijs"/>
      <sheetName val="Augusts"/>
      <sheetName val="sadaletab"/>
      <sheetName val="sadale"/>
      <sheetName val="dot spec"/>
      <sheetName val="Sheet2"/>
    </sheetNames>
    <sheetDataSet>
      <sheetData sheetId="2">
        <row r="9">
          <cell r="K9" t="str">
            <v>Izpilde no gada sākuma</v>
          </cell>
        </row>
      </sheetData>
      <sheetData sheetId="7">
        <row r="13">
          <cell r="K13">
            <v>398624</v>
          </cell>
        </row>
        <row r="15">
          <cell r="K15">
            <v>30970</v>
          </cell>
        </row>
        <row r="16">
          <cell r="K16">
            <v>2219</v>
          </cell>
        </row>
        <row r="20">
          <cell r="K20">
            <v>92459</v>
          </cell>
        </row>
        <row r="21">
          <cell r="K21">
            <v>24000</v>
          </cell>
        </row>
        <row r="22">
          <cell r="K22">
            <v>75326</v>
          </cell>
        </row>
        <row r="23">
          <cell r="K23">
            <v>24418</v>
          </cell>
        </row>
        <row r="24">
          <cell r="K24">
            <v>9603</v>
          </cell>
        </row>
        <row r="25">
          <cell r="K25">
            <v>14494</v>
          </cell>
        </row>
        <row r="26">
          <cell r="K26">
            <v>321</v>
          </cell>
        </row>
        <row r="28">
          <cell r="K28">
            <v>11335</v>
          </cell>
        </row>
        <row r="29">
          <cell r="K29">
            <v>57165</v>
          </cell>
        </row>
        <row r="30">
          <cell r="K30">
            <v>4224</v>
          </cell>
        </row>
        <row r="31">
          <cell r="K31">
            <v>57014</v>
          </cell>
        </row>
        <row r="32">
          <cell r="K32">
            <v>36736</v>
          </cell>
        </row>
        <row r="33">
          <cell r="K33">
            <v>20277</v>
          </cell>
        </row>
        <row r="34">
          <cell r="K34">
            <v>42513</v>
          </cell>
        </row>
        <row r="35">
          <cell r="K35">
            <v>755</v>
          </cell>
        </row>
        <row r="36">
          <cell r="K36">
            <v>31626</v>
          </cell>
        </row>
        <row r="37">
          <cell r="K37">
            <v>4016</v>
          </cell>
        </row>
        <row r="38">
          <cell r="K38">
            <v>6116</v>
          </cell>
        </row>
        <row r="39">
          <cell r="K39">
            <v>2153</v>
          </cell>
        </row>
        <row r="40">
          <cell r="K40">
            <v>27527</v>
          </cell>
        </row>
        <row r="41">
          <cell r="K41">
            <v>7777</v>
          </cell>
        </row>
        <row r="42">
          <cell r="K42">
            <v>19750</v>
          </cell>
        </row>
        <row r="43">
          <cell r="K43">
            <v>1116</v>
          </cell>
        </row>
        <row r="44">
          <cell r="K44">
            <v>3705</v>
          </cell>
        </row>
        <row r="45">
          <cell r="K45">
            <v>35686</v>
          </cell>
        </row>
        <row r="46">
          <cell r="K46">
            <v>53011</v>
          </cell>
        </row>
        <row r="47">
          <cell r="K47">
            <v>39867</v>
          </cell>
        </row>
        <row r="48">
          <cell r="K48">
            <v>17325</v>
          </cell>
        </row>
        <row r="49">
          <cell r="K49">
            <v>2745</v>
          </cell>
        </row>
        <row r="50">
          <cell r="K50">
            <v>-64978</v>
          </cell>
        </row>
        <row r="51">
          <cell r="K51">
            <v>64978</v>
          </cell>
        </row>
        <row r="52">
          <cell r="K52">
            <v>1619</v>
          </cell>
        </row>
        <row r="53">
          <cell r="K53">
            <v>259</v>
          </cell>
        </row>
        <row r="54">
          <cell r="K54">
            <v>63100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ūnijs"/>
      <sheetName val="Jūlijs"/>
      <sheetName val="Augusts"/>
    </sheetNames>
    <sheetDataSet>
      <sheetData sheetId="6">
        <row r="22">
          <cell r="D22">
            <v>1278025</v>
          </cell>
          <cell r="J22">
            <v>1278</v>
          </cell>
        </row>
        <row r="24">
          <cell r="D24">
            <v>1396000</v>
          </cell>
          <cell r="J24">
            <v>1396</v>
          </cell>
        </row>
        <row r="25">
          <cell r="D25">
            <v>14197</v>
          </cell>
          <cell r="J25">
            <v>14</v>
          </cell>
        </row>
        <row r="29">
          <cell r="D29">
            <v>1370406</v>
          </cell>
          <cell r="J29">
            <v>1370</v>
          </cell>
        </row>
        <row r="30">
          <cell r="D30">
            <v>410626</v>
          </cell>
          <cell r="J30">
            <v>411</v>
          </cell>
        </row>
        <row r="32">
          <cell r="D32">
            <v>345745</v>
          </cell>
          <cell r="J32">
            <v>346</v>
          </cell>
        </row>
        <row r="35">
          <cell r="D35">
            <v>789791</v>
          </cell>
          <cell r="J35">
            <v>790</v>
          </cell>
        </row>
        <row r="37">
          <cell r="D37">
            <v>21908</v>
          </cell>
          <cell r="J37">
            <v>22</v>
          </cell>
        </row>
        <row r="41">
          <cell r="D41">
            <v>1224840</v>
          </cell>
          <cell r="J41">
            <v>1225</v>
          </cell>
        </row>
        <row r="43">
          <cell r="D43">
            <v>954112</v>
          </cell>
          <cell r="J43">
            <v>954</v>
          </cell>
        </row>
        <row r="44">
          <cell r="D44">
            <v>300000</v>
          </cell>
          <cell r="J44">
            <v>300</v>
          </cell>
        </row>
        <row r="45">
          <cell r="D45">
            <v>258000</v>
          </cell>
          <cell r="J45">
            <v>258</v>
          </cell>
        </row>
        <row r="48">
          <cell r="D48">
            <v>706193</v>
          </cell>
          <cell r="J48">
            <v>706</v>
          </cell>
        </row>
        <row r="50">
          <cell r="D50">
            <v>399158</v>
          </cell>
          <cell r="J50">
            <v>399</v>
          </cell>
        </row>
        <row r="51">
          <cell r="D51">
            <v>413</v>
          </cell>
          <cell r="J51">
            <v>0</v>
          </cell>
        </row>
        <row r="52">
          <cell r="D52">
            <v>2497550</v>
          </cell>
          <cell r="J52">
            <v>2498</v>
          </cell>
        </row>
        <row r="53">
          <cell r="D53">
            <v>26890</v>
          </cell>
          <cell r="J53">
            <v>27</v>
          </cell>
        </row>
        <row r="54">
          <cell r="D54">
            <v>-2164038</v>
          </cell>
          <cell r="J54">
            <v>-2164</v>
          </cell>
        </row>
        <row r="55">
          <cell r="D55">
            <v>2491551</v>
          </cell>
          <cell r="J55">
            <v>2492</v>
          </cell>
        </row>
        <row r="59">
          <cell r="D59">
            <v>275398</v>
          </cell>
          <cell r="J59">
            <v>275</v>
          </cell>
        </row>
        <row r="60">
          <cell r="D60">
            <v>188442</v>
          </cell>
          <cell r="J60">
            <v>188</v>
          </cell>
        </row>
        <row r="62">
          <cell r="D62">
            <v>270016</v>
          </cell>
          <cell r="J62">
            <v>270</v>
          </cell>
        </row>
        <row r="63">
          <cell r="D63">
            <v>18831</v>
          </cell>
          <cell r="J63">
            <v>19</v>
          </cell>
        </row>
        <row r="67">
          <cell r="D67">
            <v>5304845</v>
          </cell>
          <cell r="J67">
            <v>5305</v>
          </cell>
        </row>
        <row r="68">
          <cell r="D68">
            <v>24490986</v>
          </cell>
          <cell r="J68">
            <v>24491</v>
          </cell>
        </row>
        <row r="69">
          <cell r="D69">
            <v>12972</v>
          </cell>
          <cell r="J69">
            <v>13</v>
          </cell>
        </row>
        <row r="70">
          <cell r="D70">
            <v>521783</v>
          </cell>
          <cell r="J70">
            <v>522</v>
          </cell>
        </row>
        <row r="72">
          <cell r="D72">
            <v>26777774</v>
          </cell>
          <cell r="J72">
            <v>26778</v>
          </cell>
        </row>
        <row r="73">
          <cell r="D73">
            <v>8080163</v>
          </cell>
          <cell r="J73">
            <v>8080</v>
          </cell>
        </row>
        <row r="74">
          <cell r="D74">
            <v>-4527351</v>
          </cell>
          <cell r="J74">
            <v>-4527</v>
          </cell>
        </row>
        <row r="75">
          <cell r="D75">
            <v>5242238</v>
          </cell>
          <cell r="J75">
            <v>5242</v>
          </cell>
        </row>
        <row r="78">
          <cell r="D78">
            <v>423411</v>
          </cell>
          <cell r="J78">
            <v>423</v>
          </cell>
        </row>
        <row r="79">
          <cell r="D79">
            <v>5648</v>
          </cell>
          <cell r="J79">
            <v>6</v>
          </cell>
        </row>
        <row r="81">
          <cell r="D81">
            <v>234295</v>
          </cell>
          <cell r="J81">
            <v>234</v>
          </cell>
        </row>
        <row r="82">
          <cell r="D82">
            <v>16228</v>
          </cell>
          <cell r="J82">
            <v>16</v>
          </cell>
        </row>
        <row r="84">
          <cell r="D84">
            <v>1219461</v>
          </cell>
          <cell r="J84">
            <v>1219</v>
          </cell>
        </row>
        <row r="86">
          <cell r="D86">
            <v>1903151</v>
          </cell>
          <cell r="J86">
            <v>1903</v>
          </cell>
        </row>
        <row r="87">
          <cell r="D87">
            <v>1000000</v>
          </cell>
          <cell r="J87">
            <v>1000</v>
          </cell>
        </row>
        <row r="91">
          <cell r="D91">
            <v>41410717</v>
          </cell>
          <cell r="J91">
            <v>41411</v>
          </cell>
        </row>
        <row r="92">
          <cell r="D92">
            <v>32433877</v>
          </cell>
          <cell r="J92">
            <v>32434</v>
          </cell>
        </row>
        <row r="93">
          <cell r="D93">
            <v>1553875</v>
          </cell>
          <cell r="J93">
            <v>1554</v>
          </cell>
        </row>
        <row r="95">
          <cell r="D95">
            <v>72885147</v>
          </cell>
          <cell r="J95">
            <v>72885</v>
          </cell>
        </row>
        <row r="96">
          <cell r="D96">
            <v>2522050</v>
          </cell>
          <cell r="J96">
            <v>2522</v>
          </cell>
        </row>
        <row r="97">
          <cell r="D97">
            <v>-8728</v>
          </cell>
          <cell r="J97">
            <v>-8</v>
          </cell>
        </row>
        <row r="98">
          <cell r="D98">
            <v>1824767</v>
          </cell>
          <cell r="J98">
            <v>1825</v>
          </cell>
        </row>
        <row r="101">
          <cell r="D101">
            <v>267228508</v>
          </cell>
          <cell r="J101">
            <v>267229</v>
          </cell>
        </row>
        <row r="102">
          <cell r="D102">
            <v>3487168</v>
          </cell>
          <cell r="J102">
            <v>3487</v>
          </cell>
        </row>
        <row r="103">
          <cell r="D103">
            <v>1377779</v>
          </cell>
          <cell r="J103">
            <v>1378</v>
          </cell>
        </row>
        <row r="105">
          <cell r="D105">
            <v>297566594</v>
          </cell>
          <cell r="J105">
            <v>297567</v>
          </cell>
        </row>
        <row r="106">
          <cell r="D106">
            <v>875689</v>
          </cell>
          <cell r="J106">
            <v>876</v>
          </cell>
        </row>
        <row r="107">
          <cell r="D107">
            <v>-26348828</v>
          </cell>
          <cell r="J107">
            <v>-26349</v>
          </cell>
        </row>
        <row r="108">
          <cell r="D108">
            <v>28797579</v>
          </cell>
          <cell r="J108">
            <v>28798</v>
          </cell>
        </row>
        <row r="111">
          <cell r="D111">
            <v>200739574</v>
          </cell>
          <cell r="J111">
            <v>200740</v>
          </cell>
        </row>
        <row r="112">
          <cell r="D112">
            <v>1900330</v>
          </cell>
          <cell r="J112">
            <v>1900</v>
          </cell>
        </row>
        <row r="113">
          <cell r="D113">
            <v>9471611</v>
          </cell>
          <cell r="J113">
            <v>9472</v>
          </cell>
        </row>
        <row r="115">
          <cell r="D115">
            <v>236772688</v>
          </cell>
          <cell r="J115">
            <v>236773</v>
          </cell>
        </row>
        <row r="116">
          <cell r="D116">
            <v>-24661173</v>
          </cell>
          <cell r="J116">
            <v>-24661</v>
          </cell>
        </row>
        <row r="117">
          <cell r="D117">
            <v>24676262</v>
          </cell>
          <cell r="J117">
            <v>24676</v>
          </cell>
        </row>
        <row r="120">
          <cell r="D120">
            <v>18164916</v>
          </cell>
          <cell r="J120">
            <v>18165</v>
          </cell>
        </row>
        <row r="121">
          <cell r="D121">
            <v>255208</v>
          </cell>
          <cell r="J121">
            <v>255</v>
          </cell>
        </row>
        <row r="122">
          <cell r="D122">
            <v>3397610</v>
          </cell>
          <cell r="J122">
            <v>3398</v>
          </cell>
        </row>
        <row r="124">
          <cell r="D124">
            <v>20170765</v>
          </cell>
          <cell r="J124">
            <v>20171</v>
          </cell>
        </row>
        <row r="125">
          <cell r="D125">
            <v>1646969</v>
          </cell>
          <cell r="J125">
            <v>1647</v>
          </cell>
        </row>
        <row r="128">
          <cell r="D128">
            <v>587688</v>
          </cell>
          <cell r="J128">
            <v>588</v>
          </cell>
        </row>
        <row r="130">
          <cell r="D130">
            <v>11907</v>
          </cell>
          <cell r="J130">
            <v>12</v>
          </cell>
        </row>
        <row r="132">
          <cell r="D132">
            <v>461546</v>
          </cell>
          <cell r="J132">
            <v>462</v>
          </cell>
        </row>
        <row r="134">
          <cell r="D134">
            <v>138049</v>
          </cell>
          <cell r="J134">
            <v>138</v>
          </cell>
        </row>
        <row r="135">
          <cell r="J135">
            <v>0</v>
          </cell>
        </row>
        <row r="138">
          <cell r="D138">
            <v>47736330</v>
          </cell>
          <cell r="J138">
            <v>47736</v>
          </cell>
        </row>
        <row r="140">
          <cell r="D140">
            <v>344826</v>
          </cell>
          <cell r="J140">
            <v>345</v>
          </cell>
        </row>
        <row r="142">
          <cell r="D142">
            <v>51585798</v>
          </cell>
          <cell r="J142">
            <v>51586</v>
          </cell>
        </row>
        <row r="143">
          <cell r="D143">
            <v>-3504642</v>
          </cell>
          <cell r="J143">
            <v>-3505</v>
          </cell>
        </row>
        <row r="144">
          <cell r="D144">
            <v>3504868</v>
          </cell>
          <cell r="J144">
            <v>3505</v>
          </cell>
        </row>
        <row r="147">
          <cell r="D147">
            <v>1331630</v>
          </cell>
          <cell r="J147">
            <v>1332</v>
          </cell>
        </row>
        <row r="148">
          <cell r="D148">
            <v>4825316</v>
          </cell>
          <cell r="J148">
            <v>4825</v>
          </cell>
        </row>
        <row r="150">
          <cell r="D150">
            <v>5249290</v>
          </cell>
          <cell r="J150">
            <v>5249</v>
          </cell>
        </row>
        <row r="151">
          <cell r="D151">
            <v>875688</v>
          </cell>
          <cell r="J151">
            <v>876</v>
          </cell>
        </row>
        <row r="152">
          <cell r="D152">
            <v>31968</v>
          </cell>
          <cell r="J152">
            <v>32</v>
          </cell>
        </row>
        <row r="153">
          <cell r="D153">
            <v>708946</v>
          </cell>
          <cell r="J153">
            <v>709</v>
          </cell>
        </row>
        <row r="157">
          <cell r="D157">
            <v>4476958</v>
          </cell>
          <cell r="J157">
            <v>4477</v>
          </cell>
        </row>
        <row r="158">
          <cell r="D158">
            <v>197053</v>
          </cell>
          <cell r="J158">
            <v>197</v>
          </cell>
        </row>
        <row r="159">
          <cell r="D159">
            <v>59606</v>
          </cell>
          <cell r="J159">
            <v>59</v>
          </cell>
        </row>
        <row r="161">
          <cell r="D161">
            <v>2234691</v>
          </cell>
          <cell r="J161">
            <v>2235</v>
          </cell>
        </row>
        <row r="162">
          <cell r="D162">
            <v>1639080</v>
          </cell>
          <cell r="J162">
            <v>1639</v>
          </cell>
        </row>
        <row r="164">
          <cell r="D164">
            <v>443708.9</v>
          </cell>
          <cell r="J164">
            <v>444</v>
          </cell>
        </row>
        <row r="165">
          <cell r="J165">
            <v>304</v>
          </cell>
        </row>
        <row r="166">
          <cell r="D166">
            <v>58812.61</v>
          </cell>
          <cell r="J166">
            <v>59</v>
          </cell>
        </row>
        <row r="167">
          <cell r="D167">
            <v>245444</v>
          </cell>
          <cell r="J167">
            <v>245</v>
          </cell>
        </row>
        <row r="171">
          <cell r="D171">
            <v>748172</v>
          </cell>
          <cell r="J171">
            <v>748</v>
          </cell>
        </row>
        <row r="172">
          <cell r="D172">
            <v>312743</v>
          </cell>
          <cell r="J172">
            <v>313</v>
          </cell>
        </row>
        <row r="173">
          <cell r="D173">
            <v>0</v>
          </cell>
          <cell r="J173">
            <v>0</v>
          </cell>
        </row>
        <row r="175">
          <cell r="D175">
            <v>1220000</v>
          </cell>
          <cell r="J175">
            <v>1220</v>
          </cell>
        </row>
        <row r="178">
          <cell r="D178">
            <v>53731</v>
          </cell>
          <cell r="J178">
            <v>54</v>
          </cell>
        </row>
        <row r="180">
          <cell r="D180">
            <v>106075</v>
          </cell>
          <cell r="J180">
            <v>106</v>
          </cell>
        </row>
        <row r="181">
          <cell r="D181">
            <v>9545</v>
          </cell>
          <cell r="J181">
            <v>10</v>
          </cell>
        </row>
        <row r="182">
          <cell r="D182">
            <v>-61889</v>
          </cell>
          <cell r="J182">
            <v>-62</v>
          </cell>
        </row>
        <row r="183">
          <cell r="D183">
            <v>34222</v>
          </cell>
          <cell r="J183">
            <v>34</v>
          </cell>
        </row>
      </sheetData>
      <sheetData sheetId="7">
        <row r="69">
          <cell r="D69">
            <v>15009</v>
          </cell>
        </row>
        <row r="70">
          <cell r="D70">
            <v>697006</v>
          </cell>
        </row>
        <row r="93">
          <cell r="D93">
            <v>1676152</v>
          </cell>
        </row>
        <row r="159">
          <cell r="D159">
            <v>78611</v>
          </cell>
        </row>
        <row r="177">
          <cell r="D177">
            <v>54442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ūnijs"/>
      <sheetName val="Jūlijs"/>
      <sheetName val="Augusts"/>
      <sheetName val="Sheet3"/>
    </sheetNames>
    <sheetDataSet>
      <sheetData sheetId="7">
        <row r="7">
          <cell r="C7">
            <v>339940987</v>
          </cell>
          <cell r="D7">
            <v>86774789</v>
          </cell>
          <cell r="E7">
            <v>4178420</v>
          </cell>
          <cell r="F7">
            <v>304897</v>
          </cell>
          <cell r="G7">
            <v>272528</v>
          </cell>
          <cell r="H7">
            <v>1935978</v>
          </cell>
          <cell r="J7">
            <v>40156023</v>
          </cell>
          <cell r="L7">
            <v>1568551</v>
          </cell>
          <cell r="M7">
            <v>324342</v>
          </cell>
          <cell r="O7">
            <v>1355050</v>
          </cell>
          <cell r="P7">
            <v>405416</v>
          </cell>
          <cell r="Q7">
            <v>126373</v>
          </cell>
          <cell r="R7">
            <v>1491500</v>
          </cell>
          <cell r="X7">
            <v>435445</v>
          </cell>
          <cell r="Y7">
            <v>25871</v>
          </cell>
        </row>
        <row r="8">
          <cell r="J8">
            <v>30831768</v>
          </cell>
        </row>
        <row r="10">
          <cell r="Z10">
            <v>804255</v>
          </cell>
        </row>
        <row r="11">
          <cell r="Z11">
            <v>224114</v>
          </cell>
        </row>
        <row r="12">
          <cell r="Z12">
            <v>14544387</v>
          </cell>
        </row>
        <row r="15">
          <cell r="J15">
            <v>1725801</v>
          </cell>
          <cell r="Q15">
            <v>2775</v>
          </cell>
          <cell r="Z15">
            <v>2477585</v>
          </cell>
        </row>
        <row r="17">
          <cell r="Z17">
            <v>2512315</v>
          </cell>
        </row>
        <row r="18">
          <cell r="Z18">
            <v>1421472</v>
          </cell>
        </row>
        <row r="20">
          <cell r="Z20">
            <v>1391532</v>
          </cell>
        </row>
        <row r="21">
          <cell r="Z21">
            <v>11507869</v>
          </cell>
        </row>
        <row r="23">
          <cell r="Z23">
            <v>98253408</v>
          </cell>
        </row>
        <row r="24">
          <cell r="C24">
            <v>800800</v>
          </cell>
        </row>
        <row r="29">
          <cell r="Z29">
            <v>36364</v>
          </cell>
        </row>
        <row r="30">
          <cell r="J30">
            <v>9324255</v>
          </cell>
        </row>
        <row r="31">
          <cell r="Z31">
            <v>6885208</v>
          </cell>
        </row>
        <row r="32">
          <cell r="Z32">
            <v>10491267</v>
          </cell>
        </row>
        <row r="34">
          <cell r="Z34">
            <v>2864277</v>
          </cell>
        </row>
        <row r="35">
          <cell r="Z35">
            <v>-30099</v>
          </cell>
        </row>
        <row r="39">
          <cell r="C39">
            <v>29188601</v>
          </cell>
        </row>
        <row r="43">
          <cell r="C43">
            <v>784330</v>
          </cell>
          <cell r="D43">
            <v>2013556</v>
          </cell>
          <cell r="H43">
            <v>625000</v>
          </cell>
          <cell r="J43">
            <v>5770487</v>
          </cell>
          <cell r="P43">
            <v>2864748</v>
          </cell>
          <cell r="Q43">
            <v>36704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ūnijs"/>
      <sheetName val="Jūlijs"/>
      <sheetName val="Augusts"/>
      <sheetName val="Sheet1"/>
    </sheetNames>
    <sheetDataSet>
      <sheetData sheetId="6">
        <row r="11">
          <cell r="D11">
            <v>389804756</v>
          </cell>
          <cell r="K11">
            <v>389805</v>
          </cell>
        </row>
        <row r="12">
          <cell r="D12">
            <v>1680184</v>
          </cell>
          <cell r="K12">
            <v>1680</v>
          </cell>
        </row>
        <row r="13">
          <cell r="D13">
            <v>521783</v>
          </cell>
          <cell r="K13">
            <v>522</v>
          </cell>
        </row>
        <row r="17">
          <cell r="D17">
            <v>696183</v>
          </cell>
          <cell r="K17">
            <v>696</v>
          </cell>
        </row>
        <row r="18">
          <cell r="D18">
            <v>192746</v>
          </cell>
          <cell r="K18">
            <v>193</v>
          </cell>
        </row>
        <row r="19">
          <cell r="D19">
            <v>13132300</v>
          </cell>
          <cell r="K19">
            <v>13132</v>
          </cell>
        </row>
        <row r="20">
          <cell r="D20">
            <v>1960953</v>
          </cell>
          <cell r="K20">
            <v>1961</v>
          </cell>
        </row>
        <row r="22">
          <cell r="D22">
            <v>2510509</v>
          </cell>
          <cell r="K22">
            <v>2511</v>
          </cell>
        </row>
        <row r="23">
          <cell r="D23">
            <v>773207</v>
          </cell>
          <cell r="K23">
            <v>773</v>
          </cell>
        </row>
        <row r="25">
          <cell r="D25">
            <v>1364446</v>
          </cell>
          <cell r="K25">
            <v>1364</v>
          </cell>
        </row>
        <row r="26">
          <cell r="D26">
            <v>10330521</v>
          </cell>
          <cell r="K26">
            <v>10331</v>
          </cell>
        </row>
        <row r="27">
          <cell r="K27">
            <v>0</v>
          </cell>
        </row>
        <row r="28">
          <cell r="D28">
            <v>84305614</v>
          </cell>
          <cell r="K28">
            <v>84306</v>
          </cell>
        </row>
        <row r="30">
          <cell r="D30">
            <v>263437222</v>
          </cell>
          <cell r="K30">
            <v>263437</v>
          </cell>
        </row>
        <row r="31">
          <cell r="D31">
            <v>24421303</v>
          </cell>
          <cell r="K31">
            <v>24421</v>
          </cell>
        </row>
        <row r="32">
          <cell r="D32">
            <v>363352</v>
          </cell>
          <cell r="K32">
            <v>363</v>
          </cell>
        </row>
        <row r="33">
          <cell r="D33">
            <v>244908</v>
          </cell>
          <cell r="K33">
            <v>245</v>
          </cell>
        </row>
        <row r="34">
          <cell r="D34">
            <v>36364</v>
          </cell>
          <cell r="K34">
            <v>36</v>
          </cell>
        </row>
        <row r="35">
          <cell r="D35">
            <v>700700</v>
          </cell>
          <cell r="K35">
            <v>701</v>
          </cell>
        </row>
        <row r="37">
          <cell r="D37">
            <v>6281632</v>
          </cell>
          <cell r="K37">
            <v>6282</v>
          </cell>
        </row>
        <row r="38">
          <cell r="D38">
            <v>9301159</v>
          </cell>
          <cell r="K38">
            <v>9301</v>
          </cell>
        </row>
        <row r="40">
          <cell r="D40">
            <v>2497550</v>
          </cell>
          <cell r="K40">
            <v>2498</v>
          </cell>
        </row>
        <row r="41">
          <cell r="D41">
            <v>26890</v>
          </cell>
          <cell r="K41">
            <v>27</v>
          </cell>
        </row>
        <row r="44">
          <cell r="D44">
            <v>37215360</v>
          </cell>
          <cell r="K44">
            <v>37215</v>
          </cell>
        </row>
        <row r="45">
          <cell r="D45">
            <v>-6698304</v>
          </cell>
          <cell r="K45">
            <v>-6698</v>
          </cell>
        </row>
      </sheetData>
      <sheetData sheetId="7">
        <row r="39">
          <cell r="D39">
            <v>2834178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ūnijs"/>
      <sheetName val="Jūlijs"/>
      <sheetName val="Augusts"/>
    </sheetNames>
    <sheetDataSet>
      <sheetData sheetId="6">
        <row r="10">
          <cell r="C10">
            <v>2269160</v>
          </cell>
          <cell r="H10">
            <v>2269</v>
          </cell>
        </row>
        <row r="11">
          <cell r="C11">
            <v>14350524</v>
          </cell>
        </row>
        <row r="15">
          <cell r="C15">
            <v>241871</v>
          </cell>
          <cell r="H15">
            <v>242</v>
          </cell>
        </row>
        <row r="16">
          <cell r="C16">
            <v>50845</v>
          </cell>
          <cell r="H16">
            <v>51</v>
          </cell>
        </row>
        <row r="18">
          <cell r="C18">
            <v>4620130</v>
          </cell>
        </row>
        <row r="19">
          <cell r="C19">
            <v>250107</v>
          </cell>
          <cell r="H19">
            <v>250</v>
          </cell>
        </row>
        <row r="20">
          <cell r="H20">
            <v>0</v>
          </cell>
        </row>
        <row r="22">
          <cell r="H22">
            <v>0</v>
          </cell>
        </row>
        <row r="23">
          <cell r="H23">
            <v>0</v>
          </cell>
        </row>
        <row r="25">
          <cell r="C25">
            <v>13604</v>
          </cell>
          <cell r="H25">
            <v>14</v>
          </cell>
        </row>
        <row r="26">
          <cell r="H26">
            <v>0</v>
          </cell>
        </row>
        <row r="27">
          <cell r="H27">
            <v>0</v>
          </cell>
        </row>
        <row r="28">
          <cell r="C28">
            <v>57586</v>
          </cell>
          <cell r="H28">
            <v>58</v>
          </cell>
        </row>
        <row r="29">
          <cell r="C29">
            <v>126956</v>
          </cell>
          <cell r="H29">
            <v>127</v>
          </cell>
        </row>
        <row r="31">
          <cell r="C31">
            <v>2728425</v>
          </cell>
        </row>
        <row r="32">
          <cell r="C32">
            <v>21413</v>
          </cell>
          <cell r="H32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32.57421875" style="2" customWidth="1"/>
    <col min="2" max="2" width="11.8515625" style="2" customWidth="1"/>
    <col min="3" max="4" width="12.57421875" style="2" customWidth="1"/>
    <col min="5" max="5" width="11.28125" style="2" customWidth="1"/>
  </cols>
  <sheetData>
    <row r="1" spans="1:5" ht="12.75">
      <c r="A1" s="757" t="s">
        <v>52</v>
      </c>
      <c r="B1" s="757"/>
      <c r="C1" s="757"/>
      <c r="D1" s="757"/>
      <c r="E1" s="757"/>
    </row>
    <row r="2" spans="1:5" ht="18.75" customHeight="1">
      <c r="A2" s="757"/>
      <c r="B2" s="757"/>
      <c r="C2" s="757"/>
      <c r="D2" s="757"/>
      <c r="E2" s="757"/>
    </row>
    <row r="3" spans="1:5" ht="12.75">
      <c r="A3" s="1"/>
      <c r="E3" s="3" t="s">
        <v>53</v>
      </c>
    </row>
    <row r="4" spans="1:5" ht="33.75">
      <c r="A4" s="4" t="s">
        <v>54</v>
      </c>
      <c r="B4" s="5" t="s">
        <v>55</v>
      </c>
      <c r="C4" s="5" t="s">
        <v>56</v>
      </c>
      <c r="D4" s="5" t="s">
        <v>57</v>
      </c>
      <c r="E4" s="5" t="s">
        <v>58</v>
      </c>
    </row>
    <row r="5" spans="1:5" ht="12.75">
      <c r="A5" s="6" t="s">
        <v>59</v>
      </c>
      <c r="B5" s="7">
        <v>865443</v>
      </c>
      <c r="C5" s="8">
        <v>289040</v>
      </c>
      <c r="D5" s="7">
        <f>B5+C5</f>
        <v>1154483</v>
      </c>
      <c r="E5" s="7">
        <f>D5-'[1]Julijs'!D5</f>
        <v>136614</v>
      </c>
    </row>
    <row r="6" spans="1:5" ht="22.5">
      <c r="A6" s="9" t="s">
        <v>60</v>
      </c>
      <c r="B6" s="10" t="s">
        <v>61</v>
      </c>
      <c r="C6" s="10" t="s">
        <v>61</v>
      </c>
      <c r="D6" s="11">
        <v>70728</v>
      </c>
      <c r="E6" s="11">
        <f>D6-'[1]Julijs'!D6</f>
        <v>5633</v>
      </c>
    </row>
    <row r="7" spans="1:5" ht="22.5">
      <c r="A7" s="9" t="s">
        <v>62</v>
      </c>
      <c r="B7" s="10" t="s">
        <v>61</v>
      </c>
      <c r="C7" s="10" t="s">
        <v>61</v>
      </c>
      <c r="D7" s="11">
        <v>11508</v>
      </c>
      <c r="E7" s="11">
        <f>D7-'[1]Julijs'!D7</f>
        <v>1177</v>
      </c>
    </row>
    <row r="8" spans="1:5" ht="12.75">
      <c r="A8" s="12" t="s">
        <v>63</v>
      </c>
      <c r="B8" s="13" t="s">
        <v>61</v>
      </c>
      <c r="C8" s="13" t="s">
        <v>61</v>
      </c>
      <c r="D8" s="7">
        <f>D5-D6-D7</f>
        <v>1072247</v>
      </c>
      <c r="E8" s="7">
        <f>D8-'[1]Julijs'!D8</f>
        <v>129804</v>
      </c>
    </row>
    <row r="9" spans="1:5" ht="12.75">
      <c r="A9" s="6" t="s">
        <v>64</v>
      </c>
      <c r="B9" s="7">
        <v>916867</v>
      </c>
      <c r="C9" s="8">
        <v>286320</v>
      </c>
      <c r="D9" s="7">
        <f>B9+C9</f>
        <v>1203187</v>
      </c>
      <c r="E9" s="7">
        <f>D9-'[1]Julijs'!D9</f>
        <v>141491</v>
      </c>
    </row>
    <row r="10" spans="1:5" ht="22.5">
      <c r="A10" s="9" t="s">
        <v>65</v>
      </c>
      <c r="B10" s="10" t="s">
        <v>61</v>
      </c>
      <c r="C10" s="10" t="s">
        <v>61</v>
      </c>
      <c r="D10" s="11">
        <v>70728</v>
      </c>
      <c r="E10" s="11">
        <f>D10-'[1]Julijs'!D10</f>
        <v>5633</v>
      </c>
    </row>
    <row r="11" spans="1:5" ht="22.5">
      <c r="A11" s="9" t="s">
        <v>66</v>
      </c>
      <c r="B11" s="10" t="s">
        <v>61</v>
      </c>
      <c r="C11" s="10" t="s">
        <v>61</v>
      </c>
      <c r="D11" s="11">
        <v>11508</v>
      </c>
      <c r="E11" s="11">
        <f>D11-'[1]Julijs'!D11</f>
        <v>1177</v>
      </c>
    </row>
    <row r="12" spans="1:5" ht="12.75">
      <c r="A12" s="12" t="s">
        <v>67</v>
      </c>
      <c r="B12" s="13" t="s">
        <v>61</v>
      </c>
      <c r="C12" s="13" t="s">
        <v>61</v>
      </c>
      <c r="D12" s="7">
        <f>D9-D10-D11</f>
        <v>1120951</v>
      </c>
      <c r="E12" s="7">
        <f>D12-'[1]Julijs'!D12</f>
        <v>134681</v>
      </c>
    </row>
    <row r="13" spans="1:5" ht="25.5">
      <c r="A13" s="12" t="s">
        <v>68</v>
      </c>
      <c r="B13" s="7">
        <f>B5-B9</f>
        <v>-51424</v>
      </c>
      <c r="C13" s="8">
        <f>C5-C9</f>
        <v>2720</v>
      </c>
      <c r="D13" s="7">
        <f>D8-D12</f>
        <v>-48704</v>
      </c>
      <c r="E13" s="7">
        <f>D13-'[1]Julijs'!D13</f>
        <v>-4877</v>
      </c>
    </row>
    <row r="14" spans="1:5" ht="12.75">
      <c r="A14" s="14" t="s">
        <v>69</v>
      </c>
      <c r="B14" s="8">
        <f>B15-B18</f>
        <v>2632</v>
      </c>
      <c r="C14" s="8">
        <f>C15-C18</f>
        <v>-1047</v>
      </c>
      <c r="D14" s="8">
        <f>D17-D20</f>
        <v>-530</v>
      </c>
      <c r="E14" s="8">
        <f>D14-'[1]Julijs'!D14</f>
        <v>-2961</v>
      </c>
    </row>
    <row r="15" spans="1:5" ht="12.75">
      <c r="A15" s="15" t="s">
        <v>70</v>
      </c>
      <c r="B15" s="16">
        <v>18309</v>
      </c>
      <c r="C15" s="17">
        <v>2979</v>
      </c>
      <c r="D15" s="16">
        <f>B15+C15</f>
        <v>21288</v>
      </c>
      <c r="E15" s="16">
        <f>D15-'[1]Julijs'!D15</f>
        <v>1920</v>
      </c>
    </row>
    <row r="16" spans="1:5" ht="22.5">
      <c r="A16" s="9" t="s">
        <v>71</v>
      </c>
      <c r="B16" s="10" t="s">
        <v>61</v>
      </c>
      <c r="C16" s="10" t="s">
        <v>61</v>
      </c>
      <c r="D16" s="11">
        <v>11358</v>
      </c>
      <c r="E16" s="11">
        <f>D16-'[1]Julijs'!D16</f>
        <v>748</v>
      </c>
    </row>
    <row r="17" spans="1:5" ht="12.75">
      <c r="A17" s="14" t="s">
        <v>72</v>
      </c>
      <c r="B17" s="13" t="s">
        <v>61</v>
      </c>
      <c r="C17" s="13" t="s">
        <v>61</v>
      </c>
      <c r="D17" s="7">
        <f>D15-D16</f>
        <v>9930</v>
      </c>
      <c r="E17" s="7">
        <f>D17-'[1]Julijs'!D17</f>
        <v>1172</v>
      </c>
    </row>
    <row r="18" spans="1:5" ht="12.75">
      <c r="A18" s="15" t="s">
        <v>73</v>
      </c>
      <c r="B18" s="16">
        <v>15677</v>
      </c>
      <c r="C18" s="17">
        <v>4026</v>
      </c>
      <c r="D18" s="16">
        <f>B18+C18</f>
        <v>19703</v>
      </c>
      <c r="E18" s="16">
        <f>D18-'[1]Julijs'!D18</f>
        <v>3973</v>
      </c>
    </row>
    <row r="19" spans="1:5" ht="22.5">
      <c r="A19" s="9" t="s">
        <v>74</v>
      </c>
      <c r="B19" s="18" t="s">
        <v>61</v>
      </c>
      <c r="C19" s="18" t="s">
        <v>61</v>
      </c>
      <c r="D19" s="11">
        <v>9243</v>
      </c>
      <c r="E19" s="11">
        <f>D19-'[1]Julijs'!D19</f>
        <v>-160</v>
      </c>
    </row>
    <row r="20" spans="1:5" ht="12.75">
      <c r="A20" s="14" t="s">
        <v>75</v>
      </c>
      <c r="B20" s="13" t="s">
        <v>61</v>
      </c>
      <c r="C20" s="13" t="s">
        <v>61</v>
      </c>
      <c r="D20" s="7">
        <f>D18-D19</f>
        <v>10460</v>
      </c>
      <c r="E20" s="7">
        <f>D20-'[1]Julijs'!D20</f>
        <v>4133</v>
      </c>
    </row>
    <row r="21" spans="1:5" ht="25.5">
      <c r="A21" s="12" t="s">
        <v>76</v>
      </c>
      <c r="B21" s="8">
        <f>B13-B14</f>
        <v>-54056</v>
      </c>
      <c r="C21" s="8">
        <f>C13-C14</f>
        <v>3767</v>
      </c>
      <c r="D21" s="7">
        <f>D13-D14</f>
        <v>-48174</v>
      </c>
      <c r="E21" s="7">
        <f>D21-'[1]Julijs'!D21</f>
        <v>-1916</v>
      </c>
    </row>
    <row r="22" spans="1:5" ht="12.75">
      <c r="A22" s="6" t="s">
        <v>77</v>
      </c>
      <c r="B22" s="7">
        <f>B23+B38</f>
        <v>54056</v>
      </c>
      <c r="C22" s="8">
        <f>C23+C38</f>
        <v>-3767</v>
      </c>
      <c r="D22" s="7">
        <f>D23+D38</f>
        <v>48174</v>
      </c>
      <c r="E22" s="7">
        <f>D22-'[1]Julijs'!D22</f>
        <v>1916</v>
      </c>
    </row>
    <row r="23" spans="1:5" ht="12.75">
      <c r="A23" s="6" t="s">
        <v>78</v>
      </c>
      <c r="B23" s="7">
        <f>B24+B29+B33+B37</f>
        <v>64485</v>
      </c>
      <c r="C23" s="8">
        <f>C24+C29+C33+C37</f>
        <v>-3767</v>
      </c>
      <c r="D23" s="8">
        <f>D24+D29+D33+D37</f>
        <v>58603</v>
      </c>
      <c r="E23" s="8">
        <f>D23-'[1]Julijs'!D23</f>
        <v>4129</v>
      </c>
    </row>
    <row r="24" spans="1:5" ht="12.75">
      <c r="A24" s="19" t="s">
        <v>79</v>
      </c>
      <c r="B24" s="20">
        <f>B25+B26</f>
        <v>0</v>
      </c>
      <c r="C24" s="20">
        <f>C25+C26</f>
        <v>2616</v>
      </c>
      <c r="D24" s="20">
        <f>D25+D28</f>
        <v>501</v>
      </c>
      <c r="E24" s="20">
        <v>331</v>
      </c>
    </row>
    <row r="25" spans="1:5" ht="22.5">
      <c r="A25" s="9" t="s">
        <v>80</v>
      </c>
      <c r="B25" s="11"/>
      <c r="C25" s="21">
        <v>501</v>
      </c>
      <c r="D25" s="11">
        <f>B25+C25</f>
        <v>501</v>
      </c>
      <c r="E25" s="11">
        <v>331</v>
      </c>
    </row>
    <row r="26" spans="1:5" ht="22.5">
      <c r="A26" s="9" t="s">
        <v>81</v>
      </c>
      <c r="B26" s="11"/>
      <c r="C26" s="21">
        <v>2115</v>
      </c>
      <c r="D26" s="11">
        <f>B26+C26</f>
        <v>2115</v>
      </c>
      <c r="E26" s="11">
        <f>D26-'[1]Julijs'!D26</f>
        <v>908</v>
      </c>
    </row>
    <row r="27" spans="1:5" ht="22.5">
      <c r="A27" s="22" t="s">
        <v>82</v>
      </c>
      <c r="B27" s="18" t="s">
        <v>61</v>
      </c>
      <c r="C27" s="18" t="s">
        <v>61</v>
      </c>
      <c r="D27" s="23">
        <v>-2115</v>
      </c>
      <c r="E27" s="23">
        <f>D27-'[1]Julijs'!D27</f>
        <v>-908</v>
      </c>
    </row>
    <row r="28" spans="1:5" ht="22.5">
      <c r="A28" s="9" t="s">
        <v>83</v>
      </c>
      <c r="B28" s="18" t="s">
        <v>61</v>
      </c>
      <c r="C28" s="18" t="s">
        <v>61</v>
      </c>
      <c r="D28" s="23"/>
      <c r="E28" s="23"/>
    </row>
    <row r="29" spans="1:5" ht="12.75">
      <c r="A29" s="24" t="s">
        <v>84</v>
      </c>
      <c r="B29" s="23">
        <f>SUM(B30:B32)</f>
        <v>47684</v>
      </c>
      <c r="C29" s="20">
        <f>SUM(C30:C32)</f>
        <v>0</v>
      </c>
      <c r="D29" s="23">
        <f aca="true" t="shared" si="0" ref="D29:D37">B29+C29</f>
        <v>47684</v>
      </c>
      <c r="E29" s="23">
        <f>D29-'[1]Julijs'!D29</f>
        <v>-10810</v>
      </c>
    </row>
    <row r="30" spans="1:5" ht="12.75">
      <c r="A30" s="9" t="s">
        <v>85</v>
      </c>
      <c r="B30" s="11">
        <v>-23015</v>
      </c>
      <c r="C30" s="21"/>
      <c r="D30" s="11">
        <f t="shared" si="0"/>
        <v>-23015</v>
      </c>
      <c r="E30" s="11">
        <f>D30-'[1]Julijs'!D30</f>
        <v>1492</v>
      </c>
    </row>
    <row r="31" spans="1:5" ht="22.5">
      <c r="A31" s="9" t="s">
        <v>86</v>
      </c>
      <c r="B31" s="11">
        <v>2554</v>
      </c>
      <c r="C31" s="21"/>
      <c r="D31" s="11">
        <f t="shared" si="0"/>
        <v>2554</v>
      </c>
      <c r="E31" s="11">
        <f>D31-'[1]Julijs'!D31</f>
        <v>-226</v>
      </c>
    </row>
    <row r="32" spans="1:5" ht="12.75">
      <c r="A32" s="9" t="s">
        <v>87</v>
      </c>
      <c r="B32" s="11">
        <v>68145</v>
      </c>
      <c r="C32" s="21"/>
      <c r="D32" s="11">
        <f t="shared" si="0"/>
        <v>68145</v>
      </c>
      <c r="E32" s="11">
        <f>D32-'[1]Julijs'!D32</f>
        <v>-12076</v>
      </c>
    </row>
    <row r="33" spans="1:5" ht="12.75">
      <c r="A33" s="25" t="s">
        <v>88</v>
      </c>
      <c r="B33" s="23">
        <f>SUM(B34:B36)</f>
        <v>-5160</v>
      </c>
      <c r="C33" s="21">
        <f>SUM(C34:C36)</f>
        <v>-15676</v>
      </c>
      <c r="D33" s="23">
        <f t="shared" si="0"/>
        <v>-20836</v>
      </c>
      <c r="E33" s="23">
        <f>D33-'[1]Julijs'!D33</f>
        <v>12777</v>
      </c>
    </row>
    <row r="34" spans="1:5" ht="12.75">
      <c r="A34" s="10" t="s">
        <v>89</v>
      </c>
      <c r="B34" s="11"/>
      <c r="C34" s="21">
        <v>-2275</v>
      </c>
      <c r="D34" s="11">
        <f t="shared" si="0"/>
        <v>-2275</v>
      </c>
      <c r="E34" s="11">
        <f>D34-'[1]Julijs'!D34</f>
        <v>2134</v>
      </c>
    </row>
    <row r="35" spans="1:5" ht="12.75">
      <c r="A35" s="10" t="s">
        <v>85</v>
      </c>
      <c r="B35" s="11">
        <v>-6350</v>
      </c>
      <c r="C35" s="21"/>
      <c r="D35" s="11">
        <f t="shared" si="0"/>
        <v>-6350</v>
      </c>
      <c r="E35" s="11">
        <f>D35-'[1]Julijs'!D35</f>
        <v>13751</v>
      </c>
    </row>
    <row r="36" spans="1:5" ht="22.5">
      <c r="A36" s="9" t="s">
        <v>86</v>
      </c>
      <c r="B36" s="11">
        <v>1190</v>
      </c>
      <c r="C36" s="21">
        <v>-13401</v>
      </c>
      <c r="D36" s="11">
        <f t="shared" si="0"/>
        <v>-12211</v>
      </c>
      <c r="E36" s="11">
        <f>D36-'[1]Julijs'!D36</f>
        <v>-3108</v>
      </c>
    </row>
    <row r="37" spans="1:5" ht="12.75">
      <c r="A37" s="25" t="s">
        <v>90</v>
      </c>
      <c r="B37" s="23">
        <f>-6142+28103</f>
        <v>21961</v>
      </c>
      <c r="C37" s="20">
        <v>9293</v>
      </c>
      <c r="D37" s="11">
        <f t="shared" si="0"/>
        <v>31254</v>
      </c>
      <c r="E37" s="11">
        <f>D37-'[1]Julijs'!D37</f>
        <v>3455</v>
      </c>
    </row>
    <row r="38" spans="1:5" ht="12.75">
      <c r="A38" s="26" t="s">
        <v>91</v>
      </c>
      <c r="B38" s="7">
        <v>-10429</v>
      </c>
      <c r="C38" s="8"/>
      <c r="D38" s="7">
        <f>B38+C38</f>
        <v>-10429</v>
      </c>
      <c r="E38" s="7">
        <f>D38-'[1]Julijs'!D38</f>
        <v>-2213</v>
      </c>
    </row>
    <row r="39" spans="1:5" ht="12.75">
      <c r="A39" s="27" t="s">
        <v>92</v>
      </c>
      <c r="B39" s="28"/>
      <c r="C39" s="29"/>
      <c r="D39" s="30"/>
      <c r="E39" s="31"/>
    </row>
    <row r="40" spans="1:5" ht="12.75">
      <c r="A40" s="27" t="s">
        <v>93</v>
      </c>
      <c r="B40" s="28"/>
      <c r="C40" s="29"/>
      <c r="D40" s="30"/>
      <c r="E40" s="31"/>
    </row>
    <row r="41" spans="1:5" ht="12.75">
      <c r="A41" s="32"/>
      <c r="B41" s="33"/>
      <c r="C41" s="29"/>
      <c r="D41" s="34"/>
      <c r="E41" s="35"/>
    </row>
    <row r="42" spans="1:5" ht="12.75">
      <c r="A42" s="758"/>
      <c r="B42" s="758"/>
      <c r="C42" s="758"/>
      <c r="D42" s="758"/>
      <c r="E42" s="31"/>
    </row>
    <row r="43" spans="1:5" ht="12.75">
      <c r="A43" s="37" t="s">
        <v>94</v>
      </c>
      <c r="B43" s="36"/>
      <c r="C43" s="36"/>
      <c r="D43" s="36"/>
      <c r="E43" s="38"/>
    </row>
    <row r="44" spans="1:5" ht="12.75">
      <c r="A44" s="36"/>
      <c r="B44" s="36"/>
      <c r="C44" s="36"/>
      <c r="D44" s="36"/>
      <c r="E44" s="31"/>
    </row>
    <row r="45" spans="1:5" ht="12.75">
      <c r="A45" s="39"/>
      <c r="B45" s="39"/>
      <c r="C45" s="40"/>
      <c r="D45" s="41"/>
      <c r="E45" s="42"/>
    </row>
    <row r="46" spans="1:5" ht="12.75">
      <c r="A46" s="39" t="s">
        <v>95</v>
      </c>
      <c r="B46" s="28"/>
      <c r="C46" s="29"/>
      <c r="D46" s="30"/>
      <c r="E46" s="31"/>
    </row>
    <row r="47" spans="1:5" ht="12.75">
      <c r="A47" s="39" t="s">
        <v>96</v>
      </c>
      <c r="B47" s="28"/>
      <c r="C47" s="29"/>
      <c r="D47" s="30"/>
      <c r="E47" s="31"/>
    </row>
  </sheetData>
  <mergeCells count="2">
    <mergeCell ref="A1:E2"/>
    <mergeCell ref="A42:D42"/>
  </mergeCells>
  <printOptions/>
  <pageMargins left="1.21" right="0.75" top="0.74" bottom="0.3" header="0.5" footer="0.16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109"/>
  <sheetViews>
    <sheetView workbookViewId="0" topLeftCell="G1">
      <selection activeCell="A7" sqref="A7"/>
    </sheetView>
  </sheetViews>
  <sheetFormatPr defaultColWidth="9.140625" defaultRowHeight="12.75"/>
  <cols>
    <col min="1" max="1" width="34.7109375" style="75" hidden="1" customWidth="1"/>
    <col min="2" max="2" width="7.421875" style="75" hidden="1" customWidth="1"/>
    <col min="3" max="3" width="12.00390625" style="75" hidden="1" customWidth="1"/>
    <col min="4" max="4" width="13.421875" style="222" hidden="1" customWidth="1"/>
    <col min="5" max="5" width="7.8515625" style="75" hidden="1" customWidth="1"/>
    <col min="6" max="6" width="11.28125" style="222" hidden="1" customWidth="1"/>
    <col min="7" max="7" width="36.421875" style="75" customWidth="1"/>
    <col min="8" max="8" width="8.57421875" style="75" customWidth="1"/>
    <col min="9" max="9" width="13.140625" style="75" customWidth="1"/>
    <col min="10" max="10" width="11.00390625" style="75" customWidth="1"/>
    <col min="11" max="11" width="10.8515625" style="75" customWidth="1"/>
    <col min="12" max="12" width="10.7109375" style="75" customWidth="1"/>
    <col min="13" max="16384" width="7.8515625" style="75" customWidth="1"/>
  </cols>
  <sheetData>
    <row r="2" spans="1:12" ht="12.75">
      <c r="A2" s="75" t="s">
        <v>512</v>
      </c>
      <c r="F2" s="447" t="s">
        <v>513</v>
      </c>
      <c r="G2" s="75" t="s">
        <v>514</v>
      </c>
      <c r="L2" s="448" t="s">
        <v>513</v>
      </c>
    </row>
    <row r="4" spans="1:12" ht="15.75">
      <c r="A4" s="210" t="s">
        <v>515</v>
      </c>
      <c r="G4" s="765" t="s">
        <v>516</v>
      </c>
      <c r="H4" s="765"/>
      <c r="I4" s="765"/>
      <c r="J4" s="765"/>
      <c r="K4" s="765"/>
      <c r="L4" s="765"/>
    </row>
    <row r="5" spans="1:12" ht="15.75">
      <c r="A5" s="210" t="s">
        <v>517</v>
      </c>
      <c r="G5" s="449" t="s">
        <v>517</v>
      </c>
      <c r="H5" s="449"/>
      <c r="I5" s="449"/>
      <c r="J5" s="449"/>
      <c r="K5" s="449"/>
      <c r="L5" s="449"/>
    </row>
    <row r="7" spans="6:12" ht="12.75">
      <c r="F7" s="435"/>
      <c r="L7" s="84"/>
    </row>
    <row r="8" spans="6:12" ht="12.75">
      <c r="F8" s="447" t="s">
        <v>227</v>
      </c>
      <c r="L8" s="448" t="s">
        <v>101</v>
      </c>
    </row>
    <row r="9" spans="1:12" ht="60" customHeight="1">
      <c r="A9" s="92" t="s">
        <v>54</v>
      </c>
      <c r="B9" s="87" t="s">
        <v>492</v>
      </c>
      <c r="C9" s="87" t="s">
        <v>102</v>
      </c>
      <c r="D9" s="295" t="s">
        <v>103</v>
      </c>
      <c r="E9" s="87" t="s">
        <v>493</v>
      </c>
      <c r="F9" s="295" t="s">
        <v>518</v>
      </c>
      <c r="G9" s="92" t="s">
        <v>54</v>
      </c>
      <c r="H9" s="87" t="s">
        <v>492</v>
      </c>
      <c r="I9" s="87" t="s">
        <v>102</v>
      </c>
      <c r="J9" s="87" t="s">
        <v>103</v>
      </c>
      <c r="K9" s="87" t="s">
        <v>493</v>
      </c>
      <c r="L9" s="87" t="s">
        <v>518</v>
      </c>
    </row>
    <row r="10" spans="1:12" ht="12" customHeight="1">
      <c r="A10" s="92">
        <v>1</v>
      </c>
      <c r="B10" s="92">
        <v>2</v>
      </c>
      <c r="C10" s="87">
        <v>3</v>
      </c>
      <c r="D10" s="295">
        <v>4</v>
      </c>
      <c r="E10" s="87">
        <v>5</v>
      </c>
      <c r="F10" s="296">
        <v>6</v>
      </c>
      <c r="G10" s="92">
        <v>1</v>
      </c>
      <c r="H10" s="92">
        <v>2</v>
      </c>
      <c r="I10" s="87">
        <v>3</v>
      </c>
      <c r="J10" s="87">
        <v>4</v>
      </c>
      <c r="K10" s="87">
        <v>5</v>
      </c>
      <c r="L10" s="93">
        <v>6</v>
      </c>
    </row>
    <row r="11" spans="1:12" ht="18" customHeight="1">
      <c r="A11" s="106" t="s">
        <v>353</v>
      </c>
      <c r="B11" s="173"/>
      <c r="C11" s="182">
        <v>750186398</v>
      </c>
      <c r="D11" s="450">
        <f>SUM(D12:D25)-1</f>
        <v>482130347</v>
      </c>
      <c r="E11" s="451">
        <f>IF(ISERROR(D11/C11)," ",(D11/C11))</f>
        <v>0.6426807367946973</v>
      </c>
      <c r="F11" s="450">
        <f>SUM(F12:F25)</f>
        <v>9891778</v>
      </c>
      <c r="G11" s="106" t="s">
        <v>353</v>
      </c>
      <c r="H11" s="173"/>
      <c r="I11" s="252">
        <v>750186</v>
      </c>
      <c r="J11" s="252">
        <f>SUM(J12:J25)</f>
        <v>482130</v>
      </c>
      <c r="K11" s="452">
        <f>IF(ISERROR(J11/I11)," ",(J11/I11))*100</f>
        <v>64.26806152074286</v>
      </c>
      <c r="L11" s="252">
        <f>SUM(L12:L25)</f>
        <v>9892</v>
      </c>
    </row>
    <row r="12" spans="1:12" ht="18" customHeight="1">
      <c r="A12" s="228" t="s">
        <v>494</v>
      </c>
      <c r="B12" s="442">
        <v>1</v>
      </c>
      <c r="C12" s="185">
        <v>200829</v>
      </c>
      <c r="D12" s="278">
        <f>'[7]Augusts'!$Q$7</f>
        <v>126373</v>
      </c>
      <c r="E12" s="451">
        <f aca="true" t="shared" si="0" ref="E12:E24">IF(ISERROR(D12/C12)," ",(D12/C12))</f>
        <v>0.6292567308506242</v>
      </c>
      <c r="F12" s="222">
        <v>414572</v>
      </c>
      <c r="G12" s="228" t="s">
        <v>494</v>
      </c>
      <c r="H12" s="442">
        <v>1</v>
      </c>
      <c r="I12" s="251">
        <v>201</v>
      </c>
      <c r="J12" s="251">
        <f>ROUND(D12/1000,0)</f>
        <v>126</v>
      </c>
      <c r="K12" s="452">
        <f aca="true" t="shared" si="1" ref="K12:K24">IF(ISERROR(J12/I12)," ",(J12/I12))*100</f>
        <v>62.68656716417911</v>
      </c>
      <c r="L12" s="251">
        <f>ROUND(F12/1000,0)</f>
        <v>415</v>
      </c>
    </row>
    <row r="13" spans="1:12" ht="18.75" customHeight="1">
      <c r="A13" s="54" t="s">
        <v>495</v>
      </c>
      <c r="B13" s="442">
        <v>2</v>
      </c>
      <c r="C13" s="185"/>
      <c r="D13" s="278"/>
      <c r="E13" s="451" t="str">
        <f t="shared" si="0"/>
        <v> </v>
      </c>
      <c r="F13" s="222">
        <v>70342</v>
      </c>
      <c r="G13" s="54" t="s">
        <v>495</v>
      </c>
      <c r="H13" s="442">
        <v>2</v>
      </c>
      <c r="I13" s="251">
        <v>0</v>
      </c>
      <c r="J13" s="251">
        <f aca="true" t="shared" si="2" ref="J13:J25">ROUND(D13/1000,0)</f>
        <v>0</v>
      </c>
      <c r="K13" s="452"/>
      <c r="L13" s="251">
        <f>ROUND(F13/1000,0)</f>
        <v>70</v>
      </c>
    </row>
    <row r="14" spans="1:12" ht="17.25" customHeight="1">
      <c r="A14" s="54" t="s">
        <v>496</v>
      </c>
      <c r="B14" s="442">
        <v>3</v>
      </c>
      <c r="C14" s="185"/>
      <c r="D14" s="278"/>
      <c r="E14" s="451" t="str">
        <f t="shared" si="0"/>
        <v> </v>
      </c>
      <c r="F14" s="222">
        <f>180079+20658+195014</f>
        <v>395751</v>
      </c>
      <c r="G14" s="54" t="s">
        <v>496</v>
      </c>
      <c r="H14" s="442">
        <v>3</v>
      </c>
      <c r="I14" s="251">
        <v>0</v>
      </c>
      <c r="J14" s="251">
        <f t="shared" si="2"/>
        <v>0</v>
      </c>
      <c r="K14" s="452"/>
      <c r="L14" s="251">
        <f>ROUND(F14/1000,0)</f>
        <v>396</v>
      </c>
    </row>
    <row r="15" spans="1:12" ht="16.5" customHeight="1">
      <c r="A15" s="54" t="s">
        <v>519</v>
      </c>
      <c r="B15" s="442">
        <v>4</v>
      </c>
      <c r="C15" s="185">
        <v>7937629</v>
      </c>
      <c r="D15" s="278">
        <f>'[7]Augusts'!$P$7+'[8]Augusts'!$D$39</f>
        <v>3239594</v>
      </c>
      <c r="E15" s="451">
        <f t="shared" si="0"/>
        <v>0.40813119383634583</v>
      </c>
      <c r="F15" s="222">
        <f>83661+914228</f>
        <v>997889</v>
      </c>
      <c r="G15" s="54" t="s">
        <v>520</v>
      </c>
      <c r="H15" s="442">
        <v>4</v>
      </c>
      <c r="I15" s="251">
        <v>7938</v>
      </c>
      <c r="J15" s="251">
        <f>ROUND(D15/1000,0)</f>
        <v>3240</v>
      </c>
      <c r="K15" s="452">
        <f t="shared" si="1"/>
        <v>40.816326530612244</v>
      </c>
      <c r="L15" s="251">
        <f>ROUND(F15/1000,0)</f>
        <v>998</v>
      </c>
    </row>
    <row r="16" spans="1:12" ht="18.75" customHeight="1">
      <c r="A16" s="54" t="s">
        <v>498</v>
      </c>
      <c r="B16" s="442">
        <v>5</v>
      </c>
      <c r="C16" s="185">
        <v>135680628</v>
      </c>
      <c r="D16" s="278">
        <f>'[7]Augusts'!$D$7</f>
        <v>86774789</v>
      </c>
      <c r="E16" s="451">
        <f t="shared" si="0"/>
        <v>0.6395517936429362</v>
      </c>
      <c r="F16" s="222">
        <v>906619</v>
      </c>
      <c r="G16" s="54" t="s">
        <v>498</v>
      </c>
      <c r="H16" s="442">
        <v>5</v>
      </c>
      <c r="I16" s="251">
        <v>135681</v>
      </c>
      <c r="J16" s="251">
        <f>ROUND(D16/1000,0)</f>
        <v>86775</v>
      </c>
      <c r="K16" s="452">
        <f t="shared" si="1"/>
        <v>63.95515952860017</v>
      </c>
      <c r="L16" s="251">
        <f aca="true" t="shared" si="3" ref="L16:L22">ROUND(F16/1000,0)</f>
        <v>907</v>
      </c>
    </row>
    <row r="17" spans="1:12" ht="18" customHeight="1">
      <c r="A17" s="54" t="s">
        <v>499</v>
      </c>
      <c r="B17" s="442">
        <v>6</v>
      </c>
      <c r="C17" s="185">
        <v>516531015</v>
      </c>
      <c r="D17" s="278">
        <f>'[7]Augusts'!$C$7</f>
        <v>339940987</v>
      </c>
      <c r="E17" s="451">
        <f t="shared" si="0"/>
        <v>0.6581230886977812</v>
      </c>
      <c r="F17" s="222">
        <v>16011</v>
      </c>
      <c r="G17" s="54" t="s">
        <v>499</v>
      </c>
      <c r="H17" s="442">
        <v>6</v>
      </c>
      <c r="I17" s="251">
        <v>516531</v>
      </c>
      <c r="J17" s="251">
        <f t="shared" si="2"/>
        <v>339941</v>
      </c>
      <c r="K17" s="452">
        <f t="shared" si="1"/>
        <v>65.8123132977498</v>
      </c>
      <c r="L17" s="251">
        <f>ROUND(F17/1000,0)</f>
        <v>16</v>
      </c>
    </row>
    <row r="18" spans="1:12" ht="24" customHeight="1">
      <c r="A18" s="62" t="s">
        <v>500</v>
      </c>
      <c r="B18" s="442">
        <v>7</v>
      </c>
      <c r="C18" s="185">
        <v>8600980</v>
      </c>
      <c r="D18" s="278">
        <f>'[7]Augusts'!$E$7+'[7]Augusts'!$F$7</f>
        <v>4483317</v>
      </c>
      <c r="E18" s="451">
        <f t="shared" si="0"/>
        <v>0.5212565312324875</v>
      </c>
      <c r="F18" s="222">
        <f>2613902+79558</f>
        <v>2693460</v>
      </c>
      <c r="G18" s="62" t="s">
        <v>500</v>
      </c>
      <c r="H18" s="442">
        <v>7</v>
      </c>
      <c r="I18" s="251">
        <v>8601</v>
      </c>
      <c r="J18" s="251">
        <f>ROUND(D18/1000,0)</f>
        <v>4483</v>
      </c>
      <c r="K18" s="452">
        <f t="shared" si="1"/>
        <v>52.12184629694222</v>
      </c>
      <c r="L18" s="251">
        <f>ROUND(F18/1000,0)</f>
        <v>2693</v>
      </c>
    </row>
    <row r="19" spans="1:12" ht="15.75" customHeight="1">
      <c r="A19" s="54" t="s">
        <v>501</v>
      </c>
      <c r="B19" s="442">
        <v>8</v>
      </c>
      <c r="C19" s="185">
        <v>4140265</v>
      </c>
      <c r="D19" s="278">
        <f>'[7]Augusts'!$R$7+'[7]Augusts'!$O$7</f>
        <v>2846550</v>
      </c>
      <c r="E19" s="451">
        <f t="shared" si="0"/>
        <v>0.6875284553041895</v>
      </c>
      <c r="F19" s="222">
        <v>470510</v>
      </c>
      <c r="G19" s="54" t="s">
        <v>501</v>
      </c>
      <c r="H19" s="442">
        <v>8</v>
      </c>
      <c r="I19" s="251">
        <v>4140</v>
      </c>
      <c r="J19" s="251">
        <f>ROUND(D19/1000,0)-1</f>
        <v>2846</v>
      </c>
      <c r="K19" s="452">
        <f t="shared" si="1"/>
        <v>68.743961352657</v>
      </c>
      <c r="L19" s="251">
        <f t="shared" si="3"/>
        <v>471</v>
      </c>
    </row>
    <row r="20" spans="1:12" ht="20.25" customHeight="1">
      <c r="A20" s="54" t="s">
        <v>502</v>
      </c>
      <c r="B20" s="442">
        <v>9</v>
      </c>
      <c r="C20" s="185"/>
      <c r="D20" s="278"/>
      <c r="E20" s="451" t="str">
        <f t="shared" si="0"/>
        <v> </v>
      </c>
      <c r="G20" s="54" t="s">
        <v>502</v>
      </c>
      <c r="H20" s="442">
        <v>9</v>
      </c>
      <c r="I20" s="251">
        <v>0</v>
      </c>
      <c r="J20" s="251">
        <f t="shared" si="2"/>
        <v>0</v>
      </c>
      <c r="K20" s="452"/>
      <c r="L20" s="251">
        <f t="shared" si="3"/>
        <v>0</v>
      </c>
    </row>
    <row r="21" spans="1:12" ht="24.75" customHeight="1">
      <c r="A21" s="62" t="s">
        <v>503</v>
      </c>
      <c r="B21" s="442">
        <v>10</v>
      </c>
      <c r="C21" s="185">
        <v>500000</v>
      </c>
      <c r="D21" s="278">
        <f>'[7]Augusts'!$M$7</f>
        <v>324342</v>
      </c>
      <c r="E21" s="451">
        <f t="shared" si="0"/>
        <v>0.648684</v>
      </c>
      <c r="F21" s="222">
        <f>20688+84707</f>
        <v>105395</v>
      </c>
      <c r="G21" s="62" t="s">
        <v>503</v>
      </c>
      <c r="H21" s="442">
        <v>10</v>
      </c>
      <c r="I21" s="251">
        <v>499</v>
      </c>
      <c r="J21" s="251">
        <f t="shared" si="2"/>
        <v>324</v>
      </c>
      <c r="K21" s="452">
        <f t="shared" si="1"/>
        <v>64.92985971943888</v>
      </c>
      <c r="L21" s="251">
        <f t="shared" si="3"/>
        <v>105</v>
      </c>
    </row>
    <row r="22" spans="1:12" ht="27.75" customHeight="1">
      <c r="A22" s="62" t="s">
        <v>504</v>
      </c>
      <c r="B22" s="442">
        <v>11</v>
      </c>
      <c r="C22" s="185"/>
      <c r="D22" s="278"/>
      <c r="E22" s="451" t="str">
        <f t="shared" si="0"/>
        <v> </v>
      </c>
      <c r="G22" s="62" t="s">
        <v>504</v>
      </c>
      <c r="H22" s="442">
        <v>11</v>
      </c>
      <c r="I22" s="251">
        <v>0</v>
      </c>
      <c r="J22" s="251">
        <f t="shared" si="2"/>
        <v>0</v>
      </c>
      <c r="K22" s="452"/>
      <c r="L22" s="251">
        <f t="shared" si="3"/>
        <v>0</v>
      </c>
    </row>
    <row r="23" spans="1:12" ht="18" customHeight="1">
      <c r="A23" s="54" t="s">
        <v>505</v>
      </c>
      <c r="B23" s="442">
        <v>12</v>
      </c>
      <c r="C23" s="185">
        <v>73121252</v>
      </c>
      <c r="D23" s="278">
        <f>'[7]Augusts'!$G$7+'[7]Augusts'!$H$7+'[7]Augusts'!$J$7</f>
        <v>42364529</v>
      </c>
      <c r="E23" s="451">
        <f t="shared" si="0"/>
        <v>0.5793736819495378</v>
      </c>
      <c r="F23" s="222">
        <f>2105226+31000</f>
        <v>2136226</v>
      </c>
      <c r="G23" s="54" t="s">
        <v>505</v>
      </c>
      <c r="H23" s="442">
        <v>12</v>
      </c>
      <c r="I23" s="251">
        <v>73121</v>
      </c>
      <c r="J23" s="251">
        <f>ROUND(D23/1000,0)</f>
        <v>42365</v>
      </c>
      <c r="K23" s="452">
        <f t="shared" si="1"/>
        <v>57.93821200475924</v>
      </c>
      <c r="L23" s="251">
        <f>ROUND(F23/1000,0)</f>
        <v>2136</v>
      </c>
    </row>
    <row r="24" spans="1:12" ht="18.75" customHeight="1">
      <c r="A24" s="54" t="s">
        <v>506</v>
      </c>
      <c r="B24" s="442">
        <v>13</v>
      </c>
      <c r="C24" s="185">
        <v>3473800</v>
      </c>
      <c r="D24" s="278">
        <f>'[7]Augusts'!$X$7+'[7]Augusts'!$Y$7+'[7]Augusts'!$L$7</f>
        <v>2029867</v>
      </c>
      <c r="E24" s="451">
        <f t="shared" si="0"/>
        <v>0.5843361736426967</v>
      </c>
      <c r="F24" s="222">
        <f>389425+350840+69983+813019+61736</f>
        <v>1685003</v>
      </c>
      <c r="G24" s="54" t="s">
        <v>506</v>
      </c>
      <c r="H24" s="442">
        <v>13</v>
      </c>
      <c r="I24" s="251">
        <v>3474</v>
      </c>
      <c r="J24" s="251">
        <f t="shared" si="2"/>
        <v>2030</v>
      </c>
      <c r="K24" s="452">
        <f t="shared" si="1"/>
        <v>58.43408175014393</v>
      </c>
      <c r="L24" s="251">
        <f>ROUND(F24/1000,0)</f>
        <v>1685</v>
      </c>
    </row>
    <row r="25" spans="1:12" ht="24" customHeight="1">
      <c r="A25" s="62" t="s">
        <v>521</v>
      </c>
      <c r="B25" s="442">
        <v>14</v>
      </c>
      <c r="C25" s="185"/>
      <c r="D25" s="278"/>
      <c r="E25" s="453" t="s">
        <v>522</v>
      </c>
      <c r="G25" s="62" t="s">
        <v>521</v>
      </c>
      <c r="H25" s="442">
        <v>14</v>
      </c>
      <c r="I25" s="251">
        <v>0</v>
      </c>
      <c r="J25" s="251">
        <f t="shared" si="2"/>
        <v>0</v>
      </c>
      <c r="K25" s="384" t="s">
        <v>522</v>
      </c>
      <c r="L25" s="251">
        <f>ROUND(F25/1000,0)</f>
        <v>0</v>
      </c>
    </row>
    <row r="26" spans="2:11" ht="12.75">
      <c r="B26" s="84"/>
      <c r="C26" s="198"/>
      <c r="E26" s="454"/>
      <c r="H26" s="84"/>
      <c r="I26" s="198"/>
      <c r="J26" s="198"/>
      <c r="K26" s="454"/>
    </row>
    <row r="27" spans="1:11" ht="12.75">
      <c r="A27" s="75" t="s">
        <v>523</v>
      </c>
      <c r="B27" s="84"/>
      <c r="C27" s="198"/>
      <c r="E27" s="454"/>
      <c r="G27" s="75" t="s">
        <v>523</v>
      </c>
      <c r="H27" s="84"/>
      <c r="I27" s="198"/>
      <c r="J27" s="198"/>
      <c r="K27" s="454"/>
    </row>
    <row r="28" spans="2:11" ht="12.75">
      <c r="B28" s="84"/>
      <c r="C28" s="198"/>
      <c r="E28" s="454"/>
      <c r="H28" s="84"/>
      <c r="I28" s="198"/>
      <c r="J28" s="198"/>
      <c r="K28" s="454"/>
    </row>
    <row r="29" spans="2:11" ht="12.75">
      <c r="B29" s="84"/>
      <c r="C29" s="198"/>
      <c r="E29" s="454"/>
      <c r="H29" s="84"/>
      <c r="I29" s="198"/>
      <c r="J29" s="198"/>
      <c r="K29" s="454"/>
    </row>
    <row r="30" spans="2:11" ht="12.75">
      <c r="B30" s="84"/>
      <c r="C30" s="198"/>
      <c r="E30" s="454"/>
      <c r="H30" s="84"/>
      <c r="I30" s="198"/>
      <c r="J30" s="198"/>
      <c r="K30" s="454"/>
    </row>
    <row r="31" spans="2:11" ht="12.75">
      <c r="B31" s="84"/>
      <c r="C31" s="198"/>
      <c r="E31" s="454"/>
      <c r="H31" s="84"/>
      <c r="I31" s="198"/>
      <c r="J31" s="198"/>
      <c r="K31" s="454"/>
    </row>
    <row r="32" spans="2:11" ht="12.75">
      <c r="B32" s="84"/>
      <c r="C32" s="198"/>
      <c r="E32" s="454"/>
      <c r="J32" s="198"/>
      <c r="K32" s="454"/>
    </row>
    <row r="33" spans="2:11" ht="12.75">
      <c r="B33" s="84"/>
      <c r="C33" s="198"/>
      <c r="E33" s="454"/>
      <c r="H33" s="84"/>
      <c r="I33" s="198"/>
      <c r="J33" s="198"/>
      <c r="K33" s="454"/>
    </row>
    <row r="34" spans="1:11" ht="15.75" customHeight="1">
      <c r="A34" s="75" t="s">
        <v>524</v>
      </c>
      <c r="B34" s="84"/>
      <c r="C34" s="198" t="s">
        <v>511</v>
      </c>
      <c r="E34" s="454"/>
      <c r="H34" s="84"/>
      <c r="I34" s="198"/>
      <c r="J34" s="198"/>
      <c r="K34" s="454"/>
    </row>
    <row r="35" spans="2:11" ht="12.75">
      <c r="B35" s="84"/>
      <c r="C35" s="198"/>
      <c r="E35" s="454"/>
      <c r="H35" s="84"/>
      <c r="I35" s="198"/>
      <c r="J35" s="198"/>
      <c r="K35" s="454"/>
    </row>
    <row r="36" spans="3:11" ht="15.75" customHeight="1">
      <c r="C36" s="198"/>
      <c r="E36" s="454"/>
      <c r="I36" s="198"/>
      <c r="J36" s="198"/>
      <c r="K36" s="454"/>
    </row>
    <row r="37" spans="3:12" ht="12.75">
      <c r="C37" s="198"/>
      <c r="E37" s="454"/>
      <c r="G37" s="75" t="s">
        <v>525</v>
      </c>
      <c r="H37" s="84"/>
      <c r="J37" s="198"/>
      <c r="L37" s="198" t="s">
        <v>511</v>
      </c>
    </row>
    <row r="38" spans="3:11" ht="12.75">
      <c r="C38" s="198"/>
      <c r="E38" s="454"/>
      <c r="I38" s="198"/>
      <c r="J38" s="198"/>
      <c r="K38" s="454"/>
    </row>
    <row r="39" spans="3:11" ht="12.75">
      <c r="C39" s="198"/>
      <c r="E39" s="454"/>
      <c r="I39" s="198"/>
      <c r="J39" s="198"/>
      <c r="K39" s="454"/>
    </row>
    <row r="40" spans="3:11" ht="12.75">
      <c r="C40" s="198"/>
      <c r="E40" s="454"/>
      <c r="I40" s="198"/>
      <c r="J40" s="198"/>
      <c r="K40" s="454"/>
    </row>
    <row r="41" spans="3:11" ht="12.75">
      <c r="C41" s="198"/>
      <c r="E41" s="454"/>
      <c r="I41" s="198"/>
      <c r="J41" s="198"/>
      <c r="K41" s="454"/>
    </row>
    <row r="42" spans="3:11" ht="12.75">
      <c r="C42" s="198"/>
      <c r="E42" s="454"/>
      <c r="I42" s="198"/>
      <c r="J42" s="198"/>
      <c r="K42" s="454"/>
    </row>
    <row r="43" spans="3:11" ht="12.75">
      <c r="C43" s="198"/>
      <c r="E43" s="454"/>
      <c r="I43" s="198"/>
      <c r="J43" s="198"/>
      <c r="K43" s="454"/>
    </row>
    <row r="44" spans="3:11" ht="12.75">
      <c r="C44" s="198"/>
      <c r="E44" s="454"/>
      <c r="I44" s="198"/>
      <c r="J44" s="198"/>
      <c r="K44" s="454"/>
    </row>
    <row r="45" spans="1:11" ht="12.75">
      <c r="A45" s="43"/>
      <c r="C45" s="198"/>
      <c r="E45" s="454"/>
      <c r="I45" s="198"/>
      <c r="J45" s="198"/>
      <c r="K45" s="454"/>
    </row>
    <row r="46" spans="1:11" ht="12.75">
      <c r="A46" s="43"/>
      <c r="C46" s="198"/>
      <c r="E46" s="454"/>
      <c r="I46" s="198"/>
      <c r="J46" s="198"/>
      <c r="K46" s="454"/>
    </row>
    <row r="47" spans="3:11" ht="12.75">
      <c r="C47" s="198"/>
      <c r="E47" s="454"/>
      <c r="I47" s="198"/>
      <c r="J47" s="198"/>
      <c r="K47" s="454"/>
    </row>
    <row r="48" spans="3:11" ht="12.75">
      <c r="C48" s="198"/>
      <c r="E48" s="454"/>
      <c r="G48" s="43"/>
      <c r="I48" s="198"/>
      <c r="J48" s="198"/>
      <c r="K48" s="454"/>
    </row>
    <row r="49" spans="3:11" ht="12.75">
      <c r="C49" s="198"/>
      <c r="E49" s="454"/>
      <c r="G49" s="43"/>
      <c r="I49" s="198"/>
      <c r="J49" s="198"/>
      <c r="K49" s="454"/>
    </row>
    <row r="50" spans="3:11" ht="12.75">
      <c r="C50" s="198"/>
      <c r="E50" s="454"/>
      <c r="I50" s="198"/>
      <c r="J50" s="198"/>
      <c r="K50" s="454"/>
    </row>
    <row r="51" spans="3:11" ht="12.75">
      <c r="C51" s="198"/>
      <c r="E51" s="454"/>
      <c r="I51" s="198"/>
      <c r="J51" s="198"/>
      <c r="K51" s="454"/>
    </row>
    <row r="52" spans="3:11" ht="12.75">
      <c r="C52" s="198"/>
      <c r="E52" s="454"/>
      <c r="I52" s="198"/>
      <c r="J52" s="198"/>
      <c r="K52" s="454"/>
    </row>
    <row r="53" spans="3:11" ht="12.75">
      <c r="C53" s="198"/>
      <c r="E53" s="454"/>
      <c r="I53" s="198"/>
      <c r="J53" s="198"/>
      <c r="K53" s="454"/>
    </row>
    <row r="54" spans="3:11" ht="12.75">
      <c r="C54" s="198"/>
      <c r="E54" s="454"/>
      <c r="I54" s="198"/>
      <c r="K54" s="454"/>
    </row>
    <row r="55" spans="3:11" ht="12.75">
      <c r="C55" s="198"/>
      <c r="E55" s="454"/>
      <c r="I55" s="198"/>
      <c r="K55" s="454"/>
    </row>
    <row r="56" spans="3:11" ht="12.75">
      <c r="C56" s="198"/>
      <c r="E56" s="454"/>
      <c r="I56" s="198"/>
      <c r="K56" s="454"/>
    </row>
    <row r="57" spans="3:11" ht="12.75">
      <c r="C57" s="198"/>
      <c r="E57" s="454"/>
      <c r="I57" s="198"/>
      <c r="K57" s="454"/>
    </row>
    <row r="58" spans="3:11" ht="12.75">
      <c r="C58" s="198"/>
      <c r="E58" s="454"/>
      <c r="I58" s="198"/>
      <c r="K58" s="454"/>
    </row>
    <row r="59" spans="3:11" ht="12.75">
      <c r="C59" s="198"/>
      <c r="E59" s="454"/>
      <c r="I59" s="198"/>
      <c r="K59" s="454"/>
    </row>
    <row r="60" spans="3:11" ht="12.75">
      <c r="C60" s="198"/>
      <c r="E60" s="454"/>
      <c r="I60" s="198"/>
      <c r="K60" s="454"/>
    </row>
    <row r="61" spans="3:11" ht="12.75">
      <c r="C61" s="198"/>
      <c r="E61" s="454"/>
      <c r="I61" s="198"/>
      <c r="K61" s="454"/>
    </row>
    <row r="62" spans="3:11" ht="12.75">
      <c r="C62" s="198"/>
      <c r="E62" s="454"/>
      <c r="I62" s="198"/>
      <c r="K62" s="454"/>
    </row>
    <row r="63" spans="3:11" ht="12.75">
      <c r="C63" s="198"/>
      <c r="E63" s="454"/>
      <c r="I63" s="198"/>
      <c r="K63" s="454"/>
    </row>
    <row r="64" spans="3:11" ht="12.75">
      <c r="C64" s="198"/>
      <c r="E64" s="454"/>
      <c r="I64" s="198"/>
      <c r="K64" s="454"/>
    </row>
    <row r="65" spans="3:11" ht="12.75">
      <c r="C65" s="198"/>
      <c r="E65" s="454"/>
      <c r="I65" s="198"/>
      <c r="K65" s="454"/>
    </row>
    <row r="66" spans="3:11" ht="12.75">
      <c r="C66" s="198"/>
      <c r="E66" s="454"/>
      <c r="I66" s="198"/>
      <c r="K66" s="454"/>
    </row>
    <row r="67" spans="3:11" ht="12.75">
      <c r="C67" s="198"/>
      <c r="E67" s="454"/>
      <c r="I67" s="198"/>
      <c r="K67" s="454"/>
    </row>
    <row r="68" spans="3:11" ht="12.75">
      <c r="C68" s="198"/>
      <c r="E68" s="454"/>
      <c r="I68" s="198"/>
      <c r="K68" s="454"/>
    </row>
    <row r="69" spans="3:11" ht="12.75">
      <c r="C69" s="198"/>
      <c r="E69" s="454"/>
      <c r="I69" s="198"/>
      <c r="K69" s="454"/>
    </row>
    <row r="70" spans="3:11" ht="12.75">
      <c r="C70" s="198"/>
      <c r="E70" s="454"/>
      <c r="I70" s="198"/>
      <c r="K70" s="454"/>
    </row>
    <row r="71" spans="3:11" ht="12.75">
      <c r="C71" s="198"/>
      <c r="E71" s="454"/>
      <c r="I71" s="198"/>
      <c r="K71" s="454"/>
    </row>
    <row r="72" spans="3:11" ht="12.75">
      <c r="C72" s="198"/>
      <c r="E72" s="454"/>
      <c r="I72" s="198"/>
      <c r="K72" s="454"/>
    </row>
    <row r="73" spans="3:11" ht="12.75">
      <c r="C73" s="198"/>
      <c r="E73" s="454"/>
      <c r="I73" s="198"/>
      <c r="K73" s="454"/>
    </row>
    <row r="74" spans="3:11" ht="12.75">
      <c r="C74" s="198"/>
      <c r="E74" s="454"/>
      <c r="I74" s="198"/>
      <c r="K74" s="454"/>
    </row>
    <row r="75" spans="3:11" ht="12.75">
      <c r="C75" s="198"/>
      <c r="E75" s="454"/>
      <c r="I75" s="198"/>
      <c r="K75" s="454"/>
    </row>
    <row r="76" spans="3:11" ht="12.75">
      <c r="C76" s="198"/>
      <c r="E76" s="454"/>
      <c r="I76" s="198"/>
      <c r="K76" s="454"/>
    </row>
    <row r="77" spans="3:11" ht="12.75">
      <c r="C77" s="198"/>
      <c r="E77" s="454"/>
      <c r="I77" s="198"/>
      <c r="K77" s="454"/>
    </row>
    <row r="78" spans="3:11" ht="12.75">
      <c r="C78" s="198"/>
      <c r="E78" s="454"/>
      <c r="I78" s="198"/>
      <c r="K78" s="454"/>
    </row>
    <row r="79" spans="3:11" ht="12.75">
      <c r="C79" s="198"/>
      <c r="E79" s="454"/>
      <c r="I79" s="198"/>
      <c r="K79" s="454"/>
    </row>
    <row r="80" spans="3:11" ht="12.75">
      <c r="C80" s="198"/>
      <c r="E80" s="454"/>
      <c r="I80" s="198"/>
      <c r="K80" s="454"/>
    </row>
    <row r="81" spans="2:10" ht="12.75">
      <c r="B81" s="198"/>
      <c r="H81" s="198"/>
      <c r="J81" s="454"/>
    </row>
    <row r="82" spans="2:10" ht="12.75">
      <c r="B82" s="198"/>
      <c r="H82" s="198"/>
      <c r="J82" s="454"/>
    </row>
    <row r="83" spans="2:10" ht="12.75">
      <c r="B83" s="198"/>
      <c r="H83" s="198"/>
      <c r="J83" s="454"/>
    </row>
    <row r="84" spans="2:10" ht="12.75">
      <c r="B84" s="198"/>
      <c r="H84" s="198"/>
      <c r="J84" s="454"/>
    </row>
    <row r="85" spans="2:10" ht="12.75">
      <c r="B85" s="198"/>
      <c r="H85" s="198"/>
      <c r="J85" s="454"/>
    </row>
    <row r="86" spans="2:10" ht="12.75">
      <c r="B86" s="198"/>
      <c r="H86" s="198"/>
      <c r="J86" s="454"/>
    </row>
    <row r="87" spans="2:10" ht="12.75">
      <c r="B87" s="198"/>
      <c r="H87" s="198"/>
      <c r="J87" s="454"/>
    </row>
    <row r="88" spans="2:10" ht="12.75">
      <c r="B88" s="198"/>
      <c r="H88" s="198"/>
      <c r="J88" s="454"/>
    </row>
    <row r="89" spans="2:10" ht="12.75">
      <c r="B89" s="198"/>
      <c r="H89" s="198"/>
      <c r="J89" s="454"/>
    </row>
    <row r="90" spans="2:10" ht="12.75">
      <c r="B90" s="198"/>
      <c r="H90" s="198"/>
      <c r="J90" s="454"/>
    </row>
    <row r="91" spans="2:10" ht="12.75">
      <c r="B91" s="198"/>
      <c r="H91" s="198"/>
      <c r="J91" s="454"/>
    </row>
    <row r="92" spans="2:10" ht="12.75">
      <c r="B92" s="198"/>
      <c r="H92" s="198"/>
      <c r="J92" s="454"/>
    </row>
    <row r="93" spans="2:10" ht="12.75">
      <c r="B93" s="198"/>
      <c r="H93" s="198"/>
      <c r="J93" s="454"/>
    </row>
    <row r="94" spans="2:10" ht="12.75">
      <c r="B94" s="198"/>
      <c r="H94" s="198"/>
      <c r="J94" s="454"/>
    </row>
    <row r="95" spans="2:10" ht="12.75">
      <c r="B95" s="198"/>
      <c r="H95" s="198"/>
      <c r="J95" s="454"/>
    </row>
    <row r="96" spans="2:10" ht="12.75">
      <c r="B96" s="198"/>
      <c r="H96" s="198"/>
      <c r="J96" s="454"/>
    </row>
    <row r="97" spans="2:10" ht="12.75">
      <c r="B97" s="198"/>
      <c r="H97" s="198"/>
      <c r="J97" s="454"/>
    </row>
    <row r="98" spans="2:10" ht="12.75">
      <c r="B98" s="198"/>
      <c r="H98" s="198"/>
      <c r="J98" s="454"/>
    </row>
    <row r="99" spans="2:10" ht="12.75">
      <c r="B99" s="198"/>
      <c r="H99" s="198"/>
      <c r="J99" s="454"/>
    </row>
    <row r="100" spans="2:10" ht="12.75">
      <c r="B100" s="198"/>
      <c r="H100" s="198"/>
      <c r="J100" s="454"/>
    </row>
    <row r="101" spans="2:8" ht="12.75">
      <c r="B101" s="198"/>
      <c r="H101" s="198"/>
    </row>
    <row r="102" spans="2:8" ht="12.75">
      <c r="B102" s="198"/>
      <c r="H102" s="198"/>
    </row>
    <row r="103" spans="2:8" ht="12.75">
      <c r="B103" s="198"/>
      <c r="H103" s="198"/>
    </row>
    <row r="104" spans="2:8" ht="12.75">
      <c r="B104" s="198"/>
      <c r="H104" s="198"/>
    </row>
    <row r="105" spans="2:8" ht="12.75">
      <c r="B105" s="198"/>
      <c r="H105" s="198"/>
    </row>
    <row r="106" spans="2:8" ht="12.75">
      <c r="B106" s="198"/>
      <c r="H106" s="198"/>
    </row>
    <row r="107" spans="2:8" ht="12.75">
      <c r="B107" s="198"/>
      <c r="H107" s="198"/>
    </row>
    <row r="108" spans="2:8" ht="12.75">
      <c r="B108" s="198"/>
      <c r="H108" s="198"/>
    </row>
    <row r="109" spans="2:8" ht="12.75">
      <c r="B109" s="198"/>
      <c r="H109" s="198"/>
    </row>
  </sheetData>
  <mergeCells count="1">
    <mergeCell ref="G4:L4"/>
  </mergeCells>
  <printOptions/>
  <pageMargins left="0.75" right="0.34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Z245"/>
  <sheetViews>
    <sheetView workbookViewId="0" topLeftCell="H1">
      <selection activeCell="H25" sqref="H25"/>
    </sheetView>
  </sheetViews>
  <sheetFormatPr defaultColWidth="9.140625" defaultRowHeight="12.75"/>
  <cols>
    <col min="1" max="1" width="36.00390625" style="43" hidden="1" customWidth="1"/>
    <col min="2" max="3" width="11.421875" style="43" hidden="1" customWidth="1"/>
    <col min="4" max="4" width="10.57421875" style="43" hidden="1" customWidth="1"/>
    <col min="5" max="5" width="6.421875" style="43" hidden="1" customWidth="1"/>
    <col min="6" max="7" width="9.140625" style="43" hidden="1" customWidth="1"/>
    <col min="8" max="8" width="32.421875" style="43" customWidth="1"/>
    <col min="9" max="9" width="10.8515625" style="43" customWidth="1"/>
    <col min="10" max="10" width="10.57421875" style="43" customWidth="1"/>
    <col min="11" max="11" width="8.140625" style="43" customWidth="1"/>
    <col min="12" max="12" width="7.421875" style="43" customWidth="1"/>
    <col min="13" max="13" width="9.00390625" style="43" customWidth="1"/>
    <col min="14" max="14" width="9.7109375" style="43" customWidth="1"/>
    <col min="15" max="104" width="11.421875" style="0" customWidth="1"/>
    <col min="105" max="16384" width="11.421875" style="43" customWidth="1"/>
  </cols>
  <sheetData>
    <row r="1" spans="1:14" ht="17.25" customHeight="1">
      <c r="A1" s="32" t="s">
        <v>221</v>
      </c>
      <c r="B1" s="32"/>
      <c r="C1" s="455"/>
      <c r="D1" s="32"/>
      <c r="E1" s="32"/>
      <c r="F1" s="455"/>
      <c r="G1" s="43" t="s">
        <v>526</v>
      </c>
      <c r="H1" s="32" t="s">
        <v>221</v>
      </c>
      <c r="I1" s="32"/>
      <c r="J1" s="455"/>
      <c r="K1" s="32"/>
      <c r="L1" s="32"/>
      <c r="M1" s="455"/>
      <c r="N1" s="43" t="s">
        <v>527</v>
      </c>
    </row>
    <row r="2" spans="1:14" ht="12.75">
      <c r="A2" s="32"/>
      <c r="B2" s="32"/>
      <c r="C2" s="455"/>
      <c r="D2" s="32"/>
      <c r="E2" s="32"/>
      <c r="F2" s="455"/>
      <c r="G2" s="2"/>
      <c r="H2" s="32"/>
      <c r="I2" s="32"/>
      <c r="J2" s="455"/>
      <c r="K2" s="32"/>
      <c r="L2" s="32"/>
      <c r="M2" s="455"/>
      <c r="N2" s="2"/>
    </row>
    <row r="3" spans="1:14" ht="18.75" customHeight="1">
      <c r="A3" s="167" t="s">
        <v>528</v>
      </c>
      <c r="B3" s="455"/>
      <c r="C3" s="455"/>
      <c r="D3" s="455"/>
      <c r="E3" s="455"/>
      <c r="F3" s="455"/>
      <c r="G3" s="2"/>
      <c r="H3" s="167" t="s">
        <v>528</v>
      </c>
      <c r="I3" s="455"/>
      <c r="J3" s="455"/>
      <c r="K3" s="455"/>
      <c r="L3" s="455"/>
      <c r="M3" s="455"/>
      <c r="N3" s="2"/>
    </row>
    <row r="4" spans="1:14" ht="19.5" customHeight="1">
      <c r="A4" s="167" t="s">
        <v>434</v>
      </c>
      <c r="B4" s="455"/>
      <c r="C4" s="455"/>
      <c r="D4" s="455"/>
      <c r="E4" s="455"/>
      <c r="F4" s="455"/>
      <c r="G4" s="2"/>
      <c r="H4" s="167" t="s">
        <v>434</v>
      </c>
      <c r="I4" s="455"/>
      <c r="J4" s="455"/>
      <c r="K4" s="455"/>
      <c r="L4" s="455"/>
      <c r="M4" s="455"/>
      <c r="N4" s="2"/>
    </row>
    <row r="5" spans="1:14" ht="11.25" customHeight="1">
      <c r="A5" s="2"/>
      <c r="B5" s="2"/>
      <c r="C5" s="2"/>
      <c r="D5" s="294"/>
      <c r="E5" s="36"/>
      <c r="F5" s="2"/>
      <c r="G5" s="3" t="s">
        <v>227</v>
      </c>
      <c r="H5" s="2"/>
      <c r="I5" s="2"/>
      <c r="J5" s="2"/>
      <c r="K5" s="294"/>
      <c r="L5" s="36"/>
      <c r="M5" s="2"/>
      <c r="N5" s="3" t="s">
        <v>529</v>
      </c>
    </row>
    <row r="6" spans="1:14" ht="79.5" customHeight="1">
      <c r="A6" s="5" t="s">
        <v>54</v>
      </c>
      <c r="B6" s="5" t="s">
        <v>102</v>
      </c>
      <c r="C6" s="5" t="s">
        <v>228</v>
      </c>
      <c r="D6" s="5" t="s">
        <v>103</v>
      </c>
      <c r="E6" s="5" t="s">
        <v>229</v>
      </c>
      <c r="F6" s="5" t="s">
        <v>230</v>
      </c>
      <c r="G6" s="5" t="s">
        <v>58</v>
      </c>
      <c r="H6" s="5" t="s">
        <v>54</v>
      </c>
      <c r="I6" s="5" t="s">
        <v>102</v>
      </c>
      <c r="J6" s="5" t="s">
        <v>228</v>
      </c>
      <c r="K6" s="5" t="s">
        <v>103</v>
      </c>
      <c r="L6" s="5" t="s">
        <v>229</v>
      </c>
      <c r="M6" s="5" t="s">
        <v>230</v>
      </c>
      <c r="N6" s="5" t="s">
        <v>58</v>
      </c>
    </row>
    <row r="7" spans="1:14" ht="12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287">
        <v>7</v>
      </c>
      <c r="H7" s="5">
        <v>1</v>
      </c>
      <c r="I7" s="5">
        <v>2</v>
      </c>
      <c r="J7" s="5">
        <v>3</v>
      </c>
      <c r="K7" s="5">
        <v>4</v>
      </c>
      <c r="L7" s="5">
        <v>5</v>
      </c>
      <c r="M7" s="5">
        <v>6</v>
      </c>
      <c r="N7" s="456">
        <v>7</v>
      </c>
    </row>
    <row r="8" spans="1:104" ht="38.25">
      <c r="A8" s="457" t="s">
        <v>530</v>
      </c>
      <c r="B8" s="458">
        <f>B9+B12</f>
        <v>39782537</v>
      </c>
      <c r="C8" s="458">
        <f>C9+C12</f>
        <v>27783260</v>
      </c>
      <c r="D8" s="458">
        <f>D9+D12</f>
        <v>3900452</v>
      </c>
      <c r="E8" s="459">
        <f aca="true" t="shared" si="0" ref="E8:F23">IF(ISERROR(D8/B8)," ",(D8/B8))</f>
        <v>0.0980443253279699</v>
      </c>
      <c r="F8" s="459">
        <f t="shared" si="0"/>
        <v>3.5288992482512817E-09</v>
      </c>
      <c r="G8" s="458">
        <f>D8-'[10]Julijs'!D8</f>
        <v>468501</v>
      </c>
      <c r="H8" s="457" t="s">
        <v>530</v>
      </c>
      <c r="I8" s="182">
        <f>I9+I12</f>
        <v>39782</v>
      </c>
      <c r="J8" s="182">
        <f>J9+J12</f>
        <v>27783</v>
      </c>
      <c r="K8" s="182">
        <f>K9+K12</f>
        <v>3901</v>
      </c>
      <c r="L8" s="219">
        <f>IF(ISERROR(ROUND(K8,0)/ROUND(I8,0))," ",(ROUND(K8,)/ROUND(I8,)))*100</f>
        <v>9.80594238600372</v>
      </c>
      <c r="M8" s="219">
        <f aca="true" t="shared" si="1" ref="M8:M71">IF(ISERROR(ROUND(K8,0)/ROUND(J8,0))," ",(ROUND(K8,)/ROUND(J8,)))</f>
        <v>0.140409602994637</v>
      </c>
      <c r="N8" s="458">
        <f>K8-'[10]Julijs'!K8</f>
        <v>469</v>
      </c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</row>
    <row r="9" spans="1:104" s="461" customFormat="1" ht="15" customHeight="1">
      <c r="A9" s="460" t="s">
        <v>442</v>
      </c>
      <c r="B9" s="458">
        <f>SUM(B10:B11)</f>
        <v>31643057</v>
      </c>
      <c r="C9" s="458">
        <f>SUM(C10:C11)</f>
        <v>25965789</v>
      </c>
      <c r="D9" s="458">
        <f>SUM(D10:D11)</f>
        <v>2526698</v>
      </c>
      <c r="E9" s="459">
        <f t="shared" si="0"/>
        <v>0.07984999679392545</v>
      </c>
      <c r="F9" s="459">
        <f aca="true" t="shared" si="2" ref="F9:F72">IF(ISERROR(D9/C9)," ",(D9/C9))</f>
        <v>0.09730873188563613</v>
      </c>
      <c r="G9" s="458">
        <f>D9-'[10]Julijs'!D9</f>
        <v>307938</v>
      </c>
      <c r="H9" s="460" t="s">
        <v>442</v>
      </c>
      <c r="I9" s="458">
        <f>SUM(I10:I11)</f>
        <v>31643</v>
      </c>
      <c r="J9" s="458">
        <f>SUM(J10:J11)</f>
        <v>25966</v>
      </c>
      <c r="K9" s="458">
        <f>SUM(K10:K11)</f>
        <v>2527</v>
      </c>
      <c r="L9" s="219">
        <f>IF(ISERROR(ROUND(K9,0)/ROUND(I9,0))," ",(ROUND(K9,)/ROUND(I9,)))*100</f>
        <v>7.985968460639004</v>
      </c>
      <c r="M9" s="219">
        <f t="shared" si="1"/>
        <v>0.09731957174767003</v>
      </c>
      <c r="N9" s="458">
        <f>K9-'[10]Julijs'!K9</f>
        <v>308</v>
      </c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</row>
    <row r="10" spans="1:104" s="186" customFormat="1" ht="13.5" customHeight="1">
      <c r="A10" s="243" t="s">
        <v>234</v>
      </c>
      <c r="B10" s="7">
        <f>SUM(B17,B22,B28,B35,B42,B47,B59,B66,B73,B80,B85)</f>
        <v>24233753</v>
      </c>
      <c r="C10" s="7">
        <f>SUM(C17,C22,C28,C35,C42,C47,C59,C66,C73,C80,C85)</f>
        <v>21358010</v>
      </c>
      <c r="D10" s="7">
        <f>SUM(D17,D22,D28,D35,D42,D47,D59,D66,D73,D80,D85)</f>
        <v>2105105</v>
      </c>
      <c r="E10" s="462">
        <f t="shared" si="0"/>
        <v>0.08686665247434024</v>
      </c>
      <c r="F10" s="462">
        <f t="shared" si="2"/>
        <v>0.0985627874507035</v>
      </c>
      <c r="G10" s="458">
        <f>D10-'[10]Julijs'!D10</f>
        <v>307938</v>
      </c>
      <c r="H10" s="243" t="s">
        <v>234</v>
      </c>
      <c r="I10" s="181">
        <f>SUM(I17,I22,I28,I35,I42,I47,I59,I66,I73,I80,I85)</f>
        <v>24234</v>
      </c>
      <c r="J10" s="181">
        <f>SUM(J17,J22,J28,J35,J42,J47,J59,J66,J73,J80,J85)</f>
        <v>21358</v>
      </c>
      <c r="K10" s="181">
        <f>SUM(K17,K22,K28,K35,K42,K47,K59,K66,K73,K80,K85)</f>
        <v>2105</v>
      </c>
      <c r="L10" s="52">
        <f aca="true" t="shared" si="3" ref="L10:L73">IF(ISERROR(ROUND(K10,0)/ROUND(I10,0))," ",(ROUND(K10,)/ROUND(I10,)))*100</f>
        <v>8.68614343484361</v>
      </c>
      <c r="M10" s="52">
        <f t="shared" si="1"/>
        <v>0.098557917407997</v>
      </c>
      <c r="N10" s="171">
        <f>K10-'[10]Julijs'!K10</f>
        <v>308</v>
      </c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</row>
    <row r="11" spans="1:104" s="186" customFormat="1" ht="14.25" customHeight="1">
      <c r="A11" s="243" t="s">
        <v>235</v>
      </c>
      <c r="B11" s="7">
        <f>SUM(B23,B29,B36,B48,B54,B60,B67,B74,)</f>
        <v>7409304</v>
      </c>
      <c r="C11" s="7">
        <f>SUM(C23,C29,C36,C48,C54,C60,C67,C74,)</f>
        <v>4607779</v>
      </c>
      <c r="D11" s="7">
        <f>SUM(D23,D29,D36,D48,D54,D60,D67,D74,)</f>
        <v>421593</v>
      </c>
      <c r="E11" s="462">
        <f t="shared" si="0"/>
        <v>0.056900486199513475</v>
      </c>
      <c r="F11" s="462">
        <f t="shared" si="2"/>
        <v>0.09149592460923148</v>
      </c>
      <c r="G11" s="458">
        <f>D11-'[10]Julijs'!D11</f>
        <v>0</v>
      </c>
      <c r="H11" s="243" t="s">
        <v>235</v>
      </c>
      <c r="I11" s="181">
        <f>SUM(I23,I29,I36,I48,I54,I60,I67,I74,)</f>
        <v>7409</v>
      </c>
      <c r="J11" s="181">
        <f>SUM(J23,J29,J36,J48,J54,J60,J67,J74,)</f>
        <v>4608</v>
      </c>
      <c r="K11" s="181">
        <f>SUM(K23,K29,K36,K48,K54,K60,K67,K74,)</f>
        <v>422</v>
      </c>
      <c r="L11" s="52">
        <f t="shared" si="3"/>
        <v>5.6957754082872185</v>
      </c>
      <c r="M11" s="52">
        <f t="shared" si="1"/>
        <v>0.0915798611111111</v>
      </c>
      <c r="N11" s="171">
        <f>K11-'[10]Julijs'!K11</f>
        <v>0</v>
      </c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</row>
    <row r="12" spans="1:104" s="54" customFormat="1" ht="14.25" customHeight="1">
      <c r="A12" s="460" t="s">
        <v>531</v>
      </c>
      <c r="B12" s="458">
        <f>SUM(B13:B14)</f>
        <v>8139480</v>
      </c>
      <c r="C12" s="458">
        <f>SUM(C13:C14)</f>
        <v>1817471</v>
      </c>
      <c r="D12" s="458">
        <f>SUM(D13:D14)</f>
        <v>1373754</v>
      </c>
      <c r="E12" s="459">
        <f t="shared" si="0"/>
        <v>0.16877662946527297</v>
      </c>
      <c r="F12" s="459">
        <f t="shared" si="2"/>
        <v>0.7558602035465766</v>
      </c>
      <c r="G12" s="458">
        <f>D12-'[10]Julijs'!D12</f>
        <v>160563</v>
      </c>
      <c r="H12" s="460" t="s">
        <v>531</v>
      </c>
      <c r="I12" s="182">
        <f>SUM(I13:I14)</f>
        <v>8139</v>
      </c>
      <c r="J12" s="182">
        <f>SUM(J13:J14)</f>
        <v>1817</v>
      </c>
      <c r="K12" s="182">
        <f>SUM(K13:K14)</f>
        <v>1374</v>
      </c>
      <c r="L12" s="219">
        <f t="shared" si="3"/>
        <v>16.881680796166606</v>
      </c>
      <c r="M12" s="219">
        <f t="shared" si="1"/>
        <v>0.7561915244909191</v>
      </c>
      <c r="N12" s="426">
        <f>K12-'[10]Julijs'!K12</f>
        <v>161</v>
      </c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</row>
    <row r="13" spans="1:104" s="186" customFormat="1" ht="13.5" customHeight="1">
      <c r="A13" s="243" t="s">
        <v>234</v>
      </c>
      <c r="B13" s="7">
        <f>B19+B25+B31+B38+B44+B50+B62+B69+B76+B82</f>
        <v>5519205</v>
      </c>
      <c r="C13" s="7">
        <f>C19+C25+C31+C38+C44+C50+C62+C69+C76+C82</f>
        <v>832901</v>
      </c>
      <c r="D13" s="7">
        <f>D19+D25+D31+D38+D44+D50+D62+D69+D76+D82</f>
        <v>682842</v>
      </c>
      <c r="E13" s="462">
        <f t="shared" si="0"/>
        <v>0.12372107939458672</v>
      </c>
      <c r="F13" s="462">
        <f t="shared" si="2"/>
        <v>0.8198357307771271</v>
      </c>
      <c r="G13" s="458">
        <f>D13-'[10]Julijs'!D13</f>
        <v>62848</v>
      </c>
      <c r="H13" s="243" t="s">
        <v>234</v>
      </c>
      <c r="I13" s="181">
        <f>I19+I25+I31+I38+I44+I50+I62+I69+I76+I82</f>
        <v>5519</v>
      </c>
      <c r="J13" s="181">
        <f>J19+J25+J31+J38+J44+J50+J62+J69+J76+J82</f>
        <v>833</v>
      </c>
      <c r="K13" s="181">
        <f>K19+K25+K31+K38+K44+K50+K62+K69+K76+K82</f>
        <v>684</v>
      </c>
      <c r="L13" s="52">
        <f t="shared" si="3"/>
        <v>12.393549556079</v>
      </c>
      <c r="M13" s="52">
        <f t="shared" si="1"/>
        <v>0.8211284513805522</v>
      </c>
      <c r="N13" s="171">
        <f>K13-'[10]Julijs'!K13</f>
        <v>64</v>
      </c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</row>
    <row r="14" spans="1:104" s="186" customFormat="1" ht="14.25" customHeight="1">
      <c r="A14" s="243" t="s">
        <v>235</v>
      </c>
      <c r="B14" s="7">
        <f>B32+B39+B51+B56+B63+B70+B77</f>
        <v>2620275</v>
      </c>
      <c r="C14" s="7">
        <f>C32+C39+C51+C56+C63+C70+C77</f>
        <v>984570</v>
      </c>
      <c r="D14" s="7">
        <f>D32+D39+D51+D56+D63+D70+D77</f>
        <v>690912</v>
      </c>
      <c r="E14" s="462">
        <f t="shared" si="0"/>
        <v>0.2636791939777313</v>
      </c>
      <c r="F14" s="462">
        <f t="shared" si="2"/>
        <v>0.7017398458210183</v>
      </c>
      <c r="G14" s="458">
        <f>D14-'[10]Julijs'!D14</f>
        <v>97715</v>
      </c>
      <c r="H14" s="243" t="s">
        <v>235</v>
      </c>
      <c r="I14" s="171">
        <f>I32+I39+I51+I56+I63+I70+I77</f>
        <v>2620</v>
      </c>
      <c r="J14" s="171">
        <f>J32+J39+J51+J56+J63+J70+J77</f>
        <v>984</v>
      </c>
      <c r="K14" s="171">
        <f>K32+K39+K51+K56+K63+K70+K77</f>
        <v>690</v>
      </c>
      <c r="L14" s="52">
        <f t="shared" si="3"/>
        <v>26.33587786259542</v>
      </c>
      <c r="M14" s="52">
        <f t="shared" si="1"/>
        <v>0.7012195121951219</v>
      </c>
      <c r="N14" s="171">
        <f>K14-'[10]Julijs'!K14</f>
        <v>97</v>
      </c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</row>
    <row r="15" spans="1:104" s="60" customFormat="1" ht="13.5" customHeight="1">
      <c r="A15" s="67" t="s">
        <v>239</v>
      </c>
      <c r="B15" s="181">
        <f>B16+B18</f>
        <v>158127</v>
      </c>
      <c r="C15" s="181">
        <f>C16+C18</f>
        <v>145042</v>
      </c>
      <c r="D15" s="181">
        <f>D16+D18</f>
        <v>122349</v>
      </c>
      <c r="E15" s="463">
        <f t="shared" si="0"/>
        <v>0.773738830180804</v>
      </c>
      <c r="F15" s="463">
        <f t="shared" si="2"/>
        <v>0.843541870630576</v>
      </c>
      <c r="G15" s="458">
        <f>D15-'[10]Julijs'!D15</f>
        <v>14621</v>
      </c>
      <c r="H15" s="67" t="s">
        <v>239</v>
      </c>
      <c r="I15" s="181">
        <f>I16+I18</f>
        <v>158</v>
      </c>
      <c r="J15" s="181">
        <f>J16+J18</f>
        <v>145</v>
      </c>
      <c r="K15" s="181">
        <f>K16+K18</f>
        <v>123</v>
      </c>
      <c r="L15" s="52">
        <f t="shared" si="3"/>
        <v>77.84810126582279</v>
      </c>
      <c r="M15" s="52">
        <f t="shared" si="1"/>
        <v>0.8482758620689655</v>
      </c>
      <c r="N15" s="181">
        <f>K15-'[10]Julijs'!K15</f>
        <v>15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</row>
    <row r="16" spans="1:104" s="186" customFormat="1" ht="12.75">
      <c r="A16" s="464" t="s">
        <v>532</v>
      </c>
      <c r="B16" s="465">
        <f>B17</f>
        <v>146740</v>
      </c>
      <c r="C16" s="465">
        <f>C17</f>
        <v>137450</v>
      </c>
      <c r="D16" s="465">
        <f>D17</f>
        <v>114757</v>
      </c>
      <c r="E16" s="462">
        <f t="shared" si="0"/>
        <v>0.7820430693744037</v>
      </c>
      <c r="F16" s="462">
        <f t="shared" si="2"/>
        <v>0.8348999636231357</v>
      </c>
      <c r="G16" s="458">
        <f>D16-'[10]Julijs'!D16</f>
        <v>13670</v>
      </c>
      <c r="H16" s="464" t="s">
        <v>532</v>
      </c>
      <c r="I16" s="465">
        <f>I17</f>
        <v>147</v>
      </c>
      <c r="J16" s="465">
        <f>J17</f>
        <v>137</v>
      </c>
      <c r="K16" s="465">
        <f>K17</f>
        <v>115</v>
      </c>
      <c r="L16" s="466">
        <f t="shared" si="3"/>
        <v>78.2312925170068</v>
      </c>
      <c r="M16" s="466">
        <f t="shared" si="1"/>
        <v>0.8394160583941606</v>
      </c>
      <c r="N16" s="465">
        <f>K16-'[10]Julijs'!K16</f>
        <v>14</v>
      </c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</row>
    <row r="17" spans="1:104" s="54" customFormat="1" ht="12.75">
      <c r="A17" s="176" t="s">
        <v>234</v>
      </c>
      <c r="B17" s="183">
        <v>146740</v>
      </c>
      <c r="C17" s="183">
        <v>137450</v>
      </c>
      <c r="D17" s="183">
        <v>114757</v>
      </c>
      <c r="E17" s="462">
        <f t="shared" si="0"/>
        <v>0.7820430693744037</v>
      </c>
      <c r="F17" s="462">
        <f t="shared" si="2"/>
        <v>0.8348999636231357</v>
      </c>
      <c r="G17" s="458">
        <f>D17-'[10]Julijs'!D17</f>
        <v>13670</v>
      </c>
      <c r="H17" s="176" t="s">
        <v>234</v>
      </c>
      <c r="I17" s="183">
        <f>ROUND(B17/1000,0)</f>
        <v>147</v>
      </c>
      <c r="J17" s="183">
        <f>ROUND(C17/1000,0)</f>
        <v>137</v>
      </c>
      <c r="K17" s="183">
        <f>ROUND(D17/1000,0)</f>
        <v>115</v>
      </c>
      <c r="L17" s="72">
        <f t="shared" si="3"/>
        <v>78.2312925170068</v>
      </c>
      <c r="M17" s="72">
        <f t="shared" si="1"/>
        <v>0.8394160583941606</v>
      </c>
      <c r="N17" s="183">
        <f>K17-'[10]Julijs'!K17</f>
        <v>14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</row>
    <row r="18" spans="1:104" s="186" customFormat="1" ht="12.75">
      <c r="A18" s="464" t="s">
        <v>533</v>
      </c>
      <c r="B18" s="465">
        <f>B19</f>
        <v>11387</v>
      </c>
      <c r="C18" s="465">
        <f>C19</f>
        <v>7592</v>
      </c>
      <c r="D18" s="465">
        <f>D19</f>
        <v>7592</v>
      </c>
      <c r="E18" s="462">
        <f t="shared" si="0"/>
        <v>0.6667252129621498</v>
      </c>
      <c r="F18" s="462">
        <f t="shared" si="2"/>
        <v>1</v>
      </c>
      <c r="G18" s="458">
        <f>D18-'[10]Julijs'!D18</f>
        <v>951</v>
      </c>
      <c r="H18" s="464" t="s">
        <v>533</v>
      </c>
      <c r="I18" s="465">
        <f>I19</f>
        <v>11</v>
      </c>
      <c r="J18" s="465">
        <f>J19</f>
        <v>8</v>
      </c>
      <c r="K18" s="465">
        <f>K19</f>
        <v>8</v>
      </c>
      <c r="L18" s="466">
        <f t="shared" si="3"/>
        <v>72.72727272727273</v>
      </c>
      <c r="M18" s="466">
        <f t="shared" si="1"/>
        <v>1</v>
      </c>
      <c r="N18" s="465">
        <f>K18-'[10]Julijs'!K18</f>
        <v>1</v>
      </c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</row>
    <row r="19" spans="1:104" s="54" customFormat="1" ht="12.75">
      <c r="A19" s="176" t="s">
        <v>234</v>
      </c>
      <c r="B19" s="183">
        <v>11387</v>
      </c>
      <c r="C19" s="183">
        <v>7592</v>
      </c>
      <c r="D19" s="183">
        <v>7592</v>
      </c>
      <c r="E19" s="462">
        <f t="shared" si="0"/>
        <v>0.6667252129621498</v>
      </c>
      <c r="F19" s="462">
        <f t="shared" si="2"/>
        <v>1</v>
      </c>
      <c r="G19" s="458">
        <f>D19-'[10]Julijs'!D19</f>
        <v>951</v>
      </c>
      <c r="H19" s="176" t="s">
        <v>234</v>
      </c>
      <c r="I19" s="183">
        <f>ROUND(B19/1000,0)</f>
        <v>11</v>
      </c>
      <c r="J19" s="183">
        <f>ROUND(C19/1000,0)</f>
        <v>8</v>
      </c>
      <c r="K19" s="183">
        <f>ROUND(D19/1000,0)</f>
        <v>8</v>
      </c>
      <c r="L19" s="72">
        <f t="shared" si="3"/>
        <v>72.72727272727273</v>
      </c>
      <c r="M19" s="72">
        <f t="shared" si="1"/>
        <v>1</v>
      </c>
      <c r="N19" s="183">
        <f>K19-'[10]Julijs'!K19</f>
        <v>1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</row>
    <row r="20" spans="1:104" s="60" customFormat="1" ht="12.75">
      <c r="A20" s="67" t="s">
        <v>242</v>
      </c>
      <c r="B20" s="181">
        <f>B21+B24</f>
        <v>3204168</v>
      </c>
      <c r="C20" s="181">
        <f>C21+C24</f>
        <v>2794532</v>
      </c>
      <c r="D20" s="181">
        <f>D21+D24</f>
        <v>429547</v>
      </c>
      <c r="E20" s="463">
        <f t="shared" si="0"/>
        <v>0.13405882587929221</v>
      </c>
      <c r="F20" s="463">
        <f t="shared" si="2"/>
        <v>0.15370981616957688</v>
      </c>
      <c r="G20" s="458">
        <f>D20-'[10]Julijs'!D20</f>
        <v>187377</v>
      </c>
      <c r="H20" s="67" t="s">
        <v>242</v>
      </c>
      <c r="I20" s="181">
        <f>I21+I24</f>
        <v>3204</v>
      </c>
      <c r="J20" s="181">
        <f>J21+J24</f>
        <v>2795</v>
      </c>
      <c r="K20" s="181">
        <f>K21+K24</f>
        <v>429</v>
      </c>
      <c r="L20" s="52">
        <f t="shared" si="3"/>
        <v>13.389513108614231</v>
      </c>
      <c r="M20" s="52">
        <f t="shared" si="1"/>
        <v>0.15348837209302327</v>
      </c>
      <c r="N20" s="181">
        <f>K20-'[10]Julijs'!K20</f>
        <v>187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</row>
    <row r="21" spans="1:104" s="186" customFormat="1" ht="12.75">
      <c r="A21" s="464" t="s">
        <v>532</v>
      </c>
      <c r="B21" s="465">
        <f>SUM(B22:B23)</f>
        <v>3144168</v>
      </c>
      <c r="C21" s="465">
        <f>SUM(C22:C23)</f>
        <v>2758532</v>
      </c>
      <c r="D21" s="465">
        <f>SUM(D22:D23)</f>
        <v>393629</v>
      </c>
      <c r="E21" s="462">
        <f t="shared" si="0"/>
        <v>0.12519337389096258</v>
      </c>
      <c r="F21" s="462">
        <f t="shared" si="2"/>
        <v>0.14269510014746975</v>
      </c>
      <c r="G21" s="458">
        <f>D21-'[10]Julijs'!D21</f>
        <v>176526</v>
      </c>
      <c r="H21" s="464" t="s">
        <v>532</v>
      </c>
      <c r="I21" s="465">
        <f>SUM(I22:I23)</f>
        <v>3144</v>
      </c>
      <c r="J21" s="465">
        <f>SUM(J22:J23)</f>
        <v>2759</v>
      </c>
      <c r="K21" s="465">
        <f>SUM(K22:K23)</f>
        <v>393</v>
      </c>
      <c r="L21" s="466">
        <f t="shared" si="3"/>
        <v>12.5</v>
      </c>
      <c r="M21" s="466">
        <f t="shared" si="1"/>
        <v>0.14244291409931134</v>
      </c>
      <c r="N21" s="465">
        <f>K21-'[10]Julijs'!K21</f>
        <v>176</v>
      </c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</row>
    <row r="22" spans="1:104" s="54" customFormat="1" ht="12.75">
      <c r="A22" s="176" t="s">
        <v>234</v>
      </c>
      <c r="B22" s="183">
        <v>1532168</v>
      </c>
      <c r="C22" s="183">
        <v>1146532</v>
      </c>
      <c r="D22" s="183">
        <v>393629</v>
      </c>
      <c r="E22" s="462">
        <f t="shared" si="0"/>
        <v>0.2569098166780666</v>
      </c>
      <c r="F22" s="462">
        <f t="shared" si="2"/>
        <v>0.3433214249580474</v>
      </c>
      <c r="G22" s="458">
        <f>D22-'[10]Julijs'!D22</f>
        <v>176526</v>
      </c>
      <c r="H22" s="176" t="s">
        <v>234</v>
      </c>
      <c r="I22" s="183">
        <f aca="true" t="shared" si="4" ref="I22:K23">ROUND(B22/1000,0)</f>
        <v>1532</v>
      </c>
      <c r="J22" s="183">
        <f t="shared" si="4"/>
        <v>1147</v>
      </c>
      <c r="K22" s="183">
        <f>ROUND(D22/1000,0)-1</f>
        <v>393</v>
      </c>
      <c r="L22" s="72">
        <f t="shared" si="3"/>
        <v>25.65274151436031</v>
      </c>
      <c r="M22" s="72">
        <f t="shared" si="1"/>
        <v>0.34263295553618134</v>
      </c>
      <c r="N22" s="183">
        <f>K22-'[10]Julijs'!K22</f>
        <v>176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</row>
    <row r="23" spans="1:104" s="54" customFormat="1" ht="12.75">
      <c r="A23" s="176" t="s">
        <v>235</v>
      </c>
      <c r="B23" s="183">
        <v>1612000</v>
      </c>
      <c r="C23" s="183">
        <v>1612000</v>
      </c>
      <c r="D23" s="183"/>
      <c r="E23" s="462">
        <f t="shared" si="0"/>
        <v>0</v>
      </c>
      <c r="F23" s="462">
        <f t="shared" si="2"/>
        <v>0</v>
      </c>
      <c r="G23" s="458">
        <f>D23-'[10]Julijs'!D23</f>
        <v>0</v>
      </c>
      <c r="H23" s="176" t="s">
        <v>235</v>
      </c>
      <c r="I23" s="183">
        <f t="shared" si="4"/>
        <v>1612</v>
      </c>
      <c r="J23" s="183">
        <f t="shared" si="4"/>
        <v>1612</v>
      </c>
      <c r="K23" s="183">
        <f t="shared" si="4"/>
        <v>0</v>
      </c>
      <c r="L23" s="72">
        <f>IF(ISERROR(ROUND(K23,0)/ROUND(I23,0))," ",(ROUND(K23,)/ROUND(I23,)))*100</f>
        <v>0</v>
      </c>
      <c r="M23" s="72">
        <f>IF(ISERROR(ROUND(K23,0)/ROUND(J23,0))," ",(ROUND(K23,)/ROUND(J23,)))</f>
        <v>0</v>
      </c>
      <c r="N23" s="183">
        <f>K23-'[10]Julijs'!K23</f>
        <v>0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</row>
    <row r="24" spans="1:104" s="186" customFormat="1" ht="12.75">
      <c r="A24" s="464" t="s">
        <v>533</v>
      </c>
      <c r="B24" s="465">
        <f>B25</f>
        <v>60000</v>
      </c>
      <c r="C24" s="465">
        <f>C25</f>
        <v>36000</v>
      </c>
      <c r="D24" s="465">
        <f>D25</f>
        <v>35918</v>
      </c>
      <c r="E24" s="462">
        <f aca="true" t="shared" si="5" ref="E24:E87">IF(ISERROR(D24/B24)," ",(D24/B24))</f>
        <v>0.5986333333333334</v>
      </c>
      <c r="F24" s="462">
        <f t="shared" si="2"/>
        <v>0.9977222222222222</v>
      </c>
      <c r="G24" s="458">
        <f>D24-'[10]Julijs'!D24</f>
        <v>10851</v>
      </c>
      <c r="H24" s="464" t="s">
        <v>533</v>
      </c>
      <c r="I24" s="465">
        <f>I25</f>
        <v>60</v>
      </c>
      <c r="J24" s="465">
        <f>J25</f>
        <v>36</v>
      </c>
      <c r="K24" s="465">
        <f>K25</f>
        <v>36</v>
      </c>
      <c r="L24" s="466">
        <f t="shared" si="3"/>
        <v>60</v>
      </c>
      <c r="M24" s="466">
        <f t="shared" si="1"/>
        <v>1</v>
      </c>
      <c r="N24" s="465">
        <f>K24-'[10]Julijs'!K24</f>
        <v>11</v>
      </c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</row>
    <row r="25" spans="1:104" s="54" customFormat="1" ht="12.75">
      <c r="A25" s="176" t="s">
        <v>234</v>
      </c>
      <c r="B25" s="183">
        <v>60000</v>
      </c>
      <c r="C25" s="183">
        <v>36000</v>
      </c>
      <c r="D25" s="183">
        <v>35918</v>
      </c>
      <c r="E25" s="462">
        <f t="shared" si="5"/>
        <v>0.5986333333333334</v>
      </c>
      <c r="F25" s="462">
        <f t="shared" si="2"/>
        <v>0.9977222222222222</v>
      </c>
      <c r="G25" s="458">
        <f>D25-'[10]Julijs'!D25</f>
        <v>10851</v>
      </c>
      <c r="H25" s="176" t="s">
        <v>234</v>
      </c>
      <c r="I25" s="183">
        <f>ROUND(B25/1000,0)</f>
        <v>60</v>
      </c>
      <c r="J25" s="183">
        <f>ROUND(C25/1000,0)</f>
        <v>36</v>
      </c>
      <c r="K25" s="183">
        <f>ROUND(D25/1000,0)</f>
        <v>36</v>
      </c>
      <c r="L25" s="72">
        <f t="shared" si="3"/>
        <v>60</v>
      </c>
      <c r="M25" s="72">
        <f t="shared" si="1"/>
        <v>1</v>
      </c>
      <c r="N25" s="183">
        <f>K25-'[10]Julijs'!K25</f>
        <v>11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</row>
    <row r="26" spans="1:104" s="60" customFormat="1" ht="12.75">
      <c r="A26" s="67" t="s">
        <v>243</v>
      </c>
      <c r="B26" s="181">
        <f>B27+B30</f>
        <v>2477675</v>
      </c>
      <c r="C26" s="181">
        <f>C27+C30</f>
        <v>1463390</v>
      </c>
      <c r="D26" s="181">
        <f>D27+D30</f>
        <v>203202</v>
      </c>
      <c r="E26" s="463">
        <f t="shared" si="5"/>
        <v>0.0820131776766525</v>
      </c>
      <c r="F26" s="463">
        <f t="shared" si="2"/>
        <v>0.1388570374267967</v>
      </c>
      <c r="G26" s="458">
        <f>D26-'[10]Julijs'!D26</f>
        <v>0</v>
      </c>
      <c r="H26" s="67" t="s">
        <v>243</v>
      </c>
      <c r="I26" s="181">
        <f>I27+I30</f>
        <v>2478</v>
      </c>
      <c r="J26" s="181">
        <f>J27+J30</f>
        <v>1464</v>
      </c>
      <c r="K26" s="181">
        <f>K27+K30</f>
        <v>203</v>
      </c>
      <c r="L26" s="52">
        <f t="shared" si="3"/>
        <v>8.192090395480225</v>
      </c>
      <c r="M26" s="52">
        <f t="shared" si="1"/>
        <v>0.13866120218579234</v>
      </c>
      <c r="N26" s="181">
        <f>K26-'[10]Julijs'!K26</f>
        <v>0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</row>
    <row r="27" spans="1:104" s="186" customFormat="1" ht="12.75">
      <c r="A27" s="464" t="s">
        <v>532</v>
      </c>
      <c r="B27" s="465">
        <f>SUM(B28:B29)</f>
        <v>2258675</v>
      </c>
      <c r="C27" s="465">
        <f>SUM(C28:C29)</f>
        <v>1437390</v>
      </c>
      <c r="D27" s="465">
        <f>SUM(D28:D29)</f>
        <v>202780</v>
      </c>
      <c r="E27" s="462">
        <f t="shared" si="5"/>
        <v>0.08977829922410263</v>
      </c>
      <c r="F27" s="462">
        <f t="shared" si="2"/>
        <v>0.14107514314138822</v>
      </c>
      <c r="G27" s="458">
        <f>D27-'[10]Julijs'!D27</f>
        <v>0</v>
      </c>
      <c r="H27" s="464" t="s">
        <v>532</v>
      </c>
      <c r="I27" s="465">
        <f>SUM(I28:I29)</f>
        <v>2259</v>
      </c>
      <c r="J27" s="465">
        <f>SUM(J28:J29)</f>
        <v>1438</v>
      </c>
      <c r="K27" s="465">
        <f>SUM(K28:K29)</f>
        <v>203</v>
      </c>
      <c r="L27" s="466">
        <f t="shared" si="3"/>
        <v>8.986277113767153</v>
      </c>
      <c r="M27" s="466">
        <f t="shared" si="1"/>
        <v>0.1411682892906815</v>
      </c>
      <c r="N27" s="465">
        <f>K27-'[10]Julijs'!K27</f>
        <v>0</v>
      </c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</row>
    <row r="28" spans="1:104" s="54" customFormat="1" ht="12.75">
      <c r="A28" s="176" t="s">
        <v>234</v>
      </c>
      <c r="B28" s="183">
        <v>1201775</v>
      </c>
      <c r="C28" s="183">
        <v>781650</v>
      </c>
      <c r="D28" s="183">
        <v>202780</v>
      </c>
      <c r="E28" s="462">
        <f t="shared" si="5"/>
        <v>0.16873374799775331</v>
      </c>
      <c r="F28" s="462">
        <f t="shared" si="2"/>
        <v>0.2594255741060577</v>
      </c>
      <c r="G28" s="458">
        <f>D28-'[10]Julijs'!D28</f>
        <v>0</v>
      </c>
      <c r="H28" s="176" t="s">
        <v>234</v>
      </c>
      <c r="I28" s="183">
        <f aca="true" t="shared" si="6" ref="I28:K29">ROUND(B28/1000,0)</f>
        <v>1202</v>
      </c>
      <c r="J28" s="183">
        <f>ROUND(C28/1000,0)</f>
        <v>782</v>
      </c>
      <c r="K28" s="183">
        <f t="shared" si="6"/>
        <v>203</v>
      </c>
      <c r="L28" s="72">
        <f t="shared" si="3"/>
        <v>16.888519134775372</v>
      </c>
      <c r="M28" s="72">
        <f t="shared" si="1"/>
        <v>0.2595907928388747</v>
      </c>
      <c r="N28" s="183">
        <f>K28-'[10]Julijs'!K28</f>
        <v>0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</row>
    <row r="29" spans="1:104" s="54" customFormat="1" ht="12.75">
      <c r="A29" s="176" t="s">
        <v>235</v>
      </c>
      <c r="B29" s="183">
        <v>1056900</v>
      </c>
      <c r="C29" s="183">
        <v>655740</v>
      </c>
      <c r="D29" s="183"/>
      <c r="E29" s="462">
        <f t="shared" si="5"/>
        <v>0</v>
      </c>
      <c r="F29" s="462">
        <f t="shared" si="2"/>
        <v>0</v>
      </c>
      <c r="G29" s="458">
        <f>D29-'[10]Julijs'!D29</f>
        <v>0</v>
      </c>
      <c r="H29" s="176" t="s">
        <v>235</v>
      </c>
      <c r="I29" s="183">
        <f t="shared" si="6"/>
        <v>1057</v>
      </c>
      <c r="J29" s="183">
        <f t="shared" si="6"/>
        <v>656</v>
      </c>
      <c r="K29" s="183">
        <f t="shared" si="6"/>
        <v>0</v>
      </c>
      <c r="L29" s="72">
        <f t="shared" si="3"/>
        <v>0</v>
      </c>
      <c r="M29" s="72">
        <f t="shared" si="1"/>
        <v>0</v>
      </c>
      <c r="N29" s="183">
        <f>K29-'[10]Julijs'!K29</f>
        <v>0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</row>
    <row r="30" spans="1:104" s="186" customFormat="1" ht="12.75">
      <c r="A30" s="464" t="s">
        <v>533</v>
      </c>
      <c r="B30" s="465">
        <f>SUM(B31:B32)</f>
        <v>219000</v>
      </c>
      <c r="C30" s="465">
        <f>SUM(C31:C32)</f>
        <v>26000</v>
      </c>
      <c r="D30" s="465">
        <f>SUM(D31:D32)</f>
        <v>422</v>
      </c>
      <c r="E30" s="462">
        <f t="shared" si="5"/>
        <v>0.0019269406392694063</v>
      </c>
      <c r="F30" s="462">
        <f t="shared" si="2"/>
        <v>0.01623076923076923</v>
      </c>
      <c r="G30" s="458">
        <f>D30-'[10]Julijs'!D30</f>
        <v>0</v>
      </c>
      <c r="H30" s="464" t="s">
        <v>533</v>
      </c>
      <c r="I30" s="465">
        <f>SUM(I31:I32)</f>
        <v>219</v>
      </c>
      <c r="J30" s="465">
        <f>SUM(J31:J32)</f>
        <v>26</v>
      </c>
      <c r="K30" s="465">
        <f>SUM(K31:K32)</f>
        <v>0</v>
      </c>
      <c r="L30" s="466">
        <f t="shared" si="3"/>
        <v>0</v>
      </c>
      <c r="M30" s="466">
        <f t="shared" si="1"/>
        <v>0</v>
      </c>
      <c r="N30" s="465">
        <f>K30-'[10]Julijs'!K30</f>
        <v>0</v>
      </c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</row>
    <row r="31" spans="1:104" s="54" customFormat="1" ht="12.75">
      <c r="A31" s="176" t="s">
        <v>234</v>
      </c>
      <c r="B31" s="183">
        <v>39000</v>
      </c>
      <c r="C31" s="183">
        <v>26000</v>
      </c>
      <c r="D31" s="183">
        <v>422</v>
      </c>
      <c r="E31" s="462">
        <f t="shared" si="5"/>
        <v>0.01082051282051282</v>
      </c>
      <c r="F31" s="462">
        <f t="shared" si="2"/>
        <v>0.01623076923076923</v>
      </c>
      <c r="G31" s="458">
        <f>D31-'[10]Julijs'!D31</f>
        <v>0</v>
      </c>
      <c r="H31" s="176" t="s">
        <v>234</v>
      </c>
      <c r="I31" s="183">
        <f aca="true" t="shared" si="7" ref="I31:K32">ROUND(B31/1000,0)</f>
        <v>39</v>
      </c>
      <c r="J31" s="183">
        <f>ROUND(C31/1000,0)</f>
        <v>26</v>
      </c>
      <c r="K31" s="183">
        <f t="shared" si="7"/>
        <v>0</v>
      </c>
      <c r="L31" s="72">
        <f t="shared" si="3"/>
        <v>0</v>
      </c>
      <c r="M31" s="72">
        <f t="shared" si="1"/>
        <v>0</v>
      </c>
      <c r="N31" s="183">
        <f>K31-'[10]Julijs'!K31</f>
        <v>0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</row>
    <row r="32" spans="1:104" s="54" customFormat="1" ht="12.75">
      <c r="A32" s="176" t="s">
        <v>235</v>
      </c>
      <c r="B32" s="183">
        <v>180000</v>
      </c>
      <c r="C32" s="183"/>
      <c r="D32" s="183"/>
      <c r="E32" s="462">
        <f t="shared" si="5"/>
        <v>0</v>
      </c>
      <c r="F32" s="462" t="str">
        <f t="shared" si="2"/>
        <v> </v>
      </c>
      <c r="G32" s="458">
        <f>D32-'[10]Julijs'!D32</f>
        <v>0</v>
      </c>
      <c r="H32" s="176" t="s">
        <v>235</v>
      </c>
      <c r="I32" s="183">
        <f t="shared" si="7"/>
        <v>180</v>
      </c>
      <c r="J32" s="183">
        <f t="shared" si="7"/>
        <v>0</v>
      </c>
      <c r="K32" s="183">
        <f t="shared" si="7"/>
        <v>0</v>
      </c>
      <c r="L32" s="72">
        <f t="shared" si="3"/>
        <v>0</v>
      </c>
      <c r="M32" s="72" t="str">
        <f t="shared" si="1"/>
        <v> </v>
      </c>
      <c r="N32" s="183">
        <f>K32-'[10]Julijs'!K32</f>
        <v>0</v>
      </c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</row>
    <row r="33" spans="1:104" s="60" customFormat="1" ht="12.75">
      <c r="A33" s="67" t="s">
        <v>244</v>
      </c>
      <c r="B33" s="181">
        <f>B34+B37</f>
        <v>2944018</v>
      </c>
      <c r="C33" s="181">
        <f>C34+C37</f>
        <v>694187</v>
      </c>
      <c r="D33" s="181">
        <f>D34+D37</f>
        <v>287282</v>
      </c>
      <c r="E33" s="463">
        <f t="shared" si="5"/>
        <v>0.09758160446029882</v>
      </c>
      <c r="F33" s="463">
        <f t="shared" si="2"/>
        <v>0.41383949857891317</v>
      </c>
      <c r="G33" s="458">
        <f>D33-'[10]Julijs'!D33</f>
        <v>82963</v>
      </c>
      <c r="H33" s="67" t="s">
        <v>244</v>
      </c>
      <c r="I33" s="181">
        <f>I34+I37</f>
        <v>2944</v>
      </c>
      <c r="J33" s="181">
        <f>J34+J37</f>
        <v>694</v>
      </c>
      <c r="K33" s="181">
        <f>K34+K37</f>
        <v>287</v>
      </c>
      <c r="L33" s="52">
        <f t="shared" si="3"/>
        <v>9.748641304347826</v>
      </c>
      <c r="M33" s="52">
        <f t="shared" si="1"/>
        <v>0.41354466858789624</v>
      </c>
      <c r="N33" s="181">
        <f>K33-'[10]Julijs'!K33</f>
        <v>83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</row>
    <row r="34" spans="1:104" s="186" customFormat="1" ht="12.75">
      <c r="A34" s="464" t="s">
        <v>532</v>
      </c>
      <c r="B34" s="465">
        <f>SUM(B35:B36)</f>
        <v>2421983</v>
      </c>
      <c r="C34" s="465">
        <f>SUM(C35:C36)</f>
        <v>659250</v>
      </c>
      <c r="D34" s="465">
        <f>SUM(D35:D36)</f>
        <v>260417</v>
      </c>
      <c r="E34" s="462">
        <f t="shared" si="5"/>
        <v>0.10752222455731522</v>
      </c>
      <c r="F34" s="462">
        <f t="shared" si="2"/>
        <v>0.3950200985968904</v>
      </c>
      <c r="G34" s="458">
        <f>D34-'[10]Julijs'!D34</f>
        <v>79366</v>
      </c>
      <c r="H34" s="464" t="s">
        <v>532</v>
      </c>
      <c r="I34" s="465">
        <f>SUM(I35:I36)</f>
        <v>2422</v>
      </c>
      <c r="J34" s="465">
        <f>SUM(J35:J36)</f>
        <v>659</v>
      </c>
      <c r="K34" s="465">
        <f>SUM(K35:K36)</f>
        <v>260</v>
      </c>
      <c r="L34" s="466">
        <f t="shared" si="3"/>
        <v>10.734929810074318</v>
      </c>
      <c r="M34" s="466">
        <f t="shared" si="1"/>
        <v>0.3945371775417299</v>
      </c>
      <c r="N34" s="465">
        <f>K34-'[10]Julijs'!K34</f>
        <v>79</v>
      </c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</row>
    <row r="35" spans="1:104" s="54" customFormat="1" ht="12.75">
      <c r="A35" s="176" t="s">
        <v>234</v>
      </c>
      <c r="B35" s="183">
        <v>513003</v>
      </c>
      <c r="C35" s="183">
        <v>409050</v>
      </c>
      <c r="D35" s="183">
        <v>260417</v>
      </c>
      <c r="E35" s="462">
        <f t="shared" si="5"/>
        <v>0.5076325089716824</v>
      </c>
      <c r="F35" s="462">
        <f t="shared" si="2"/>
        <v>0.6366385527441633</v>
      </c>
      <c r="G35" s="458">
        <f>D35-'[10]Julijs'!D35</f>
        <v>79366</v>
      </c>
      <c r="H35" s="176" t="s">
        <v>234</v>
      </c>
      <c r="I35" s="183">
        <f aca="true" t="shared" si="8" ref="I35:K36">ROUND(B35/1000,0)</f>
        <v>513</v>
      </c>
      <c r="J35" s="183">
        <f t="shared" si="8"/>
        <v>409</v>
      </c>
      <c r="K35" s="183">
        <f t="shared" si="8"/>
        <v>260</v>
      </c>
      <c r="L35" s="72">
        <f t="shared" si="3"/>
        <v>50.682261208576996</v>
      </c>
      <c r="M35" s="72">
        <f t="shared" si="1"/>
        <v>0.6356968215158925</v>
      </c>
      <c r="N35" s="183">
        <f>K35-'[10]Julijs'!K35</f>
        <v>79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</row>
    <row r="36" spans="1:104" s="54" customFormat="1" ht="12.75">
      <c r="A36" s="176" t="s">
        <v>235</v>
      </c>
      <c r="B36" s="183">
        <v>1908980</v>
      </c>
      <c r="C36" s="183">
        <v>250200</v>
      </c>
      <c r="D36" s="183"/>
      <c r="E36" s="462">
        <f t="shared" si="5"/>
        <v>0</v>
      </c>
      <c r="F36" s="462">
        <f t="shared" si="2"/>
        <v>0</v>
      </c>
      <c r="G36" s="458">
        <f>D36-'[10]Julijs'!D36</f>
        <v>0</v>
      </c>
      <c r="H36" s="176" t="s">
        <v>235</v>
      </c>
      <c r="I36" s="183">
        <f t="shared" si="8"/>
        <v>1909</v>
      </c>
      <c r="J36" s="183">
        <f t="shared" si="8"/>
        <v>250</v>
      </c>
      <c r="K36" s="183">
        <f t="shared" si="8"/>
        <v>0</v>
      </c>
      <c r="L36" s="72">
        <f t="shared" si="3"/>
        <v>0</v>
      </c>
      <c r="M36" s="72">
        <f t="shared" si="1"/>
        <v>0</v>
      </c>
      <c r="N36" s="183">
        <f>K36-'[10]Julijs'!K36</f>
        <v>0</v>
      </c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</row>
    <row r="37" spans="1:104" s="186" customFormat="1" ht="12.75">
      <c r="A37" s="464" t="s">
        <v>533</v>
      </c>
      <c r="B37" s="465">
        <f>SUM(B38:B39)</f>
        <v>522035</v>
      </c>
      <c r="C37" s="465">
        <f>SUM(C38:C39)</f>
        <v>34937</v>
      </c>
      <c r="D37" s="465">
        <f>SUM(D38:D39)</f>
        <v>26865</v>
      </c>
      <c r="E37" s="462">
        <f t="shared" si="5"/>
        <v>0.05146206671966439</v>
      </c>
      <c r="F37" s="462">
        <f t="shared" si="2"/>
        <v>0.7689555485588345</v>
      </c>
      <c r="G37" s="458">
        <f>D37-'[10]Julijs'!D37</f>
        <v>3597</v>
      </c>
      <c r="H37" s="464" t="s">
        <v>533</v>
      </c>
      <c r="I37" s="465">
        <f>SUM(I38:I39)</f>
        <v>522</v>
      </c>
      <c r="J37" s="465">
        <f>SUM(J38:J39)</f>
        <v>35</v>
      </c>
      <c r="K37" s="465">
        <f>SUM(K38:K39)</f>
        <v>27</v>
      </c>
      <c r="L37" s="466">
        <f t="shared" si="3"/>
        <v>5.172413793103448</v>
      </c>
      <c r="M37" s="466">
        <f t="shared" si="1"/>
        <v>0.7714285714285715</v>
      </c>
      <c r="N37" s="465">
        <f>K37-'[10]Julijs'!K37</f>
        <v>4</v>
      </c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</row>
    <row r="38" spans="1:104" s="54" customFormat="1" ht="12.75">
      <c r="A38" s="176" t="s">
        <v>234</v>
      </c>
      <c r="B38" s="183">
        <v>44790</v>
      </c>
      <c r="C38" s="183">
        <v>34937</v>
      </c>
      <c r="D38" s="183">
        <v>26865</v>
      </c>
      <c r="E38" s="462">
        <f t="shared" si="5"/>
        <v>0.5997990622906899</v>
      </c>
      <c r="F38" s="462">
        <f t="shared" si="2"/>
        <v>0.7689555485588345</v>
      </c>
      <c r="G38" s="458">
        <f>D38-'[10]Julijs'!D38</f>
        <v>3597</v>
      </c>
      <c r="H38" s="176" t="s">
        <v>234</v>
      </c>
      <c r="I38" s="183">
        <f aca="true" t="shared" si="9" ref="I38:K39">ROUND(B38/1000,0)</f>
        <v>45</v>
      </c>
      <c r="J38" s="183">
        <f t="shared" si="9"/>
        <v>35</v>
      </c>
      <c r="K38" s="183">
        <f t="shared" si="9"/>
        <v>27</v>
      </c>
      <c r="L38" s="72">
        <f t="shared" si="3"/>
        <v>60</v>
      </c>
      <c r="M38" s="72">
        <f t="shared" si="1"/>
        <v>0.7714285714285715</v>
      </c>
      <c r="N38" s="183">
        <f>K38-'[10]Julijs'!K38</f>
        <v>4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</row>
    <row r="39" spans="1:104" s="54" customFormat="1" ht="12.75">
      <c r="A39" s="176" t="s">
        <v>235</v>
      </c>
      <c r="B39" s="183">
        <v>477245</v>
      </c>
      <c r="C39" s="183"/>
      <c r="D39" s="183"/>
      <c r="E39" s="462">
        <f t="shared" si="5"/>
        <v>0</v>
      </c>
      <c r="F39" s="462" t="str">
        <f t="shared" si="2"/>
        <v> </v>
      </c>
      <c r="G39" s="458">
        <f>D39-'[10]Julijs'!D39</f>
        <v>0</v>
      </c>
      <c r="H39" s="176" t="s">
        <v>235</v>
      </c>
      <c r="I39" s="183">
        <f t="shared" si="9"/>
        <v>477</v>
      </c>
      <c r="J39" s="183">
        <f t="shared" si="9"/>
        <v>0</v>
      </c>
      <c r="K39" s="183">
        <f t="shared" si="9"/>
        <v>0</v>
      </c>
      <c r="L39" s="72">
        <f t="shared" si="3"/>
        <v>0</v>
      </c>
      <c r="M39" s="72" t="str">
        <f t="shared" si="1"/>
        <v> </v>
      </c>
      <c r="N39" s="183">
        <f>K39-'[10]Julijs'!K39</f>
        <v>0</v>
      </c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</row>
    <row r="40" spans="1:104" s="60" customFormat="1" ht="12.75" customHeight="1">
      <c r="A40" s="53" t="s">
        <v>245</v>
      </c>
      <c r="B40" s="181">
        <f>B41+B43</f>
        <v>1822420</v>
      </c>
      <c r="C40" s="181">
        <f>C41+C43</f>
        <v>1654869</v>
      </c>
      <c r="D40" s="181">
        <f>D41+D43</f>
        <v>678919</v>
      </c>
      <c r="E40" s="463">
        <f t="shared" si="5"/>
        <v>0.3725370660989234</v>
      </c>
      <c r="F40" s="463">
        <f t="shared" si="2"/>
        <v>0.41025543411593307</v>
      </c>
      <c r="G40" s="458">
        <f>D40-'[10]Julijs'!D40</f>
        <v>8092</v>
      </c>
      <c r="H40" s="53" t="s">
        <v>245</v>
      </c>
      <c r="I40" s="181">
        <f>I41+I43</f>
        <v>1822</v>
      </c>
      <c r="J40" s="181">
        <f>J41+J43</f>
        <v>1655</v>
      </c>
      <c r="K40" s="181">
        <f>K41+K43</f>
        <v>679</v>
      </c>
      <c r="L40" s="52">
        <f t="shared" si="3"/>
        <v>37.26673984632272</v>
      </c>
      <c r="M40" s="52">
        <f t="shared" si="1"/>
        <v>0.41027190332326285</v>
      </c>
      <c r="N40" s="181">
        <f>K40-'[10]Julijs'!K40</f>
        <v>8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</row>
    <row r="41" spans="1:104" s="186" customFormat="1" ht="12.75" customHeight="1">
      <c r="A41" s="464" t="s">
        <v>532</v>
      </c>
      <c r="B41" s="465">
        <f>SUM(B42:B42)</f>
        <v>1327420</v>
      </c>
      <c r="C41" s="465">
        <f>SUM(C42:C42)</f>
        <v>1189020</v>
      </c>
      <c r="D41" s="465">
        <f>SUM(D42:D42)</f>
        <v>259956</v>
      </c>
      <c r="E41" s="462">
        <f t="shared" si="5"/>
        <v>0.19583553057811393</v>
      </c>
      <c r="F41" s="462">
        <f t="shared" si="2"/>
        <v>0.21863046878942322</v>
      </c>
      <c r="G41" s="458">
        <f>D41-'[10]Julijs'!D41</f>
        <v>1275</v>
      </c>
      <c r="H41" s="464" t="s">
        <v>532</v>
      </c>
      <c r="I41" s="465">
        <f>I42</f>
        <v>1327</v>
      </c>
      <c r="J41" s="465">
        <f>J42</f>
        <v>1189</v>
      </c>
      <c r="K41" s="465">
        <f>K42</f>
        <v>260</v>
      </c>
      <c r="L41" s="466">
        <f t="shared" si="3"/>
        <v>19.593067068575735</v>
      </c>
      <c r="M41" s="466">
        <f t="shared" si="1"/>
        <v>0.21867115222876365</v>
      </c>
      <c r="N41" s="465">
        <f>K41-'[10]Julijs'!K41</f>
        <v>1</v>
      </c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</row>
    <row r="42" spans="1:104" s="54" customFormat="1" ht="12.75">
      <c r="A42" s="176" t="s">
        <v>234</v>
      </c>
      <c r="B42" s="183">
        <v>1327420</v>
      </c>
      <c r="C42" s="183">
        <v>1189020</v>
      </c>
      <c r="D42" s="183">
        <v>259956</v>
      </c>
      <c r="E42" s="462">
        <f t="shared" si="5"/>
        <v>0.19583553057811393</v>
      </c>
      <c r="F42" s="462">
        <f t="shared" si="2"/>
        <v>0.21863046878942322</v>
      </c>
      <c r="G42" s="458">
        <f>D42-'[10]Julijs'!D42</f>
        <v>1275</v>
      </c>
      <c r="H42" s="176" t="s">
        <v>234</v>
      </c>
      <c r="I42" s="183">
        <f>ROUND(B42/1000,0)</f>
        <v>1327</v>
      </c>
      <c r="J42" s="183">
        <f>ROUND(C42/1000,0)</f>
        <v>1189</v>
      </c>
      <c r="K42" s="183">
        <f>ROUND(D42/1000,0)</f>
        <v>260</v>
      </c>
      <c r="L42" s="72">
        <f t="shared" si="3"/>
        <v>19.593067068575735</v>
      </c>
      <c r="M42" s="72">
        <f t="shared" si="1"/>
        <v>0.21867115222876365</v>
      </c>
      <c r="N42" s="183">
        <f>K42-'[10]Julijs'!K42</f>
        <v>1</v>
      </c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</row>
    <row r="43" spans="1:104" s="210" customFormat="1" ht="12.75">
      <c r="A43" s="464" t="s">
        <v>533</v>
      </c>
      <c r="B43" s="465">
        <f>B44</f>
        <v>495000</v>
      </c>
      <c r="C43" s="465">
        <f>C44</f>
        <v>465849</v>
      </c>
      <c r="D43" s="465">
        <f>D44</f>
        <v>418963</v>
      </c>
      <c r="E43" s="462">
        <f t="shared" si="5"/>
        <v>0.846389898989899</v>
      </c>
      <c r="F43" s="462">
        <f t="shared" si="2"/>
        <v>0.8993536532223961</v>
      </c>
      <c r="G43" s="458">
        <f>D43-'[10]Julijs'!D43</f>
        <v>6817</v>
      </c>
      <c r="H43" s="464" t="s">
        <v>533</v>
      </c>
      <c r="I43" s="465">
        <f>I44</f>
        <v>495</v>
      </c>
      <c r="J43" s="465">
        <f>J44</f>
        <v>466</v>
      </c>
      <c r="K43" s="465">
        <f>K44</f>
        <v>419</v>
      </c>
      <c r="L43" s="466">
        <f t="shared" si="3"/>
        <v>84.64646464646465</v>
      </c>
      <c r="M43" s="466">
        <f t="shared" si="1"/>
        <v>0.8991416309012875</v>
      </c>
      <c r="N43" s="465">
        <f>K43-'[10]Julijs'!K43</f>
        <v>7</v>
      </c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</row>
    <row r="44" spans="1:104" s="75" customFormat="1" ht="12.75">
      <c r="A44" s="176" t="s">
        <v>234</v>
      </c>
      <c r="B44" s="183">
        <v>495000</v>
      </c>
      <c r="C44" s="183">
        <v>465849</v>
      </c>
      <c r="D44" s="183">
        <v>418963</v>
      </c>
      <c r="E44" s="462">
        <f t="shared" si="5"/>
        <v>0.846389898989899</v>
      </c>
      <c r="F44" s="462">
        <f t="shared" si="2"/>
        <v>0.8993536532223961</v>
      </c>
      <c r="G44" s="458">
        <f>D44-'[10]Julijs'!D44</f>
        <v>6817</v>
      </c>
      <c r="H44" s="176" t="s">
        <v>234</v>
      </c>
      <c r="I44" s="183">
        <f>ROUND(B44/1000,0)</f>
        <v>495</v>
      </c>
      <c r="J44" s="183">
        <f>ROUND(C44/1000,0)</f>
        <v>466</v>
      </c>
      <c r="K44" s="183">
        <f>ROUND(D44/1000,0)</f>
        <v>419</v>
      </c>
      <c r="L44" s="72">
        <f t="shared" si="3"/>
        <v>84.64646464646465</v>
      </c>
      <c r="M44" s="72">
        <f t="shared" si="1"/>
        <v>0.8991416309012875</v>
      </c>
      <c r="N44" s="183">
        <f>K44-'[10]Julijs'!K44</f>
        <v>7</v>
      </c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</row>
    <row r="45" spans="1:14" s="2" customFormat="1" ht="12.75">
      <c r="A45" s="67" t="s">
        <v>246</v>
      </c>
      <c r="B45" s="467">
        <f>B46+B49</f>
        <v>20232297</v>
      </c>
      <c r="C45" s="467">
        <f>C46+C49</f>
        <v>15555327</v>
      </c>
      <c r="D45" s="467">
        <f>D46+D49</f>
        <v>318201</v>
      </c>
      <c r="E45" s="463">
        <f t="shared" si="5"/>
        <v>0.01572737885372086</v>
      </c>
      <c r="F45" s="463">
        <f t="shared" si="2"/>
        <v>0.020456079129676927</v>
      </c>
      <c r="G45" s="458">
        <f>D45-'[10]Julijs'!D45</f>
        <v>3971</v>
      </c>
      <c r="H45" s="67" t="s">
        <v>246</v>
      </c>
      <c r="I45" s="181">
        <f>I46+I49</f>
        <v>20231</v>
      </c>
      <c r="J45" s="181">
        <f>J46+J49</f>
        <v>15555</v>
      </c>
      <c r="K45" s="181">
        <f>K46+K49</f>
        <v>319</v>
      </c>
      <c r="L45" s="52">
        <f t="shared" si="3"/>
        <v>1.5767880974741733</v>
      </c>
      <c r="M45" s="52">
        <f t="shared" si="1"/>
        <v>0.020507875281260045</v>
      </c>
      <c r="N45" s="181">
        <f>K45-'[10]Julijs'!K45</f>
        <v>5</v>
      </c>
    </row>
    <row r="46" spans="1:14" s="82" customFormat="1" ht="12.75">
      <c r="A46" s="464" t="s">
        <v>532</v>
      </c>
      <c r="B46" s="465">
        <f>SUM(B47:B48)</f>
        <v>15652677</v>
      </c>
      <c r="C46" s="465">
        <f>SUM(C47:C48)</f>
        <v>15393827</v>
      </c>
      <c r="D46" s="465">
        <f>SUM(D47:D48)</f>
        <v>204646</v>
      </c>
      <c r="E46" s="462">
        <f t="shared" si="5"/>
        <v>0.013074185329448759</v>
      </c>
      <c r="F46" s="462">
        <f t="shared" si="2"/>
        <v>0.013294030132987723</v>
      </c>
      <c r="G46" s="458">
        <f>D46-'[10]Julijs'!D46</f>
        <v>0</v>
      </c>
      <c r="H46" s="464" t="s">
        <v>532</v>
      </c>
      <c r="I46" s="465">
        <f>SUM(I47:I48)</f>
        <v>15652</v>
      </c>
      <c r="J46" s="465">
        <f>SUM(J47:J48)</f>
        <v>15394</v>
      </c>
      <c r="K46" s="465">
        <f>SUM(K47:K48)</f>
        <v>205</v>
      </c>
      <c r="L46" s="466">
        <f t="shared" si="3"/>
        <v>1.309736774853054</v>
      </c>
      <c r="M46" s="466">
        <f t="shared" si="1"/>
        <v>0.013316876705209821</v>
      </c>
      <c r="N46" s="465">
        <f>K46-'[10]Julijs'!K46</f>
        <v>0</v>
      </c>
    </row>
    <row r="47" spans="1:14" ht="12.75">
      <c r="A47" s="176" t="s">
        <v>234</v>
      </c>
      <c r="B47" s="183">
        <v>14120267</v>
      </c>
      <c r="C47" s="183">
        <v>14120267</v>
      </c>
      <c r="D47" s="183">
        <v>204646</v>
      </c>
      <c r="E47" s="462">
        <f t="shared" si="5"/>
        <v>0.014493068721717513</v>
      </c>
      <c r="F47" s="462">
        <f t="shared" si="2"/>
        <v>0.014493068721717513</v>
      </c>
      <c r="G47" s="458">
        <f>D47-'[10]Julijs'!D47</f>
        <v>0</v>
      </c>
      <c r="H47" s="176" t="s">
        <v>234</v>
      </c>
      <c r="I47" s="183">
        <f aca="true" t="shared" si="10" ref="I47:K48">ROUND(B47/1000,0)</f>
        <v>14120</v>
      </c>
      <c r="J47" s="183">
        <f t="shared" si="10"/>
        <v>14120</v>
      </c>
      <c r="K47" s="183">
        <f>ROUND(D47/1000,0)</f>
        <v>205</v>
      </c>
      <c r="L47" s="72">
        <f t="shared" si="3"/>
        <v>1.451841359773371</v>
      </c>
      <c r="M47" s="72">
        <f t="shared" si="1"/>
        <v>0.01451841359773371</v>
      </c>
      <c r="N47" s="183">
        <f>K47-'[10]Julijs'!K47</f>
        <v>0</v>
      </c>
    </row>
    <row r="48" spans="1:14" ht="12.75">
      <c r="A48" s="176" t="s">
        <v>235</v>
      </c>
      <c r="B48" s="183">
        <v>1532410</v>
      </c>
      <c r="C48" s="183">
        <v>1273560</v>
      </c>
      <c r="D48" s="183"/>
      <c r="E48" s="462">
        <f t="shared" si="5"/>
        <v>0</v>
      </c>
      <c r="F48" s="462">
        <f t="shared" si="2"/>
        <v>0</v>
      </c>
      <c r="G48" s="458">
        <f>D48-'[10]Julijs'!D48</f>
        <v>0</v>
      </c>
      <c r="H48" s="176" t="s">
        <v>235</v>
      </c>
      <c r="I48" s="183">
        <f t="shared" si="10"/>
        <v>1532</v>
      </c>
      <c r="J48" s="183">
        <f t="shared" si="10"/>
        <v>1274</v>
      </c>
      <c r="K48" s="183">
        <f t="shared" si="10"/>
        <v>0</v>
      </c>
      <c r="L48" s="72">
        <f t="shared" si="3"/>
        <v>0</v>
      </c>
      <c r="M48" s="72">
        <f t="shared" si="1"/>
        <v>0</v>
      </c>
      <c r="N48" s="183">
        <f>K48-'[10]Julijs'!K48</f>
        <v>0</v>
      </c>
    </row>
    <row r="49" spans="1:14" s="82" customFormat="1" ht="12.75">
      <c r="A49" s="464" t="s">
        <v>533</v>
      </c>
      <c r="B49" s="465">
        <f>SUM(B50:B51)</f>
        <v>4579620</v>
      </c>
      <c r="C49" s="465">
        <f>SUM(C50:C51)</f>
        <v>161500</v>
      </c>
      <c r="D49" s="465">
        <f>SUM(D50:D51)</f>
        <v>113555</v>
      </c>
      <c r="E49" s="462">
        <f t="shared" si="5"/>
        <v>0.024795725409531795</v>
      </c>
      <c r="F49" s="462">
        <f t="shared" si="2"/>
        <v>0.7031269349845202</v>
      </c>
      <c r="G49" s="458">
        <f>D49-'[10]Julijs'!D49</f>
        <v>3971</v>
      </c>
      <c r="H49" s="464" t="s">
        <v>533</v>
      </c>
      <c r="I49" s="465">
        <f>SUM(I50:I51)</f>
        <v>4579</v>
      </c>
      <c r="J49" s="465">
        <f>SUM(J50:J51)</f>
        <v>161</v>
      </c>
      <c r="K49" s="465">
        <f>SUM(K50:K51)</f>
        <v>114</v>
      </c>
      <c r="L49" s="466">
        <f t="shared" si="3"/>
        <v>2.4896265560165975</v>
      </c>
      <c r="M49" s="466">
        <f t="shared" si="1"/>
        <v>0.7080745341614907</v>
      </c>
      <c r="N49" s="465">
        <f>K49-'[10]Julijs'!K49</f>
        <v>5</v>
      </c>
    </row>
    <row r="50" spans="1:14" ht="12.75">
      <c r="A50" s="176" t="s">
        <v>234</v>
      </c>
      <c r="B50" s="183">
        <v>4475620</v>
      </c>
      <c r="C50" s="183">
        <v>57500</v>
      </c>
      <c r="D50" s="183">
        <v>23549</v>
      </c>
      <c r="E50" s="462">
        <f t="shared" si="5"/>
        <v>0.005261617384853942</v>
      </c>
      <c r="F50" s="462">
        <f t="shared" si="2"/>
        <v>0.4095478260869565</v>
      </c>
      <c r="G50" s="458">
        <f>D50-'[10]Julijs'!D50</f>
        <v>3971</v>
      </c>
      <c r="H50" s="176" t="s">
        <v>234</v>
      </c>
      <c r="I50" s="183">
        <f>ROUND(B50/1000,0)-1</f>
        <v>4475</v>
      </c>
      <c r="J50" s="183">
        <f>ROUND(C50/1000,0)-1</f>
        <v>57</v>
      </c>
      <c r="K50" s="183">
        <f>ROUND(D50/1000,0)</f>
        <v>24</v>
      </c>
      <c r="L50" s="72">
        <f t="shared" si="3"/>
        <v>0.5363128491620112</v>
      </c>
      <c r="M50" s="72">
        <f t="shared" si="1"/>
        <v>0.42105263157894735</v>
      </c>
      <c r="N50" s="183">
        <f>K50-'[10]Julijs'!K50</f>
        <v>5</v>
      </c>
    </row>
    <row r="51" spans="1:14" ht="12.75">
      <c r="A51" s="176" t="s">
        <v>235</v>
      </c>
      <c r="B51" s="183">
        <v>104000</v>
      </c>
      <c r="C51" s="183">
        <v>104000</v>
      </c>
      <c r="D51" s="183">
        <v>90006</v>
      </c>
      <c r="E51" s="462">
        <f t="shared" si="5"/>
        <v>0.8654423076923077</v>
      </c>
      <c r="F51" s="462">
        <f t="shared" si="2"/>
        <v>0.8654423076923077</v>
      </c>
      <c r="G51" s="458">
        <f>D51-'[10]Julijs'!D51</f>
        <v>0</v>
      </c>
      <c r="H51" s="176" t="s">
        <v>235</v>
      </c>
      <c r="I51" s="183">
        <f>ROUND(B51/1000,0)</f>
        <v>104</v>
      </c>
      <c r="J51" s="183">
        <f>ROUND(C51/1000,0)</f>
        <v>104</v>
      </c>
      <c r="K51" s="183">
        <f>ROUND(D51/1000,0)</f>
        <v>90</v>
      </c>
      <c r="L51" s="72">
        <f t="shared" si="3"/>
        <v>86.53846153846155</v>
      </c>
      <c r="M51" s="72">
        <f t="shared" si="1"/>
        <v>0.8653846153846154</v>
      </c>
      <c r="N51" s="183">
        <f>K51-'[10]Julijs'!K51</f>
        <v>0</v>
      </c>
    </row>
    <row r="52" spans="1:14" s="2" customFormat="1" ht="12.75" customHeight="1">
      <c r="A52" s="67" t="s">
        <v>247</v>
      </c>
      <c r="B52" s="467">
        <f>B53+B55</f>
        <v>1222000</v>
      </c>
      <c r="C52" s="467">
        <f>C53+C55</f>
        <v>497000</v>
      </c>
      <c r="D52" s="467">
        <f>D53+D55</f>
        <v>798009</v>
      </c>
      <c r="E52" s="463">
        <f t="shared" si="5"/>
        <v>0.6530351882160392</v>
      </c>
      <c r="F52" s="463">
        <f t="shared" si="2"/>
        <v>1.6056519114688128</v>
      </c>
      <c r="G52" s="458">
        <f>D52-'[10]Julijs'!D52</f>
        <v>11921</v>
      </c>
      <c r="H52" s="67" t="s">
        <v>247</v>
      </c>
      <c r="I52" s="181">
        <f>I53+I55</f>
        <v>1222</v>
      </c>
      <c r="J52" s="181">
        <f>J53+J55</f>
        <v>497</v>
      </c>
      <c r="K52" s="181">
        <f>K53+K55</f>
        <v>798</v>
      </c>
      <c r="L52" s="52">
        <f t="shared" si="3"/>
        <v>65.30278232405891</v>
      </c>
      <c r="M52" s="52">
        <f t="shared" si="1"/>
        <v>1.6056338028169015</v>
      </c>
      <c r="N52" s="181">
        <f>K52-'[10]Julijs'!K52</f>
        <v>12</v>
      </c>
    </row>
    <row r="53" spans="1:14" s="82" customFormat="1" ht="12.75" customHeight="1">
      <c r="A53" s="464" t="s">
        <v>532</v>
      </c>
      <c r="B53" s="465">
        <f>SUM(B54:B54)</f>
        <v>222000</v>
      </c>
      <c r="C53" s="465">
        <f>SUM(C54:C54)</f>
        <v>0</v>
      </c>
      <c r="D53" s="465">
        <f>SUM(D54:D54)</f>
        <v>421593</v>
      </c>
      <c r="E53" s="462">
        <f t="shared" si="5"/>
        <v>1.8990675675675677</v>
      </c>
      <c r="F53" s="462" t="str">
        <f t="shared" si="2"/>
        <v> </v>
      </c>
      <c r="G53" s="458">
        <f>D53-'[10]Julijs'!D53</f>
        <v>0</v>
      </c>
      <c r="H53" s="464" t="s">
        <v>532</v>
      </c>
      <c r="I53" s="465">
        <f>I54</f>
        <v>222</v>
      </c>
      <c r="J53" s="465">
        <f>J54</f>
        <v>0</v>
      </c>
      <c r="K53" s="465">
        <f>K54</f>
        <v>422</v>
      </c>
      <c r="L53" s="466">
        <f t="shared" si="3"/>
        <v>190.0900900900901</v>
      </c>
      <c r="M53" s="466" t="str">
        <f t="shared" si="1"/>
        <v> </v>
      </c>
      <c r="N53" s="465">
        <f>K53-'[10]Julijs'!K53</f>
        <v>0</v>
      </c>
    </row>
    <row r="54" spans="1:14" ht="12.75">
      <c r="A54" s="176" t="s">
        <v>235</v>
      </c>
      <c r="B54" s="183">
        <v>222000</v>
      </c>
      <c r="C54" s="183"/>
      <c r="D54" s="183">
        <v>421593</v>
      </c>
      <c r="E54" s="462">
        <f t="shared" si="5"/>
        <v>1.8990675675675677</v>
      </c>
      <c r="F54" s="462" t="str">
        <f t="shared" si="2"/>
        <v> </v>
      </c>
      <c r="G54" s="458">
        <f>D54-'[10]Julijs'!D54</f>
        <v>0</v>
      </c>
      <c r="H54" s="176" t="s">
        <v>235</v>
      </c>
      <c r="I54" s="183">
        <f>ROUND(B54/1000,0)</f>
        <v>222</v>
      </c>
      <c r="J54" s="183">
        <f>ROUND(C54/1000,0)</f>
        <v>0</v>
      </c>
      <c r="K54" s="183">
        <f>ROUND(D54/1000,0)</f>
        <v>422</v>
      </c>
      <c r="L54" s="72">
        <f t="shared" si="3"/>
        <v>190.0900900900901</v>
      </c>
      <c r="M54" s="72" t="str">
        <f t="shared" si="1"/>
        <v> </v>
      </c>
      <c r="N54" s="183">
        <f>K54-'[10]Julijs'!K54</f>
        <v>0</v>
      </c>
    </row>
    <row r="55" spans="1:14" s="82" customFormat="1" ht="12.75">
      <c r="A55" s="464" t="s">
        <v>533</v>
      </c>
      <c r="B55" s="465">
        <f>B56</f>
        <v>1000000</v>
      </c>
      <c r="C55" s="465">
        <f>C56</f>
        <v>497000</v>
      </c>
      <c r="D55" s="465">
        <f>D56</f>
        <v>376416</v>
      </c>
      <c r="E55" s="462">
        <f t="shared" si="5"/>
        <v>0.376416</v>
      </c>
      <c r="F55" s="462">
        <f t="shared" si="2"/>
        <v>0.7573762575452716</v>
      </c>
      <c r="G55" s="458">
        <f>D55-'[10]Julijs'!D55</f>
        <v>11921</v>
      </c>
      <c r="H55" s="464" t="s">
        <v>533</v>
      </c>
      <c r="I55" s="465">
        <f>I56</f>
        <v>1000</v>
      </c>
      <c r="J55" s="465">
        <f>J56</f>
        <v>497</v>
      </c>
      <c r="K55" s="465">
        <f>K56</f>
        <v>376</v>
      </c>
      <c r="L55" s="466">
        <f t="shared" si="3"/>
        <v>37.6</v>
      </c>
      <c r="M55" s="466">
        <f t="shared" si="1"/>
        <v>0.7565392354124748</v>
      </c>
      <c r="N55" s="465">
        <f>K55-'[10]Julijs'!K55</f>
        <v>12</v>
      </c>
    </row>
    <row r="56" spans="1:14" ht="12.75">
      <c r="A56" s="176" t="s">
        <v>235</v>
      </c>
      <c r="B56" s="183">
        <v>1000000</v>
      </c>
      <c r="C56" s="183">
        <v>497000</v>
      </c>
      <c r="D56" s="183">
        <v>376416</v>
      </c>
      <c r="E56" s="462">
        <f t="shared" si="5"/>
        <v>0.376416</v>
      </c>
      <c r="F56" s="462">
        <f t="shared" si="2"/>
        <v>0.7573762575452716</v>
      </c>
      <c r="G56" s="458">
        <f>D56-'[10]Julijs'!D56</f>
        <v>11921</v>
      </c>
      <c r="H56" s="176" t="s">
        <v>235</v>
      </c>
      <c r="I56" s="183">
        <f>ROUND(B56/1000,0)</f>
        <v>1000</v>
      </c>
      <c r="J56" s="183">
        <f>ROUND(C56/1000,0)</f>
        <v>497</v>
      </c>
      <c r="K56" s="183">
        <f>ROUND(D56/1000,0)</f>
        <v>376</v>
      </c>
      <c r="L56" s="72">
        <f t="shared" si="3"/>
        <v>37.6</v>
      </c>
      <c r="M56" s="72">
        <f t="shared" si="1"/>
        <v>0.7565392354124748</v>
      </c>
      <c r="N56" s="183">
        <f>K56-'[10]Julijs'!K56</f>
        <v>12</v>
      </c>
    </row>
    <row r="57" spans="1:14" s="2" customFormat="1" ht="12.75">
      <c r="A57" s="67" t="s">
        <v>248</v>
      </c>
      <c r="B57" s="467">
        <f>B58+B61</f>
        <v>1898720</v>
      </c>
      <c r="C57" s="467">
        <f>C58+C61</f>
        <v>995662</v>
      </c>
      <c r="D57" s="467">
        <f>D58+D61</f>
        <v>103824</v>
      </c>
      <c r="E57" s="463">
        <f t="shared" si="5"/>
        <v>0.05468104828516053</v>
      </c>
      <c r="F57" s="463">
        <f t="shared" si="2"/>
        <v>0.10427635080981297</v>
      </c>
      <c r="G57" s="458">
        <f>D57-'[10]Julijs'!D57</f>
        <v>25309</v>
      </c>
      <c r="H57" s="67" t="s">
        <v>248</v>
      </c>
      <c r="I57" s="181">
        <f>I58+I61</f>
        <v>1900</v>
      </c>
      <c r="J57" s="181">
        <f>J58+J61</f>
        <v>994</v>
      </c>
      <c r="K57" s="181">
        <f>K58+K61</f>
        <v>104</v>
      </c>
      <c r="L57" s="52">
        <f t="shared" si="3"/>
        <v>5.473684210526316</v>
      </c>
      <c r="M57" s="52">
        <f t="shared" si="1"/>
        <v>0.10462776659959759</v>
      </c>
      <c r="N57" s="181">
        <f>K57-'[10]Julijs'!K57</f>
        <v>25</v>
      </c>
    </row>
    <row r="58" spans="1:14" s="82" customFormat="1" ht="12.75">
      <c r="A58" s="464" t="s">
        <v>532</v>
      </c>
      <c r="B58" s="465">
        <f>SUM(B59:B60)</f>
        <v>1604180</v>
      </c>
      <c r="C58" s="465">
        <f>SUM(C59:C60)</f>
        <v>835692</v>
      </c>
      <c r="D58" s="465">
        <f>SUM(D59:D60)</f>
        <v>0</v>
      </c>
      <c r="E58" s="462">
        <f t="shared" si="5"/>
        <v>0</v>
      </c>
      <c r="F58" s="462">
        <f t="shared" si="2"/>
        <v>0</v>
      </c>
      <c r="G58" s="458">
        <f>D58-'[10]Julijs'!D58</f>
        <v>0</v>
      </c>
      <c r="H58" s="464" t="s">
        <v>532</v>
      </c>
      <c r="I58" s="465">
        <f>SUM(I59:I60)</f>
        <v>1605</v>
      </c>
      <c r="J58" s="465">
        <f>SUM(J59:J60)</f>
        <v>835</v>
      </c>
      <c r="K58" s="465">
        <f>SUM(K59:K60)</f>
        <v>0</v>
      </c>
      <c r="L58" s="466">
        <f t="shared" si="3"/>
        <v>0</v>
      </c>
      <c r="M58" s="466">
        <f t="shared" si="1"/>
        <v>0</v>
      </c>
      <c r="N58" s="465">
        <f>K58-'[10]Julijs'!K58</f>
        <v>0</v>
      </c>
    </row>
    <row r="59" spans="1:14" ht="12.75">
      <c r="A59" s="176" t="s">
        <v>234</v>
      </c>
      <c r="B59" s="183">
        <v>1130660</v>
      </c>
      <c r="C59" s="183">
        <v>596138</v>
      </c>
      <c r="D59" s="183"/>
      <c r="E59" s="462">
        <f t="shared" si="5"/>
        <v>0</v>
      </c>
      <c r="F59" s="462">
        <f t="shared" si="2"/>
        <v>0</v>
      </c>
      <c r="G59" s="458">
        <f>D59-'[10]Julijs'!D59</f>
        <v>0</v>
      </c>
      <c r="H59" s="176" t="s">
        <v>234</v>
      </c>
      <c r="I59" s="183">
        <f aca="true" t="shared" si="11" ref="I59:K60">ROUND(B59/1000,0)</f>
        <v>1131</v>
      </c>
      <c r="J59" s="183">
        <f t="shared" si="11"/>
        <v>596</v>
      </c>
      <c r="K59" s="183">
        <f t="shared" si="11"/>
        <v>0</v>
      </c>
      <c r="L59" s="72">
        <f t="shared" si="3"/>
        <v>0</v>
      </c>
      <c r="M59" s="72">
        <f t="shared" si="1"/>
        <v>0</v>
      </c>
      <c r="N59" s="183">
        <f>K59-'[10]Julijs'!K59</f>
        <v>0</v>
      </c>
    </row>
    <row r="60" spans="1:14" ht="12.75">
      <c r="A60" s="176" t="s">
        <v>235</v>
      </c>
      <c r="B60" s="183">
        <v>473520</v>
      </c>
      <c r="C60" s="183">
        <v>239554</v>
      </c>
      <c r="D60" s="183"/>
      <c r="E60" s="462">
        <f t="shared" si="5"/>
        <v>0</v>
      </c>
      <c r="F60" s="462">
        <f t="shared" si="2"/>
        <v>0</v>
      </c>
      <c r="G60" s="458">
        <f>D60-'[10]Julijs'!D60</f>
        <v>0</v>
      </c>
      <c r="H60" s="176" t="s">
        <v>235</v>
      </c>
      <c r="I60" s="183">
        <f t="shared" si="11"/>
        <v>474</v>
      </c>
      <c r="J60" s="183">
        <f>ROUND(C60/1000,0)-1</f>
        <v>239</v>
      </c>
      <c r="K60" s="183">
        <f t="shared" si="11"/>
        <v>0</v>
      </c>
      <c r="L60" s="72">
        <f t="shared" si="3"/>
        <v>0</v>
      </c>
      <c r="M60" s="72">
        <f t="shared" si="1"/>
        <v>0</v>
      </c>
      <c r="N60" s="183">
        <f>K60-'[10]Julijs'!K60</f>
        <v>0</v>
      </c>
    </row>
    <row r="61" spans="1:14" s="82" customFormat="1" ht="12.75">
      <c r="A61" s="464" t="s">
        <v>533</v>
      </c>
      <c r="B61" s="465">
        <f>SUM(B62:B63)</f>
        <v>294540</v>
      </c>
      <c r="C61" s="465">
        <f>SUM(C62:C63)</f>
        <v>159970</v>
      </c>
      <c r="D61" s="465">
        <f>SUM(D62:D63)</f>
        <v>103824</v>
      </c>
      <c r="E61" s="462">
        <f t="shared" si="5"/>
        <v>0.35249541658178857</v>
      </c>
      <c r="F61" s="462">
        <f t="shared" si="2"/>
        <v>0.6490216915671688</v>
      </c>
      <c r="G61" s="458">
        <f>D61-'[10]Julijs'!D61</f>
        <v>25309</v>
      </c>
      <c r="H61" s="464" t="s">
        <v>533</v>
      </c>
      <c r="I61" s="465">
        <f>SUM(I62:I63)</f>
        <v>295</v>
      </c>
      <c r="J61" s="465">
        <f>SUM(J62:J63)</f>
        <v>159</v>
      </c>
      <c r="K61" s="465">
        <f>SUM(K62:K63)</f>
        <v>104</v>
      </c>
      <c r="L61" s="466">
        <f t="shared" si="3"/>
        <v>35.25423728813559</v>
      </c>
      <c r="M61" s="466">
        <f t="shared" si="1"/>
        <v>0.6540880503144654</v>
      </c>
      <c r="N61" s="465">
        <f>K61-'[10]Julijs'!K61</f>
        <v>25</v>
      </c>
    </row>
    <row r="62" spans="1:14" ht="12.75">
      <c r="A62" s="176" t="s">
        <v>234</v>
      </c>
      <c r="B62" s="183">
        <v>185510</v>
      </c>
      <c r="C62" s="183">
        <v>101400</v>
      </c>
      <c r="D62" s="183">
        <v>76811</v>
      </c>
      <c r="E62" s="462">
        <f t="shared" si="5"/>
        <v>0.4140531507735432</v>
      </c>
      <c r="F62" s="462">
        <f t="shared" si="2"/>
        <v>0.7575049309664694</v>
      </c>
      <c r="G62" s="458">
        <f>D62-'[10]Julijs'!D62</f>
        <v>22089</v>
      </c>
      <c r="H62" s="176" t="s">
        <v>234</v>
      </c>
      <c r="I62" s="183">
        <f aca="true" t="shared" si="12" ref="I62:K63">ROUND(B62/1000,0)</f>
        <v>186</v>
      </c>
      <c r="J62" s="183">
        <f t="shared" si="12"/>
        <v>101</v>
      </c>
      <c r="K62" s="183">
        <f t="shared" si="12"/>
        <v>77</v>
      </c>
      <c r="L62" s="72">
        <f t="shared" si="3"/>
        <v>41.39784946236559</v>
      </c>
      <c r="M62" s="72">
        <f t="shared" si="1"/>
        <v>0.7623762376237624</v>
      </c>
      <c r="N62" s="183">
        <f>K62-'[10]Julijs'!K62</f>
        <v>22</v>
      </c>
    </row>
    <row r="63" spans="1:14" ht="12.75">
      <c r="A63" s="176" t="s">
        <v>235</v>
      </c>
      <c r="B63" s="183">
        <v>109030</v>
      </c>
      <c r="C63" s="183">
        <v>58570</v>
      </c>
      <c r="D63" s="183">
        <v>27013</v>
      </c>
      <c r="E63" s="462">
        <f t="shared" si="5"/>
        <v>0.2477574979363478</v>
      </c>
      <c r="F63" s="462">
        <f t="shared" si="2"/>
        <v>0.4612088099709749</v>
      </c>
      <c r="G63" s="458">
        <f>D63-'[10]Julijs'!D63</f>
        <v>3220</v>
      </c>
      <c r="H63" s="176" t="s">
        <v>235</v>
      </c>
      <c r="I63" s="183">
        <f t="shared" si="12"/>
        <v>109</v>
      </c>
      <c r="J63" s="183">
        <f>ROUND(C63/1000,0)-1</f>
        <v>58</v>
      </c>
      <c r="K63" s="183">
        <f t="shared" si="12"/>
        <v>27</v>
      </c>
      <c r="L63" s="72">
        <f t="shared" si="3"/>
        <v>24.770642201834864</v>
      </c>
      <c r="M63" s="72">
        <f t="shared" si="1"/>
        <v>0.46551724137931033</v>
      </c>
      <c r="N63" s="183">
        <f>K63-'[10]Julijs'!K63</f>
        <v>3</v>
      </c>
    </row>
    <row r="64" spans="1:14" s="2" customFormat="1" ht="12.75">
      <c r="A64" s="67" t="s">
        <v>534</v>
      </c>
      <c r="B64" s="467">
        <f>B65+B68</f>
        <v>1063700</v>
      </c>
      <c r="C64" s="467">
        <f>C65+C68</f>
        <v>865893</v>
      </c>
      <c r="D64" s="467">
        <f>D65+D68</f>
        <v>232357</v>
      </c>
      <c r="E64" s="463">
        <f t="shared" si="5"/>
        <v>0.21844222995205415</v>
      </c>
      <c r="F64" s="463">
        <f t="shared" si="2"/>
        <v>0.2683437791967368</v>
      </c>
      <c r="G64" s="458">
        <f>D64-'[10]Julijs'!D64</f>
        <v>84828</v>
      </c>
      <c r="H64" s="67" t="s">
        <v>534</v>
      </c>
      <c r="I64" s="181">
        <f>I65+I68</f>
        <v>1064</v>
      </c>
      <c r="J64" s="181">
        <f>J65+J68</f>
        <v>866</v>
      </c>
      <c r="K64" s="181">
        <f>K65+K68</f>
        <v>232</v>
      </c>
      <c r="L64" s="52">
        <f t="shared" si="3"/>
        <v>21.804511278195488</v>
      </c>
      <c r="M64" s="52">
        <f t="shared" si="1"/>
        <v>0.2678983833718245</v>
      </c>
      <c r="N64" s="181">
        <f>K64-'[10]Julijs'!K64</f>
        <v>84</v>
      </c>
    </row>
    <row r="65" spans="1:14" s="82" customFormat="1" ht="12.75">
      <c r="A65" s="464" t="s">
        <v>532</v>
      </c>
      <c r="B65" s="465">
        <f>SUM(B66:B67)</f>
        <v>683000</v>
      </c>
      <c r="C65" s="465">
        <f>SUM(C66:C67)</f>
        <v>620000</v>
      </c>
      <c r="D65" s="465">
        <f>SUM(D66:D67)</f>
        <v>14126</v>
      </c>
      <c r="E65" s="462">
        <f t="shared" si="5"/>
        <v>0.02068228404099561</v>
      </c>
      <c r="F65" s="462">
        <f t="shared" si="2"/>
        <v>0.022783870967741936</v>
      </c>
      <c r="G65" s="458">
        <f>D65-'[10]Julijs'!D65</f>
        <v>0</v>
      </c>
      <c r="H65" s="464" t="s">
        <v>532</v>
      </c>
      <c r="I65" s="465">
        <f>SUM(I66:I67)</f>
        <v>683</v>
      </c>
      <c r="J65" s="465">
        <f>SUM(J66:J67)</f>
        <v>620</v>
      </c>
      <c r="K65" s="465">
        <f>SUM(K66:K67)</f>
        <v>14</v>
      </c>
      <c r="L65" s="466">
        <f t="shared" si="3"/>
        <v>2.049780380673499</v>
      </c>
      <c r="M65" s="466">
        <f t="shared" si="1"/>
        <v>0.02258064516129032</v>
      </c>
      <c r="N65" s="465">
        <f>K65-'[10]Julijs'!K65</f>
        <v>0</v>
      </c>
    </row>
    <row r="66" spans="1:14" ht="12.75">
      <c r="A66" s="176" t="s">
        <v>234</v>
      </c>
      <c r="B66" s="183">
        <v>186000</v>
      </c>
      <c r="C66" s="183">
        <v>123000</v>
      </c>
      <c r="D66" s="183">
        <v>14126</v>
      </c>
      <c r="E66" s="462">
        <f t="shared" si="5"/>
        <v>0.07594623655913979</v>
      </c>
      <c r="F66" s="462">
        <f t="shared" si="2"/>
        <v>0.11484552845528455</v>
      </c>
      <c r="G66" s="458">
        <f>D66-'[10]Julijs'!D66</f>
        <v>0</v>
      </c>
      <c r="H66" s="176" t="s">
        <v>234</v>
      </c>
      <c r="I66" s="183">
        <f aca="true" t="shared" si="13" ref="I66:K67">ROUND(B66/1000,0)</f>
        <v>186</v>
      </c>
      <c r="J66" s="183">
        <f t="shared" si="13"/>
        <v>123</v>
      </c>
      <c r="K66" s="183">
        <f t="shared" si="13"/>
        <v>14</v>
      </c>
      <c r="L66" s="72">
        <f t="shared" si="3"/>
        <v>7.526881720430108</v>
      </c>
      <c r="M66" s="72">
        <f t="shared" si="1"/>
        <v>0.11382113821138211</v>
      </c>
      <c r="N66" s="183">
        <f>K66-'[10]Julijs'!K66</f>
        <v>0</v>
      </c>
    </row>
    <row r="67" spans="1:14" ht="12.75">
      <c r="A67" s="176" t="s">
        <v>235</v>
      </c>
      <c r="B67" s="183">
        <v>497000</v>
      </c>
      <c r="C67" s="183">
        <v>497000</v>
      </c>
      <c r="D67" s="183"/>
      <c r="E67" s="462">
        <f t="shared" si="5"/>
        <v>0</v>
      </c>
      <c r="F67" s="462">
        <f t="shared" si="2"/>
        <v>0</v>
      </c>
      <c r="G67" s="458">
        <f>D67-'[10]Julijs'!D67</f>
        <v>0</v>
      </c>
      <c r="H67" s="176" t="s">
        <v>235</v>
      </c>
      <c r="I67" s="183">
        <f t="shared" si="13"/>
        <v>497</v>
      </c>
      <c r="J67" s="183">
        <f t="shared" si="13"/>
        <v>497</v>
      </c>
      <c r="K67" s="183">
        <f t="shared" si="13"/>
        <v>0</v>
      </c>
      <c r="L67" s="72">
        <f t="shared" si="3"/>
        <v>0</v>
      </c>
      <c r="M67" s="72">
        <f t="shared" si="1"/>
        <v>0</v>
      </c>
      <c r="N67" s="183">
        <f>K67-'[10]Julijs'!K67</f>
        <v>0</v>
      </c>
    </row>
    <row r="68" spans="1:14" s="82" customFormat="1" ht="12.75">
      <c r="A68" s="464" t="s">
        <v>533</v>
      </c>
      <c r="B68" s="465">
        <f>SUM(B69:B70)</f>
        <v>380700</v>
      </c>
      <c r="C68" s="465">
        <f>SUM(C69:C70)</f>
        <v>245893</v>
      </c>
      <c r="D68" s="465">
        <f>SUM(D69:D70)</f>
        <v>218231</v>
      </c>
      <c r="E68" s="462">
        <f t="shared" si="5"/>
        <v>0.5732361439453638</v>
      </c>
      <c r="F68" s="462">
        <f t="shared" si="2"/>
        <v>0.8875039143041892</v>
      </c>
      <c r="G68" s="458">
        <f>D68-'[10]Julijs'!D68</f>
        <v>84828</v>
      </c>
      <c r="H68" s="464" t="s">
        <v>533</v>
      </c>
      <c r="I68" s="465">
        <f>SUM(I69:I70)</f>
        <v>381</v>
      </c>
      <c r="J68" s="465">
        <f>SUM(J69:J70)</f>
        <v>246</v>
      </c>
      <c r="K68" s="465">
        <f>SUM(K69:K70)</f>
        <v>218</v>
      </c>
      <c r="L68" s="466">
        <f t="shared" si="3"/>
        <v>57.21784776902887</v>
      </c>
      <c r="M68" s="466">
        <f t="shared" si="1"/>
        <v>0.8861788617886179</v>
      </c>
      <c r="N68" s="465">
        <f>K68-'[10]Julijs'!K68</f>
        <v>84</v>
      </c>
    </row>
    <row r="69" spans="1:14" ht="12.75">
      <c r="A69" s="176" t="s">
        <v>234</v>
      </c>
      <c r="B69" s="183">
        <v>30700</v>
      </c>
      <c r="C69" s="183">
        <v>20893</v>
      </c>
      <c r="D69" s="183">
        <v>20754</v>
      </c>
      <c r="E69" s="462">
        <f t="shared" si="5"/>
        <v>0.6760260586319218</v>
      </c>
      <c r="F69" s="462">
        <f t="shared" si="2"/>
        <v>0.9933470540372373</v>
      </c>
      <c r="G69" s="458">
        <f>D69-'[10]Julijs'!D69</f>
        <v>2254</v>
      </c>
      <c r="H69" s="176" t="s">
        <v>234</v>
      </c>
      <c r="I69" s="183">
        <f aca="true" t="shared" si="14" ref="I69:K70">ROUND(B69/1000,0)</f>
        <v>31</v>
      </c>
      <c r="J69" s="183">
        <f t="shared" si="14"/>
        <v>21</v>
      </c>
      <c r="K69" s="183">
        <f t="shared" si="14"/>
        <v>21</v>
      </c>
      <c r="L69" s="72">
        <f t="shared" si="3"/>
        <v>67.74193548387096</v>
      </c>
      <c r="M69" s="72">
        <f t="shared" si="1"/>
        <v>1</v>
      </c>
      <c r="N69" s="183">
        <f>K69-'[10]Julijs'!K69</f>
        <v>2</v>
      </c>
    </row>
    <row r="70" spans="1:14" ht="12.75">
      <c r="A70" s="176" t="s">
        <v>235</v>
      </c>
      <c r="B70" s="183">
        <v>350000</v>
      </c>
      <c r="C70" s="183">
        <v>225000</v>
      </c>
      <c r="D70" s="183">
        <v>197477</v>
      </c>
      <c r="E70" s="462">
        <f t="shared" si="5"/>
        <v>0.56422</v>
      </c>
      <c r="F70" s="462">
        <f t="shared" si="2"/>
        <v>0.8776755555555555</v>
      </c>
      <c r="G70" s="458">
        <f>D70-'[10]Julijs'!D70</f>
        <v>82574</v>
      </c>
      <c r="H70" s="176" t="s">
        <v>235</v>
      </c>
      <c r="I70" s="183">
        <f t="shared" si="14"/>
        <v>350</v>
      </c>
      <c r="J70" s="183">
        <f t="shared" si="14"/>
        <v>225</v>
      </c>
      <c r="K70" s="183">
        <f t="shared" si="14"/>
        <v>197</v>
      </c>
      <c r="L70" s="72">
        <f t="shared" si="3"/>
        <v>56.285714285714285</v>
      </c>
      <c r="M70" s="72">
        <f t="shared" si="1"/>
        <v>0.8755555555555555</v>
      </c>
      <c r="N70" s="183">
        <f>K70-'[10]Julijs'!K70</f>
        <v>82</v>
      </c>
    </row>
    <row r="71" spans="1:14" s="2" customFormat="1" ht="24">
      <c r="A71" s="53" t="s">
        <v>535</v>
      </c>
      <c r="B71" s="467">
        <f>B72+B75</f>
        <v>1445796</v>
      </c>
      <c r="C71" s="467">
        <f>C72+C75</f>
        <v>569567</v>
      </c>
      <c r="D71" s="467">
        <f>D72+D75</f>
        <v>233983</v>
      </c>
      <c r="E71" s="463">
        <f t="shared" si="5"/>
        <v>0.16183680131913492</v>
      </c>
      <c r="F71" s="463">
        <f t="shared" si="2"/>
        <v>0.4108085615915248</v>
      </c>
      <c r="G71" s="458">
        <f>D71-'[10]Julijs'!D71</f>
        <v>32395</v>
      </c>
      <c r="H71" s="53" t="s">
        <v>535</v>
      </c>
      <c r="I71" s="181">
        <f>I72+I75</f>
        <v>1446</v>
      </c>
      <c r="J71" s="181">
        <f>J72+J75</f>
        <v>570</v>
      </c>
      <c r="K71" s="181">
        <f>K72+K75</f>
        <v>234</v>
      </c>
      <c r="L71" s="52">
        <f t="shared" si="3"/>
        <v>16.182572614107883</v>
      </c>
      <c r="M71" s="52">
        <f t="shared" si="1"/>
        <v>0.4105263157894737</v>
      </c>
      <c r="N71" s="181">
        <f>K71-'[10]Julijs'!K71</f>
        <v>33</v>
      </c>
    </row>
    <row r="72" spans="1:14" s="82" customFormat="1" ht="12.75">
      <c r="A72" s="464" t="s">
        <v>532</v>
      </c>
      <c r="B72" s="465">
        <f>SUM(B73:B74)</f>
        <v>997196</v>
      </c>
      <c r="C72" s="465">
        <f>SUM(C73:C74)</f>
        <v>469567</v>
      </c>
      <c r="D72" s="465">
        <f>SUM(D73:D74)</f>
        <v>233983</v>
      </c>
      <c r="E72" s="462">
        <f t="shared" si="5"/>
        <v>0.23464093317662726</v>
      </c>
      <c r="F72" s="462">
        <f t="shared" si="2"/>
        <v>0.4982952379532633</v>
      </c>
      <c r="G72" s="458">
        <f>D72-'[10]Julijs'!D72</f>
        <v>32395</v>
      </c>
      <c r="H72" s="464" t="s">
        <v>532</v>
      </c>
      <c r="I72" s="465">
        <f>SUM(I73:I74)</f>
        <v>997</v>
      </c>
      <c r="J72" s="465">
        <f>SUM(J73:J74)</f>
        <v>470</v>
      </c>
      <c r="K72" s="465">
        <f>SUM(K73:K74)</f>
        <v>234</v>
      </c>
      <c r="L72" s="466">
        <f t="shared" si="3"/>
        <v>23.470411233701103</v>
      </c>
      <c r="M72" s="466">
        <f aca="true" t="shared" si="15" ref="M72:M94">IF(ISERROR(ROUND(K72,0)/ROUND(J72,0))," ",(ROUND(K72,)/ROUND(J72,)))</f>
        <v>0.4978723404255319</v>
      </c>
      <c r="N72" s="465">
        <f>K72-'[10]Julijs'!K72</f>
        <v>33</v>
      </c>
    </row>
    <row r="73" spans="1:14" ht="12.75">
      <c r="A73" s="176" t="s">
        <v>234</v>
      </c>
      <c r="B73" s="183">
        <v>890702</v>
      </c>
      <c r="C73" s="183">
        <v>389842</v>
      </c>
      <c r="D73" s="183">
        <v>233983</v>
      </c>
      <c r="E73" s="462">
        <f t="shared" si="5"/>
        <v>0.26269504278647626</v>
      </c>
      <c r="F73" s="462">
        <f aca="true" t="shared" si="16" ref="F73:F95">IF(ISERROR(D73/C73)," ",(D73/C73))</f>
        <v>0.600199568030125</v>
      </c>
      <c r="G73" s="458">
        <f>D73-'[10]Julijs'!D73</f>
        <v>32395</v>
      </c>
      <c r="H73" s="176" t="s">
        <v>234</v>
      </c>
      <c r="I73" s="183">
        <f aca="true" t="shared" si="17" ref="I73:K74">ROUND(B73/1000,0)</f>
        <v>891</v>
      </c>
      <c r="J73" s="183">
        <f>ROUND(C73/1000,0)</f>
        <v>390</v>
      </c>
      <c r="K73" s="183">
        <f>ROUND(D73/1000,0)</f>
        <v>234</v>
      </c>
      <c r="L73" s="72">
        <f t="shared" si="3"/>
        <v>26.262626262626267</v>
      </c>
      <c r="M73" s="72">
        <f t="shared" si="15"/>
        <v>0.6</v>
      </c>
      <c r="N73" s="183">
        <f>K73-'[10]Julijs'!K73</f>
        <v>33</v>
      </c>
    </row>
    <row r="74" spans="1:14" ht="12.75">
      <c r="A74" s="190" t="s">
        <v>235</v>
      </c>
      <c r="B74" s="183">
        <v>106494</v>
      </c>
      <c r="C74" s="183">
        <v>79725</v>
      </c>
      <c r="D74" s="183"/>
      <c r="E74" s="462">
        <f t="shared" si="5"/>
        <v>0</v>
      </c>
      <c r="F74" s="462">
        <f t="shared" si="16"/>
        <v>0</v>
      </c>
      <c r="G74" s="458">
        <f>D74-'[10]Julijs'!D74</f>
        <v>0</v>
      </c>
      <c r="H74" s="190" t="s">
        <v>235</v>
      </c>
      <c r="I74" s="183">
        <f t="shared" si="17"/>
        <v>106</v>
      </c>
      <c r="J74" s="183">
        <f t="shared" si="17"/>
        <v>80</v>
      </c>
      <c r="K74" s="183">
        <f t="shared" si="17"/>
        <v>0</v>
      </c>
      <c r="L74" s="72">
        <f aca="true" t="shared" si="18" ref="L74:L95">IF(ISERROR(ROUND(K74,0)/ROUND(I74,0))," ",(ROUND(K74,)/ROUND(I74,)))*100</f>
        <v>0</v>
      </c>
      <c r="M74" s="72">
        <f t="shared" si="15"/>
        <v>0</v>
      </c>
      <c r="N74" s="183">
        <f>K74-'[10]Julijs'!K74</f>
        <v>0</v>
      </c>
    </row>
    <row r="75" spans="1:14" s="82" customFormat="1" ht="12.75">
      <c r="A75" s="464" t="s">
        <v>533</v>
      </c>
      <c r="B75" s="465">
        <f>SUM(B76:B77)</f>
        <v>448600</v>
      </c>
      <c r="C75" s="465">
        <f>SUM(C76:C77)</f>
        <v>100000</v>
      </c>
      <c r="D75" s="465">
        <f>SUM(D76:D77)</f>
        <v>0</v>
      </c>
      <c r="E75" s="462">
        <f t="shared" si="5"/>
        <v>0</v>
      </c>
      <c r="F75" s="462">
        <f t="shared" si="16"/>
        <v>0</v>
      </c>
      <c r="G75" s="458">
        <f>D75-'[10]Julijs'!D75</f>
        <v>0</v>
      </c>
      <c r="H75" s="464" t="s">
        <v>533</v>
      </c>
      <c r="I75" s="465">
        <f>SUM(I76:I77)</f>
        <v>449</v>
      </c>
      <c r="J75" s="465">
        <f>SUM(J76:J77)</f>
        <v>100</v>
      </c>
      <c r="K75" s="465">
        <f>SUM(K76:K77)</f>
        <v>0</v>
      </c>
      <c r="L75" s="466">
        <f t="shared" si="18"/>
        <v>0</v>
      </c>
      <c r="M75" s="466">
        <f t="shared" si="15"/>
        <v>0</v>
      </c>
      <c r="N75" s="465">
        <f>K75-'[10]Julijs'!K75</f>
        <v>0</v>
      </c>
    </row>
    <row r="76" spans="1:14" ht="12.75">
      <c r="A76" s="176" t="s">
        <v>234</v>
      </c>
      <c r="B76" s="183">
        <v>48600</v>
      </c>
      <c r="C76" s="183"/>
      <c r="D76" s="183"/>
      <c r="E76" s="462">
        <f t="shared" si="5"/>
        <v>0</v>
      </c>
      <c r="F76" s="462" t="str">
        <f t="shared" si="16"/>
        <v> </v>
      </c>
      <c r="G76" s="458">
        <f>D76-'[10]Julijs'!D76</f>
        <v>0</v>
      </c>
      <c r="H76" s="176" t="s">
        <v>234</v>
      </c>
      <c r="I76" s="183">
        <f aca="true" t="shared" si="19" ref="I76:K77">ROUND(B76/1000,0)</f>
        <v>49</v>
      </c>
      <c r="J76" s="183">
        <f t="shared" si="19"/>
        <v>0</v>
      </c>
      <c r="K76" s="183">
        <f t="shared" si="19"/>
        <v>0</v>
      </c>
      <c r="L76" s="72">
        <f t="shared" si="18"/>
        <v>0</v>
      </c>
      <c r="M76" s="72" t="str">
        <f t="shared" si="15"/>
        <v> </v>
      </c>
      <c r="N76" s="183">
        <f>K76-'[10]Julijs'!K76</f>
        <v>0</v>
      </c>
    </row>
    <row r="77" spans="1:14" ht="12.75">
      <c r="A77" s="176" t="s">
        <v>235</v>
      </c>
      <c r="B77" s="183">
        <v>400000</v>
      </c>
      <c r="C77" s="183">
        <v>100000</v>
      </c>
      <c r="D77" s="183"/>
      <c r="E77" s="462">
        <f t="shared" si="5"/>
        <v>0</v>
      </c>
      <c r="F77" s="462">
        <f t="shared" si="16"/>
        <v>0</v>
      </c>
      <c r="G77" s="458">
        <f>D77-'[10]Julijs'!D77</f>
        <v>0</v>
      </c>
      <c r="H77" s="176" t="s">
        <v>235</v>
      </c>
      <c r="I77" s="183">
        <f t="shared" si="19"/>
        <v>400</v>
      </c>
      <c r="J77" s="183">
        <f t="shared" si="19"/>
        <v>100</v>
      </c>
      <c r="K77" s="183">
        <f t="shared" si="19"/>
        <v>0</v>
      </c>
      <c r="L77" s="72">
        <f t="shared" si="18"/>
        <v>0</v>
      </c>
      <c r="M77" s="72">
        <f t="shared" si="15"/>
        <v>0</v>
      </c>
      <c r="N77" s="183">
        <f>K77-'[10]Julijs'!K77</f>
        <v>0</v>
      </c>
    </row>
    <row r="78" spans="1:14" s="2" customFormat="1" ht="36">
      <c r="A78" s="195" t="s">
        <v>262</v>
      </c>
      <c r="B78" s="467">
        <f>B79+B81</f>
        <v>1485236</v>
      </c>
      <c r="C78" s="467">
        <f>C79+C81</f>
        <v>1029411</v>
      </c>
      <c r="D78" s="467">
        <f>D79+D81</f>
        <v>325721</v>
      </c>
      <c r="E78" s="463">
        <f t="shared" si="5"/>
        <v>0.21930588808781903</v>
      </c>
      <c r="F78" s="463">
        <f t="shared" si="16"/>
        <v>0.3164149207653697</v>
      </c>
      <c r="G78" s="458">
        <f>D78-'[10]Julijs'!D78</f>
        <v>17024</v>
      </c>
      <c r="H78" s="195" t="s">
        <v>262</v>
      </c>
      <c r="I78" s="181">
        <f>I79+I81</f>
        <v>1485</v>
      </c>
      <c r="J78" s="181">
        <f>J79+J81</f>
        <v>1030</v>
      </c>
      <c r="K78" s="181">
        <f>K79+K81</f>
        <v>326</v>
      </c>
      <c r="L78" s="52">
        <f t="shared" si="18"/>
        <v>21.95286195286195</v>
      </c>
      <c r="M78" s="52">
        <f t="shared" si="15"/>
        <v>0.31650485436893205</v>
      </c>
      <c r="N78" s="181">
        <f>K78-'[10]Julijs'!K78</f>
        <v>17</v>
      </c>
    </row>
    <row r="79" spans="1:14" s="82" customFormat="1" ht="12.75">
      <c r="A79" s="464" t="s">
        <v>532</v>
      </c>
      <c r="B79" s="465">
        <f>SUM(B80:B80)</f>
        <v>1356638</v>
      </c>
      <c r="C79" s="465">
        <f>SUM(C80:C80)</f>
        <v>946681</v>
      </c>
      <c r="D79" s="465">
        <f>SUM(D80:D80)</f>
        <v>253753</v>
      </c>
      <c r="E79" s="462">
        <f t="shared" si="5"/>
        <v>0.18704547565378532</v>
      </c>
      <c r="F79" s="462">
        <f t="shared" si="16"/>
        <v>0.26804488523589254</v>
      </c>
      <c r="G79" s="458">
        <f>D79-'[10]Julijs'!D79</f>
        <v>4706</v>
      </c>
      <c r="H79" s="464" t="s">
        <v>532</v>
      </c>
      <c r="I79" s="465">
        <f>I80</f>
        <v>1357</v>
      </c>
      <c r="J79" s="465">
        <f>J80</f>
        <v>947</v>
      </c>
      <c r="K79" s="465">
        <f>K80</f>
        <v>254</v>
      </c>
      <c r="L79" s="466">
        <f t="shared" si="18"/>
        <v>18.717759764185704</v>
      </c>
      <c r="M79" s="466">
        <f t="shared" si="15"/>
        <v>0.2682154171066526</v>
      </c>
      <c r="N79" s="465">
        <f>K79-'[10]Julijs'!K79</f>
        <v>5</v>
      </c>
    </row>
    <row r="80" spans="1:14" ht="12.75">
      <c r="A80" s="176" t="s">
        <v>234</v>
      </c>
      <c r="B80" s="183">
        <v>1356638</v>
      </c>
      <c r="C80" s="183">
        <v>946681</v>
      </c>
      <c r="D80" s="183">
        <v>253753</v>
      </c>
      <c r="E80" s="462">
        <f t="shared" si="5"/>
        <v>0.18704547565378532</v>
      </c>
      <c r="F80" s="462">
        <f t="shared" si="16"/>
        <v>0.26804488523589254</v>
      </c>
      <c r="G80" s="458">
        <f>D80-'[10]Julijs'!D80</f>
        <v>4706</v>
      </c>
      <c r="H80" s="176" t="s">
        <v>234</v>
      </c>
      <c r="I80" s="183">
        <f>ROUND(B80/1000,0)</f>
        <v>1357</v>
      </c>
      <c r="J80" s="183">
        <f>ROUND(C80/1000,0)</f>
        <v>947</v>
      </c>
      <c r="K80" s="183">
        <f>ROUND(D80/1000,0)</f>
        <v>254</v>
      </c>
      <c r="L80" s="72">
        <f t="shared" si="18"/>
        <v>18.717759764185704</v>
      </c>
      <c r="M80" s="72">
        <f t="shared" si="15"/>
        <v>0.2682154171066526</v>
      </c>
      <c r="N80" s="183">
        <f>K80-'[10]Julijs'!K80</f>
        <v>5</v>
      </c>
    </row>
    <row r="81" spans="1:14" s="82" customFormat="1" ht="12.75">
      <c r="A81" s="464" t="s">
        <v>533</v>
      </c>
      <c r="B81" s="465">
        <f>B82</f>
        <v>128598</v>
      </c>
      <c r="C81" s="465">
        <f>C82</f>
        <v>82730</v>
      </c>
      <c r="D81" s="465">
        <f>D82</f>
        <v>71968</v>
      </c>
      <c r="E81" s="462">
        <f t="shared" si="5"/>
        <v>0.5596354531174669</v>
      </c>
      <c r="F81" s="462">
        <f t="shared" si="16"/>
        <v>0.869914178653451</v>
      </c>
      <c r="G81" s="458">
        <f>D81-'[10]Julijs'!D81</f>
        <v>12318</v>
      </c>
      <c r="H81" s="464" t="s">
        <v>533</v>
      </c>
      <c r="I81" s="465">
        <f>I82</f>
        <v>128</v>
      </c>
      <c r="J81" s="465">
        <f>J82</f>
        <v>83</v>
      </c>
      <c r="K81" s="465">
        <f>K82</f>
        <v>72</v>
      </c>
      <c r="L81" s="466">
        <f t="shared" si="18"/>
        <v>56.25</v>
      </c>
      <c r="M81" s="466">
        <f t="shared" si="15"/>
        <v>0.8674698795180723</v>
      </c>
      <c r="N81" s="465">
        <f>K81-'[10]Julijs'!K81</f>
        <v>12</v>
      </c>
    </row>
    <row r="82" spans="1:14" ht="12.75">
      <c r="A82" s="176" t="s">
        <v>234</v>
      </c>
      <c r="B82" s="183">
        <v>128598</v>
      </c>
      <c r="C82" s="183">
        <v>82730</v>
      </c>
      <c r="D82" s="183">
        <v>71968</v>
      </c>
      <c r="E82" s="462">
        <f t="shared" si="5"/>
        <v>0.5596354531174669</v>
      </c>
      <c r="F82" s="462">
        <f t="shared" si="16"/>
        <v>0.869914178653451</v>
      </c>
      <c r="G82" s="458">
        <f>D82-'[10]Julijs'!D82</f>
        <v>12318</v>
      </c>
      <c r="H82" s="176" t="s">
        <v>234</v>
      </c>
      <c r="I82" s="183">
        <f>ROUND(B82/1000,0)-1</f>
        <v>128</v>
      </c>
      <c r="J82" s="183">
        <f>ROUND(C82/1000,0)</f>
        <v>83</v>
      </c>
      <c r="K82" s="183">
        <f>ROUND(D82/1000,0)</f>
        <v>72</v>
      </c>
      <c r="L82" s="72">
        <f t="shared" si="18"/>
        <v>56.25</v>
      </c>
      <c r="M82" s="72">
        <f t="shared" si="15"/>
        <v>0.8674698795180723</v>
      </c>
      <c r="N82" s="183">
        <f>K82-'[10]Julijs'!K82</f>
        <v>12</v>
      </c>
    </row>
    <row r="83" spans="1:14" s="2" customFormat="1" ht="36">
      <c r="A83" s="195" t="s">
        <v>264</v>
      </c>
      <c r="B83" s="181">
        <f aca="true" t="shared" si="20" ref="B83:D84">B84</f>
        <v>1828380</v>
      </c>
      <c r="C83" s="181">
        <f t="shared" si="20"/>
        <v>1518380</v>
      </c>
      <c r="D83" s="181">
        <f t="shared" si="20"/>
        <v>167058</v>
      </c>
      <c r="E83" s="463">
        <f t="shared" si="5"/>
        <v>0.09136940898500312</v>
      </c>
      <c r="F83" s="463">
        <f t="shared" si="16"/>
        <v>0.1100238411991728</v>
      </c>
      <c r="G83" s="458">
        <f>D83-'[10]Julijs'!D83</f>
        <v>0</v>
      </c>
      <c r="H83" s="195" t="s">
        <v>264</v>
      </c>
      <c r="I83" s="181">
        <f aca="true" t="shared" si="21" ref="I83:K84">I84</f>
        <v>1828</v>
      </c>
      <c r="J83" s="181">
        <f t="shared" si="21"/>
        <v>1518</v>
      </c>
      <c r="K83" s="181">
        <f t="shared" si="21"/>
        <v>167</v>
      </c>
      <c r="L83" s="52">
        <f t="shared" si="18"/>
        <v>9.135667396061269</v>
      </c>
      <c r="M83" s="52">
        <f t="shared" si="15"/>
        <v>0.11001317523056653</v>
      </c>
      <c r="N83" s="181">
        <f>K83-'[10]Julijs'!K83</f>
        <v>0</v>
      </c>
    </row>
    <row r="84" spans="1:14" s="82" customFormat="1" ht="12.75">
      <c r="A84" s="464" t="s">
        <v>532</v>
      </c>
      <c r="B84" s="465">
        <f t="shared" si="20"/>
        <v>1828380</v>
      </c>
      <c r="C84" s="465">
        <f t="shared" si="20"/>
        <v>1518380</v>
      </c>
      <c r="D84" s="465">
        <f t="shared" si="20"/>
        <v>167058</v>
      </c>
      <c r="E84" s="462">
        <f t="shared" si="5"/>
        <v>0.09136940898500312</v>
      </c>
      <c r="F84" s="462">
        <f t="shared" si="16"/>
        <v>0.1100238411991728</v>
      </c>
      <c r="G84" s="458">
        <f>D84-'[10]Julijs'!D84</f>
        <v>0</v>
      </c>
      <c r="H84" s="464" t="s">
        <v>532</v>
      </c>
      <c r="I84" s="465">
        <f t="shared" si="21"/>
        <v>1828</v>
      </c>
      <c r="J84" s="465">
        <f t="shared" si="21"/>
        <v>1518</v>
      </c>
      <c r="K84" s="465">
        <f t="shared" si="21"/>
        <v>167</v>
      </c>
      <c r="L84" s="466">
        <f t="shared" si="18"/>
        <v>9.135667396061269</v>
      </c>
      <c r="M84" s="466">
        <f t="shared" si="15"/>
        <v>0.11001317523056653</v>
      </c>
      <c r="N84" s="465">
        <f>K84-'[10]Julijs'!K84</f>
        <v>0</v>
      </c>
    </row>
    <row r="85" spans="1:14" ht="12.75">
      <c r="A85" s="176" t="s">
        <v>234</v>
      </c>
      <c r="B85" s="183">
        <v>1828380</v>
      </c>
      <c r="C85" s="183">
        <v>1518380</v>
      </c>
      <c r="D85" s="183">
        <v>167058</v>
      </c>
      <c r="E85" s="462">
        <f t="shared" si="5"/>
        <v>0.09136940898500312</v>
      </c>
      <c r="F85" s="462">
        <f t="shared" si="16"/>
        <v>0.1100238411991728</v>
      </c>
      <c r="G85" s="458">
        <f>D85-'[10]Julijs'!D85</f>
        <v>0</v>
      </c>
      <c r="H85" s="176" t="s">
        <v>234</v>
      </c>
      <c r="I85" s="183">
        <f>ROUND(B85/1000,0)</f>
        <v>1828</v>
      </c>
      <c r="J85" s="183">
        <f>ROUND(C85/1000,0)</f>
        <v>1518</v>
      </c>
      <c r="K85" s="183">
        <f>ROUND(D85/1000,0)</f>
        <v>167</v>
      </c>
      <c r="L85" s="72">
        <f t="shared" si="18"/>
        <v>9.135667396061269</v>
      </c>
      <c r="M85" s="72">
        <f t="shared" si="15"/>
        <v>0.11001317523056653</v>
      </c>
      <c r="N85" s="183">
        <f>K85-'[10]Julijs'!K85</f>
        <v>0</v>
      </c>
    </row>
    <row r="86" spans="1:104" ht="38.25">
      <c r="A86" s="457" t="s">
        <v>536</v>
      </c>
      <c r="B86" s="468">
        <f>B87+B89</f>
        <v>7653852</v>
      </c>
      <c r="C86" s="468">
        <f>C87+C89</f>
        <v>3759123</v>
      </c>
      <c r="D86" s="468">
        <f>D87+D89</f>
        <v>1168173</v>
      </c>
      <c r="E86" s="459">
        <f t="shared" si="5"/>
        <v>0.15262550151217974</v>
      </c>
      <c r="F86" s="459">
        <f t="shared" si="16"/>
        <v>0.3107567908791492</v>
      </c>
      <c r="G86" s="458">
        <f>D86-'[10]Julijs'!D86</f>
        <v>175223</v>
      </c>
      <c r="H86" s="457" t="s">
        <v>536</v>
      </c>
      <c r="I86" s="182">
        <f>I87+I89</f>
        <v>7654</v>
      </c>
      <c r="J86" s="182">
        <f>J87+J89</f>
        <v>3759</v>
      </c>
      <c r="K86" s="182">
        <f>K87+K89</f>
        <v>1168</v>
      </c>
      <c r="L86" s="219">
        <f t="shared" si="18"/>
        <v>15.259994773974391</v>
      </c>
      <c r="M86" s="219">
        <f t="shared" si="15"/>
        <v>0.31072093641926046</v>
      </c>
      <c r="N86" s="182">
        <f>K86-'[10]Julijs'!K86</f>
        <v>175</v>
      </c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</row>
    <row r="87" spans="1:104" s="84" customFormat="1" ht="15" customHeight="1">
      <c r="A87" s="460" t="s">
        <v>442</v>
      </c>
      <c r="B87" s="458">
        <f>B88</f>
        <v>3371252</v>
      </c>
      <c r="C87" s="458">
        <f>C88</f>
        <v>2494823</v>
      </c>
      <c r="D87" s="458">
        <f>D88</f>
        <v>697006</v>
      </c>
      <c r="E87" s="459">
        <f t="shared" si="5"/>
        <v>0.20674989588437767</v>
      </c>
      <c r="F87" s="459">
        <f t="shared" si="16"/>
        <v>0.27938094205480707</v>
      </c>
      <c r="G87" s="458">
        <f>D87-'[10]Julijs'!D87</f>
        <v>175223</v>
      </c>
      <c r="H87" s="460" t="s">
        <v>442</v>
      </c>
      <c r="I87" s="469">
        <f>I88</f>
        <v>3371</v>
      </c>
      <c r="J87" s="469">
        <f>J88</f>
        <v>2495</v>
      </c>
      <c r="K87" s="469">
        <f>K88</f>
        <v>697</v>
      </c>
      <c r="L87" s="219">
        <f t="shared" si="18"/>
        <v>20.676357164046276</v>
      </c>
      <c r="M87" s="219">
        <f t="shared" si="15"/>
        <v>0.27935871743486973</v>
      </c>
      <c r="N87" s="469">
        <f>K87-'[10]Julijs'!K87</f>
        <v>175</v>
      </c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</row>
    <row r="88" spans="1:14" ht="12.75">
      <c r="A88" s="243" t="s">
        <v>235</v>
      </c>
      <c r="B88" s="467">
        <f>B93</f>
        <v>3371252</v>
      </c>
      <c r="C88" s="467">
        <f>C93</f>
        <v>2494823</v>
      </c>
      <c r="D88" s="467">
        <f>D93</f>
        <v>697006</v>
      </c>
      <c r="E88" s="462">
        <f aca="true" t="shared" si="22" ref="E88:E95">IF(ISERROR(D88/B88)," ",(D88/B88))</f>
        <v>0.20674989588437767</v>
      </c>
      <c r="F88" s="462">
        <f t="shared" si="16"/>
        <v>0.27938094205480707</v>
      </c>
      <c r="G88" s="458">
        <f>D88-'[10]Julijs'!D88</f>
        <v>175223</v>
      </c>
      <c r="H88" s="243" t="s">
        <v>235</v>
      </c>
      <c r="I88" s="181">
        <f>I93</f>
        <v>3371</v>
      </c>
      <c r="J88" s="67">
        <f>J93</f>
        <v>2495</v>
      </c>
      <c r="K88" s="67">
        <f>K93</f>
        <v>697</v>
      </c>
      <c r="L88" s="52">
        <f t="shared" si="18"/>
        <v>20.676357164046276</v>
      </c>
      <c r="M88" s="52">
        <f t="shared" si="15"/>
        <v>0.27935871743486973</v>
      </c>
      <c r="N88" s="67">
        <f>K88-'[10]Julijs'!K88</f>
        <v>175</v>
      </c>
    </row>
    <row r="89" spans="1:104" s="84" customFormat="1" ht="15" customHeight="1">
      <c r="A89" s="460" t="s">
        <v>537</v>
      </c>
      <c r="B89" s="458">
        <f>B90</f>
        <v>4282600</v>
      </c>
      <c r="C89" s="458">
        <f>C90</f>
        <v>1264300</v>
      </c>
      <c r="D89" s="458">
        <f>D90</f>
        <v>471167</v>
      </c>
      <c r="E89" s="459">
        <f t="shared" si="22"/>
        <v>0.1100189137439873</v>
      </c>
      <c r="F89" s="459">
        <f t="shared" si="16"/>
        <v>0.3726702523135332</v>
      </c>
      <c r="G89" s="458">
        <f>D89-'[10]Julijs'!D89</f>
        <v>0</v>
      </c>
      <c r="H89" s="460" t="s">
        <v>537</v>
      </c>
      <c r="I89" s="182">
        <f>I90</f>
        <v>4283</v>
      </c>
      <c r="J89" s="182">
        <f>J90</f>
        <v>1264</v>
      </c>
      <c r="K89" s="182">
        <f>K90</f>
        <v>471</v>
      </c>
      <c r="L89" s="219">
        <f t="shared" si="18"/>
        <v>10.996964744338081</v>
      </c>
      <c r="M89" s="219">
        <f t="shared" si="15"/>
        <v>0.372626582278481</v>
      </c>
      <c r="N89" s="182">
        <f>K89-'[10]Julijs'!K89</f>
        <v>0</v>
      </c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</row>
    <row r="90" spans="1:14" ht="12.75">
      <c r="A90" s="243" t="s">
        <v>235</v>
      </c>
      <c r="B90" s="467">
        <f>B95</f>
        <v>4282600</v>
      </c>
      <c r="C90" s="467">
        <f>C95</f>
        <v>1264300</v>
      </c>
      <c r="D90" s="467">
        <f>D95</f>
        <v>471167</v>
      </c>
      <c r="E90" s="462">
        <f t="shared" si="22"/>
        <v>0.1100189137439873</v>
      </c>
      <c r="F90" s="462">
        <f t="shared" si="16"/>
        <v>0.3726702523135332</v>
      </c>
      <c r="G90" s="458">
        <f>D90-'[10]Julijs'!D90</f>
        <v>0</v>
      </c>
      <c r="H90" s="243" t="s">
        <v>235</v>
      </c>
      <c r="I90" s="181">
        <f>I95</f>
        <v>4283</v>
      </c>
      <c r="J90" s="67">
        <f>J95</f>
        <v>1264</v>
      </c>
      <c r="K90" s="67">
        <f>K95</f>
        <v>471</v>
      </c>
      <c r="L90" s="52">
        <f t="shared" si="18"/>
        <v>10.996964744338081</v>
      </c>
      <c r="M90" s="52">
        <f t="shared" si="15"/>
        <v>0.372626582278481</v>
      </c>
      <c r="N90" s="67">
        <f>K90-'[10]Julijs'!K90</f>
        <v>0</v>
      </c>
    </row>
    <row r="91" spans="1:14" s="2" customFormat="1" ht="12.75">
      <c r="A91" s="195" t="s">
        <v>247</v>
      </c>
      <c r="B91" s="181">
        <f>B92+B94</f>
        <v>7653852</v>
      </c>
      <c r="C91" s="181">
        <f>C92+C94</f>
        <v>3759123</v>
      </c>
      <c r="D91" s="181">
        <f>D92+D94</f>
        <v>1168173</v>
      </c>
      <c r="E91" s="463">
        <f t="shared" si="22"/>
        <v>0.15262550151217974</v>
      </c>
      <c r="F91" s="463">
        <f t="shared" si="16"/>
        <v>0.3107567908791492</v>
      </c>
      <c r="G91" s="458">
        <f>D91-'[10]Julijs'!D91</f>
        <v>175223</v>
      </c>
      <c r="H91" s="195" t="s">
        <v>247</v>
      </c>
      <c r="I91" s="181">
        <f>I92+I94</f>
        <v>7654</v>
      </c>
      <c r="J91" s="181">
        <f>J92+J94</f>
        <v>3759</v>
      </c>
      <c r="K91" s="181">
        <f>K92+K94</f>
        <v>1168</v>
      </c>
      <c r="L91" s="52">
        <f t="shared" si="18"/>
        <v>15.259994773974391</v>
      </c>
      <c r="M91" s="52">
        <f t="shared" si="15"/>
        <v>0.31072093641926046</v>
      </c>
      <c r="N91" s="181">
        <f>K91-'[10]Julijs'!K91</f>
        <v>175</v>
      </c>
    </row>
    <row r="92" spans="1:14" s="82" customFormat="1" ht="12.75">
      <c r="A92" s="464" t="s">
        <v>532</v>
      </c>
      <c r="B92" s="465">
        <f>B93</f>
        <v>3371252</v>
      </c>
      <c r="C92" s="465">
        <f>C93</f>
        <v>2494823</v>
      </c>
      <c r="D92" s="465">
        <f>D93</f>
        <v>697006</v>
      </c>
      <c r="E92" s="462">
        <f t="shared" si="22"/>
        <v>0.20674989588437767</v>
      </c>
      <c r="F92" s="462">
        <f t="shared" si="16"/>
        <v>0.27938094205480707</v>
      </c>
      <c r="G92" s="458">
        <f>D92-'[10]Julijs'!D92</f>
        <v>175223</v>
      </c>
      <c r="H92" s="464" t="s">
        <v>532</v>
      </c>
      <c r="I92" s="465">
        <f>I93</f>
        <v>3371</v>
      </c>
      <c r="J92" s="465">
        <f>J93</f>
        <v>2495</v>
      </c>
      <c r="K92" s="465">
        <f>K93</f>
        <v>697</v>
      </c>
      <c r="L92" s="466">
        <f t="shared" si="18"/>
        <v>20.676357164046276</v>
      </c>
      <c r="M92" s="466">
        <f t="shared" si="15"/>
        <v>0.27935871743486973</v>
      </c>
      <c r="N92" s="465">
        <f>K92-'[10]Julijs'!K92</f>
        <v>175</v>
      </c>
    </row>
    <row r="93" spans="1:104" s="54" customFormat="1" ht="12.75">
      <c r="A93" s="176" t="s">
        <v>235</v>
      </c>
      <c r="B93" s="183">
        <v>3371252</v>
      </c>
      <c r="C93" s="183">
        <v>2494823</v>
      </c>
      <c r="D93" s="183">
        <v>697006</v>
      </c>
      <c r="E93" s="462">
        <f t="shared" si="22"/>
        <v>0.20674989588437767</v>
      </c>
      <c r="F93" s="462">
        <f t="shared" si="16"/>
        <v>0.27938094205480707</v>
      </c>
      <c r="G93" s="458">
        <f>D93-'[10]Julijs'!D93</f>
        <v>175223</v>
      </c>
      <c r="H93" s="176" t="s">
        <v>235</v>
      </c>
      <c r="I93" s="183">
        <f>ROUND(B93/1000,0)</f>
        <v>3371</v>
      </c>
      <c r="J93" s="183">
        <f>ROUND(C93/1000,0)</f>
        <v>2495</v>
      </c>
      <c r="K93" s="183">
        <f>ROUND(D93/1000,0)</f>
        <v>697</v>
      </c>
      <c r="L93" s="72">
        <f t="shared" si="18"/>
        <v>20.676357164046276</v>
      </c>
      <c r="M93" s="72">
        <f t="shared" si="15"/>
        <v>0.27935871743486973</v>
      </c>
      <c r="N93" s="183">
        <f>K93-'[10]Julijs'!K93</f>
        <v>175</v>
      </c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</row>
    <row r="94" spans="1:14" s="82" customFormat="1" ht="12.75">
      <c r="A94" s="464" t="s">
        <v>538</v>
      </c>
      <c r="B94" s="465">
        <f>B95</f>
        <v>4282600</v>
      </c>
      <c r="C94" s="465">
        <f>C95</f>
        <v>1264300</v>
      </c>
      <c r="D94" s="465">
        <f>D95</f>
        <v>471167</v>
      </c>
      <c r="E94" s="462">
        <f t="shared" si="22"/>
        <v>0.1100189137439873</v>
      </c>
      <c r="F94" s="462">
        <f t="shared" si="16"/>
        <v>0.3726702523135332</v>
      </c>
      <c r="G94" s="458">
        <f>D94-'[10]Julijs'!D94</f>
        <v>0</v>
      </c>
      <c r="H94" s="464" t="s">
        <v>538</v>
      </c>
      <c r="I94" s="465">
        <f>I95</f>
        <v>4283</v>
      </c>
      <c r="J94" s="465">
        <f>J95</f>
        <v>1264</v>
      </c>
      <c r="K94" s="465">
        <f>K95</f>
        <v>471</v>
      </c>
      <c r="L94" s="466">
        <f t="shared" si="18"/>
        <v>10.996964744338081</v>
      </c>
      <c r="M94" s="466">
        <f t="shared" si="15"/>
        <v>0.372626582278481</v>
      </c>
      <c r="N94" s="465">
        <f>K94-'[10]Julijs'!K94</f>
        <v>0</v>
      </c>
    </row>
    <row r="95" spans="1:104" s="54" customFormat="1" ht="12.75">
      <c r="A95" s="176" t="s">
        <v>235</v>
      </c>
      <c r="B95" s="183">
        <v>4282600</v>
      </c>
      <c r="C95" s="183">
        <v>1264300</v>
      </c>
      <c r="D95" s="183">
        <v>471167</v>
      </c>
      <c r="E95" s="462">
        <f t="shared" si="22"/>
        <v>0.1100189137439873</v>
      </c>
      <c r="F95" s="462">
        <f t="shared" si="16"/>
        <v>0.3726702523135332</v>
      </c>
      <c r="G95" s="458">
        <f>D95-'[10]Julijs'!D95</f>
        <v>0</v>
      </c>
      <c r="H95" s="176" t="s">
        <v>235</v>
      </c>
      <c r="I95" s="183">
        <f>ROUND(B95/1000,0)</f>
        <v>4283</v>
      </c>
      <c r="J95" s="183">
        <f>ROUND(C95/1000,0)</f>
        <v>1264</v>
      </c>
      <c r="K95" s="183">
        <f>ROUND(D95/1000,0)</f>
        <v>471</v>
      </c>
      <c r="L95" s="72">
        <f t="shared" si="18"/>
        <v>10.996964744338081</v>
      </c>
      <c r="M95" s="72">
        <f>IF(ISERROR(ROUND(K95,0)/ROUND(J95,0))," ",(ROUND(K95,)/ROUND(J95,)))</f>
        <v>0.372626582278481</v>
      </c>
      <c r="N95" s="183">
        <f>K95-'[10]Julijs'!K95</f>
        <v>0</v>
      </c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</row>
    <row r="96" spans="1:104" s="84" customFormat="1" ht="15" customHeight="1">
      <c r="A96" s="460" t="s">
        <v>539</v>
      </c>
      <c r="B96" s="470" t="s">
        <v>540</v>
      </c>
      <c r="C96" s="470" t="s">
        <v>540</v>
      </c>
      <c r="D96" s="458">
        <f>D97+D98</f>
        <v>5764482</v>
      </c>
      <c r="E96" s="471" t="s">
        <v>540</v>
      </c>
      <c r="F96" s="471" t="s">
        <v>540</v>
      </c>
      <c r="G96" s="458">
        <f>D96-'[10]Julijs'!D96</f>
        <v>1007352</v>
      </c>
      <c r="H96" s="460" t="s">
        <v>539</v>
      </c>
      <c r="I96" s="470" t="s">
        <v>540</v>
      </c>
      <c r="J96" s="470" t="s">
        <v>540</v>
      </c>
      <c r="K96" s="182">
        <f>K97+K98</f>
        <v>5765</v>
      </c>
      <c r="L96" s="470" t="s">
        <v>540</v>
      </c>
      <c r="M96" s="470" t="s">
        <v>540</v>
      </c>
      <c r="N96" s="182">
        <f>K96-'[10]Julijs'!K96</f>
        <v>1008</v>
      </c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3"/>
      <c r="BY96" s="43"/>
      <c r="BZ96" s="43"/>
      <c r="CA96" s="43"/>
      <c r="CB96" s="43"/>
      <c r="CC96" s="43"/>
      <c r="CD96" s="43"/>
      <c r="CE96" s="43"/>
      <c r="CF96" s="43"/>
      <c r="CG96" s="43"/>
      <c r="CH96" s="43"/>
      <c r="CI96" s="43"/>
      <c r="CJ96" s="43"/>
      <c r="CK96" s="43"/>
      <c r="CL96" s="43"/>
      <c r="CM96" s="43"/>
      <c r="CN96" s="43"/>
      <c r="CO96" s="43"/>
      <c r="CP96" s="43"/>
      <c r="CQ96" s="43"/>
      <c r="CR96" s="43"/>
      <c r="CS96" s="43"/>
      <c r="CT96" s="43"/>
      <c r="CU96" s="43"/>
      <c r="CV96" s="43"/>
      <c r="CW96" s="43"/>
      <c r="CX96" s="43"/>
      <c r="CY96" s="43"/>
      <c r="CZ96" s="43"/>
    </row>
    <row r="97" spans="1:104" s="54" customFormat="1" ht="12.75">
      <c r="A97" s="176" t="s">
        <v>234</v>
      </c>
      <c r="B97" s="183"/>
      <c r="C97" s="183"/>
      <c r="D97" s="183">
        <f>1386153+120753+171374+518521+452595+181143</f>
        <v>2830539</v>
      </c>
      <c r="E97" s="462"/>
      <c r="F97" s="462"/>
      <c r="G97" s="458">
        <f>D97-'[10]Julijs'!D97</f>
        <v>181143</v>
      </c>
      <c r="H97" s="176" t="s">
        <v>234</v>
      </c>
      <c r="I97" s="472" t="s">
        <v>540</v>
      </c>
      <c r="J97" s="472" t="s">
        <v>540</v>
      </c>
      <c r="K97" s="183">
        <f>ROUND(D97/1000,0)</f>
        <v>2831</v>
      </c>
      <c r="L97" s="472" t="s">
        <v>540</v>
      </c>
      <c r="M97" s="472" t="s">
        <v>540</v>
      </c>
      <c r="N97" s="183">
        <f>K97-'[10]Julijs'!K97</f>
        <v>182</v>
      </c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</row>
    <row r="98" spans="1:104" s="54" customFormat="1" ht="12.75">
      <c r="A98" s="176" t="s">
        <v>235</v>
      </c>
      <c r="B98" s="183"/>
      <c r="C98" s="183"/>
      <c r="D98" s="183">
        <f>1377380+161774+46108+353405+169067+826209</f>
        <v>2933943</v>
      </c>
      <c r="E98" s="462"/>
      <c r="F98" s="462"/>
      <c r="G98" s="458">
        <f>D98-'[10]Julijs'!D98</f>
        <v>826209</v>
      </c>
      <c r="H98" s="176" t="s">
        <v>235</v>
      </c>
      <c r="I98" s="472" t="s">
        <v>540</v>
      </c>
      <c r="J98" s="472" t="s">
        <v>540</v>
      </c>
      <c r="K98" s="183">
        <f>ROUND(D98/1000,0)</f>
        <v>2934</v>
      </c>
      <c r="L98" s="472" t="s">
        <v>540</v>
      </c>
      <c r="M98" s="472" t="s">
        <v>540</v>
      </c>
      <c r="N98" s="183">
        <f>K98-'[10]Julijs'!K98</f>
        <v>826</v>
      </c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</row>
    <row r="99" spans="7:14" ht="12.75">
      <c r="G99" s="2"/>
      <c r="H99" s="2"/>
      <c r="I99" s="2"/>
      <c r="J99" s="2"/>
      <c r="K99" s="2"/>
      <c r="L99" s="2"/>
      <c r="M99" s="2"/>
      <c r="N99" s="2"/>
    </row>
    <row r="100" spans="7:14" ht="12.75">
      <c r="G100" s="2"/>
      <c r="H100" s="2"/>
      <c r="I100" s="2"/>
      <c r="J100" s="2"/>
      <c r="K100" s="2"/>
      <c r="L100" s="2"/>
      <c r="M100" s="2"/>
      <c r="N100" s="2"/>
    </row>
    <row r="101" spans="7:14" ht="12.75">
      <c r="G101" s="2"/>
      <c r="H101" s="2"/>
      <c r="I101" s="2"/>
      <c r="J101" s="2"/>
      <c r="K101" s="2"/>
      <c r="L101" s="2"/>
      <c r="M101" s="2"/>
      <c r="N101" s="2"/>
    </row>
    <row r="102" spans="1:14" ht="12.75">
      <c r="A102" s="455"/>
      <c r="B102" s="473"/>
      <c r="C102" s="474"/>
      <c r="D102" s="475"/>
      <c r="E102" s="475"/>
      <c r="F102" s="476"/>
      <c r="G102" s="2"/>
      <c r="H102" s="455"/>
      <c r="I102" s="473"/>
      <c r="J102" s="474"/>
      <c r="K102" s="475"/>
      <c r="L102" s="475"/>
      <c r="M102" s="476"/>
      <c r="N102" s="2"/>
    </row>
    <row r="104" spans="1:14" ht="12.75">
      <c r="A104" s="2"/>
      <c r="B104" s="477"/>
      <c r="C104" s="478"/>
      <c r="D104" s="478"/>
      <c r="E104" s="479"/>
      <c r="F104" s="480"/>
      <c r="G104" s="2"/>
      <c r="H104" s="2"/>
      <c r="M104" s="476"/>
      <c r="N104" s="2"/>
    </row>
    <row r="105" spans="1:14" ht="12.75">
      <c r="A105" s="2"/>
      <c r="B105" s="477"/>
      <c r="C105" s="478"/>
      <c r="D105" s="478"/>
      <c r="E105" s="479"/>
      <c r="F105" s="480"/>
      <c r="G105" s="2"/>
      <c r="H105" s="2"/>
      <c r="I105" s="477"/>
      <c r="J105" s="478"/>
      <c r="K105" s="478"/>
      <c r="L105" s="479"/>
      <c r="M105" s="480"/>
      <c r="N105" s="2"/>
    </row>
    <row r="106" spans="1:14" ht="12.75">
      <c r="A106" s="39"/>
      <c r="B106" s="481"/>
      <c r="C106" s="478"/>
      <c r="D106" s="482"/>
      <c r="E106" s="483"/>
      <c r="F106" s="484"/>
      <c r="G106" s="2"/>
      <c r="H106" s="758" t="s">
        <v>541</v>
      </c>
      <c r="I106" s="758"/>
      <c r="J106" s="758"/>
      <c r="K106" s="758"/>
      <c r="L106" s="758"/>
      <c r="M106" s="758"/>
      <c r="N106" s="758"/>
    </row>
    <row r="108" spans="7:14" ht="12.75">
      <c r="G108" s="2"/>
      <c r="H108" s="2"/>
      <c r="I108" s="2"/>
      <c r="J108" s="2"/>
      <c r="K108" s="2"/>
      <c r="L108" s="2"/>
      <c r="M108" s="2"/>
      <c r="N108" s="2"/>
    </row>
    <row r="109" spans="7:14" ht="12.75">
      <c r="G109" s="2"/>
      <c r="H109" s="2"/>
      <c r="I109" s="2"/>
      <c r="J109" s="2"/>
      <c r="K109" s="2"/>
      <c r="L109" s="2"/>
      <c r="M109" s="2"/>
      <c r="N109" s="2"/>
    </row>
    <row r="110" spans="7:14" ht="12.75">
      <c r="G110" s="2"/>
      <c r="H110" s="2"/>
      <c r="I110" s="2"/>
      <c r="J110" s="2"/>
      <c r="K110" s="2"/>
      <c r="L110" s="2"/>
      <c r="M110" s="2"/>
      <c r="N110" s="2"/>
    </row>
    <row r="111" spans="7:14" ht="12.75">
      <c r="G111" s="2"/>
      <c r="H111" s="2"/>
      <c r="I111" s="2"/>
      <c r="J111" s="2"/>
      <c r="K111" s="2"/>
      <c r="L111" s="2"/>
      <c r="M111" s="2"/>
      <c r="N111" s="2"/>
    </row>
    <row r="112" spans="7:14" ht="12.75">
      <c r="G112" s="2"/>
      <c r="I112" s="2"/>
      <c r="J112" s="2"/>
      <c r="K112" s="2"/>
      <c r="L112" s="2"/>
      <c r="M112" s="2"/>
      <c r="N112" s="2"/>
    </row>
    <row r="113" spans="7:14" ht="12.75">
      <c r="G113" s="2"/>
      <c r="I113" s="2"/>
      <c r="J113" s="2"/>
      <c r="K113" s="2"/>
      <c r="L113" s="2"/>
      <c r="M113" s="2"/>
      <c r="N113" s="2"/>
    </row>
    <row r="114" spans="7:14" ht="12.75">
      <c r="G114" s="2"/>
      <c r="H114" s="2"/>
      <c r="I114" s="2"/>
      <c r="J114" s="2"/>
      <c r="K114" s="2"/>
      <c r="L114" s="2"/>
      <c r="M114" s="2"/>
      <c r="N114" s="2"/>
    </row>
    <row r="115" spans="7:14" ht="12.75">
      <c r="G115" s="2"/>
      <c r="H115" s="2"/>
      <c r="I115" s="2"/>
      <c r="J115" s="2"/>
      <c r="K115" s="2"/>
      <c r="L115" s="2"/>
      <c r="M115" s="2"/>
      <c r="N115" s="2"/>
    </row>
    <row r="116" spans="7:14" ht="12.75">
      <c r="G116" s="2"/>
      <c r="H116" s="2"/>
      <c r="I116" s="2"/>
      <c r="J116" s="2"/>
      <c r="K116" s="2"/>
      <c r="L116" s="2"/>
      <c r="M116" s="2"/>
      <c r="N116" s="2"/>
    </row>
    <row r="117" spans="7:14" ht="12.75">
      <c r="G117" s="2"/>
      <c r="I117" s="2"/>
      <c r="J117" s="2"/>
      <c r="K117" s="2"/>
      <c r="L117" s="2"/>
      <c r="M117" s="2"/>
      <c r="N117" s="2"/>
    </row>
    <row r="118" spans="7:14" ht="12.75">
      <c r="G118" s="2"/>
      <c r="I118" s="2"/>
      <c r="J118" s="2"/>
      <c r="K118" s="2"/>
      <c r="L118" s="2"/>
      <c r="M118" s="2"/>
      <c r="N118" s="2"/>
    </row>
    <row r="119" spans="7:14" ht="12.75">
      <c r="G119" s="2"/>
      <c r="I119" s="2"/>
      <c r="J119" s="2"/>
      <c r="K119" s="2"/>
      <c r="L119" s="2"/>
      <c r="M119" s="2"/>
      <c r="N119" s="2"/>
    </row>
    <row r="120" spans="7:14" ht="12.75">
      <c r="G120" s="2"/>
      <c r="I120" s="2"/>
      <c r="J120" s="2"/>
      <c r="K120" s="2"/>
      <c r="L120" s="2"/>
      <c r="M120" s="2"/>
      <c r="N120" s="2"/>
    </row>
    <row r="121" spans="7:14" ht="12.75">
      <c r="G121" s="2"/>
      <c r="H121" s="2"/>
      <c r="I121" s="2"/>
      <c r="J121" s="2"/>
      <c r="K121" s="2"/>
      <c r="L121" s="2"/>
      <c r="M121" s="2"/>
      <c r="N121" s="2"/>
    </row>
    <row r="122" spans="7:14" ht="12.75">
      <c r="G122" s="2"/>
      <c r="H122" s="2"/>
      <c r="I122" s="2"/>
      <c r="J122" s="2"/>
      <c r="K122" s="2"/>
      <c r="L122" s="2"/>
      <c r="M122" s="2"/>
      <c r="N122" s="2"/>
    </row>
    <row r="123" spans="7:14" ht="12.75">
      <c r="G123" s="2"/>
      <c r="H123" s="2"/>
      <c r="I123" s="2"/>
      <c r="J123" s="2"/>
      <c r="K123" s="2"/>
      <c r="L123" s="2"/>
      <c r="M123" s="2"/>
      <c r="N123" s="2"/>
    </row>
    <row r="124" spans="7:14" ht="12.75">
      <c r="G124" s="2"/>
      <c r="H124" s="2"/>
      <c r="I124" s="2"/>
      <c r="J124" s="2"/>
      <c r="K124" s="2"/>
      <c r="L124" s="2"/>
      <c r="M124" s="2"/>
      <c r="N124" s="2"/>
    </row>
    <row r="125" spans="7:14" ht="12.75">
      <c r="G125" s="2"/>
      <c r="H125" s="2"/>
      <c r="I125" s="2"/>
      <c r="J125" s="2"/>
      <c r="K125" s="2"/>
      <c r="L125" s="2"/>
      <c r="M125" s="2"/>
      <c r="N125" s="2"/>
    </row>
    <row r="126" spans="7:14" ht="12.75">
      <c r="G126" s="2"/>
      <c r="H126" s="2"/>
      <c r="I126" s="2"/>
      <c r="J126" s="2"/>
      <c r="K126" s="2"/>
      <c r="L126" s="2"/>
      <c r="M126" s="2"/>
      <c r="N126" s="2"/>
    </row>
    <row r="127" spans="7:14" ht="12.75">
      <c r="G127" s="2"/>
      <c r="H127" s="2" t="s">
        <v>174</v>
      </c>
      <c r="I127" s="2"/>
      <c r="J127" s="2"/>
      <c r="K127" s="2"/>
      <c r="L127" s="2"/>
      <c r="M127" s="2"/>
      <c r="N127" s="2"/>
    </row>
    <row r="128" spans="7:14" ht="12.75">
      <c r="G128" s="2"/>
      <c r="H128" s="2" t="s">
        <v>542</v>
      </c>
      <c r="I128" s="2"/>
      <c r="J128" s="2"/>
      <c r="K128" s="2"/>
      <c r="L128" s="2"/>
      <c r="M128" s="2"/>
      <c r="N128" s="2"/>
    </row>
    <row r="129" spans="7:14" ht="12.75">
      <c r="G129" s="2"/>
      <c r="H129" s="2"/>
      <c r="I129" s="2"/>
      <c r="J129" s="2"/>
      <c r="K129" s="2"/>
      <c r="L129" s="2"/>
      <c r="M129" s="2"/>
      <c r="N129" s="2"/>
    </row>
    <row r="130" spans="7:14" ht="12.75">
      <c r="G130" s="2"/>
      <c r="H130" s="2"/>
      <c r="I130" s="2"/>
      <c r="J130" s="2"/>
      <c r="K130" s="2"/>
      <c r="L130" s="2"/>
      <c r="M130" s="2"/>
      <c r="N130" s="2"/>
    </row>
    <row r="131" spans="7:14" ht="12.75">
      <c r="G131" s="2"/>
      <c r="H131" s="2"/>
      <c r="I131" s="2"/>
      <c r="J131" s="2"/>
      <c r="K131" s="2"/>
      <c r="L131" s="2"/>
      <c r="M131" s="2"/>
      <c r="N131" s="2"/>
    </row>
    <row r="132" spans="7:14" ht="12.75">
      <c r="G132" s="2"/>
      <c r="H132" s="2"/>
      <c r="I132" s="2"/>
      <c r="J132" s="2"/>
      <c r="K132" s="2"/>
      <c r="L132" s="2"/>
      <c r="M132" s="2"/>
      <c r="N132" s="2"/>
    </row>
    <row r="133" spans="7:14" ht="12.75">
      <c r="G133" s="2"/>
      <c r="H133" s="2"/>
      <c r="I133" s="2"/>
      <c r="J133" s="2"/>
      <c r="K133" s="2"/>
      <c r="L133" s="2"/>
      <c r="M133" s="2"/>
      <c r="N133" s="2"/>
    </row>
    <row r="134" spans="7:14" ht="12.75">
      <c r="G134" s="2"/>
      <c r="H134" s="2"/>
      <c r="I134" s="2"/>
      <c r="J134" s="2"/>
      <c r="K134" s="2"/>
      <c r="L134" s="2"/>
      <c r="M134" s="2"/>
      <c r="N134" s="2"/>
    </row>
    <row r="135" spans="7:14" ht="12.75">
      <c r="G135" s="2"/>
      <c r="H135" s="2"/>
      <c r="I135" s="2"/>
      <c r="J135" s="2"/>
      <c r="K135" s="2"/>
      <c r="L135" s="2"/>
      <c r="M135" s="2"/>
      <c r="N135" s="2"/>
    </row>
    <row r="136" spans="7:14" ht="12.75">
      <c r="G136" s="2"/>
      <c r="H136" s="2"/>
      <c r="I136" s="2"/>
      <c r="J136" s="2"/>
      <c r="K136" s="2"/>
      <c r="L136" s="2"/>
      <c r="M136" s="2"/>
      <c r="N136" s="2"/>
    </row>
    <row r="137" spans="7:14" ht="12.75">
      <c r="G137" s="2"/>
      <c r="H137" s="2"/>
      <c r="I137" s="2"/>
      <c r="J137" s="2"/>
      <c r="K137" s="2"/>
      <c r="L137" s="2"/>
      <c r="M137" s="2"/>
      <c r="N137" s="2"/>
    </row>
    <row r="138" spans="7:14" ht="12.75">
      <c r="G138" s="2"/>
      <c r="H138" s="2"/>
      <c r="I138" s="2"/>
      <c r="J138" s="2"/>
      <c r="K138" s="2"/>
      <c r="L138" s="2"/>
      <c r="M138" s="2"/>
      <c r="N138" s="2"/>
    </row>
    <row r="139" spans="7:14" ht="12.75">
      <c r="G139" s="2"/>
      <c r="H139" s="2"/>
      <c r="I139" s="2"/>
      <c r="J139" s="2"/>
      <c r="K139" s="2"/>
      <c r="L139" s="2"/>
      <c r="M139" s="2"/>
      <c r="N139" s="2"/>
    </row>
    <row r="140" spans="7:14" ht="12.75">
      <c r="G140" s="2"/>
      <c r="H140" s="2"/>
      <c r="I140" s="2"/>
      <c r="J140" s="2"/>
      <c r="K140" s="2"/>
      <c r="L140" s="2"/>
      <c r="M140" s="2"/>
      <c r="N140" s="2"/>
    </row>
    <row r="141" spans="7:14" ht="12.75">
      <c r="G141" s="2"/>
      <c r="H141" s="2"/>
      <c r="I141" s="2"/>
      <c r="J141" s="2"/>
      <c r="K141" s="2"/>
      <c r="L141" s="2"/>
      <c r="M141" s="2"/>
      <c r="N141" s="2"/>
    </row>
    <row r="142" spans="7:14" ht="12.75">
      <c r="G142" s="2"/>
      <c r="H142" s="2"/>
      <c r="I142" s="2"/>
      <c r="J142" s="2"/>
      <c r="K142" s="2"/>
      <c r="L142" s="2"/>
      <c r="M142" s="2"/>
      <c r="N142" s="2"/>
    </row>
    <row r="143" spans="7:14" ht="12.75">
      <c r="G143" s="2"/>
      <c r="H143" s="2"/>
      <c r="I143" s="2"/>
      <c r="J143" s="2"/>
      <c r="K143" s="2"/>
      <c r="L143" s="2"/>
      <c r="M143" s="2"/>
      <c r="N143" s="2"/>
    </row>
    <row r="144" spans="7:14" ht="12.75">
      <c r="G144" s="2"/>
      <c r="H144" s="2"/>
      <c r="I144" s="2"/>
      <c r="J144" s="2"/>
      <c r="K144" s="2"/>
      <c r="L144" s="2"/>
      <c r="M144" s="2"/>
      <c r="N144" s="2"/>
    </row>
    <row r="145" spans="7:14" ht="12.75">
      <c r="G145" s="2"/>
      <c r="H145" s="2"/>
      <c r="I145" s="2"/>
      <c r="J145" s="2"/>
      <c r="K145" s="2"/>
      <c r="L145" s="2"/>
      <c r="M145" s="2"/>
      <c r="N145" s="2"/>
    </row>
    <row r="146" spans="7:14" ht="12.75">
      <c r="G146" s="2"/>
      <c r="H146" s="2"/>
      <c r="I146" s="2"/>
      <c r="J146" s="2"/>
      <c r="K146" s="2"/>
      <c r="L146" s="2"/>
      <c r="M146" s="2"/>
      <c r="N146" s="2"/>
    </row>
    <row r="147" spans="7:14" ht="12.75">
      <c r="G147" s="2"/>
      <c r="H147" s="2"/>
      <c r="I147" s="2"/>
      <c r="J147" s="2"/>
      <c r="K147" s="2"/>
      <c r="L147" s="2"/>
      <c r="M147" s="2"/>
      <c r="N147" s="2"/>
    </row>
    <row r="148" spans="7:14" ht="12.75">
      <c r="G148" s="2"/>
      <c r="H148" s="2"/>
      <c r="I148" s="2"/>
      <c r="J148" s="2"/>
      <c r="K148" s="2"/>
      <c r="L148" s="2"/>
      <c r="M148" s="2"/>
      <c r="N148" s="2"/>
    </row>
    <row r="149" spans="7:14" ht="12.75">
      <c r="G149" s="2"/>
      <c r="H149" s="2"/>
      <c r="I149" s="2"/>
      <c r="J149" s="2"/>
      <c r="K149" s="2"/>
      <c r="L149" s="2"/>
      <c r="M149" s="2"/>
      <c r="N149" s="2"/>
    </row>
    <row r="150" spans="7:14" ht="12.75">
      <c r="G150" s="2"/>
      <c r="H150" s="2"/>
      <c r="I150" s="2"/>
      <c r="J150" s="2"/>
      <c r="K150" s="2"/>
      <c r="L150" s="2"/>
      <c r="M150" s="2"/>
      <c r="N150" s="2"/>
    </row>
    <row r="151" spans="7:14" ht="12.75">
      <c r="G151" s="2"/>
      <c r="H151" s="2"/>
      <c r="I151" s="2"/>
      <c r="J151" s="2"/>
      <c r="K151" s="2"/>
      <c r="L151" s="2"/>
      <c r="M151" s="2"/>
      <c r="N151" s="2"/>
    </row>
    <row r="152" spans="7:14" ht="12.75">
      <c r="G152" s="2"/>
      <c r="H152" s="2"/>
      <c r="I152" s="2"/>
      <c r="J152" s="2"/>
      <c r="K152" s="2"/>
      <c r="L152" s="2"/>
      <c r="M152" s="2"/>
      <c r="N152" s="2"/>
    </row>
    <row r="153" spans="7:14" ht="12.75">
      <c r="G153" s="2"/>
      <c r="H153" s="2"/>
      <c r="I153" s="2"/>
      <c r="J153" s="2"/>
      <c r="K153" s="2"/>
      <c r="L153" s="2"/>
      <c r="M153" s="2"/>
      <c r="N153" s="2"/>
    </row>
    <row r="154" spans="7:14" ht="12.75">
      <c r="G154" s="2"/>
      <c r="H154" s="2"/>
      <c r="I154" s="2"/>
      <c r="J154" s="2"/>
      <c r="K154" s="2"/>
      <c r="L154" s="2"/>
      <c r="M154" s="2"/>
      <c r="N154" s="2"/>
    </row>
    <row r="155" spans="7:14" ht="12.75">
      <c r="G155" s="2"/>
      <c r="H155" s="2"/>
      <c r="I155" s="2"/>
      <c r="J155" s="2"/>
      <c r="K155" s="2"/>
      <c r="L155" s="2"/>
      <c r="M155" s="2"/>
      <c r="N155" s="2"/>
    </row>
    <row r="156" spans="7:14" ht="12.75">
      <c r="G156" s="2"/>
      <c r="H156" s="2"/>
      <c r="I156" s="2"/>
      <c r="J156" s="2"/>
      <c r="K156" s="2"/>
      <c r="L156" s="2"/>
      <c r="M156" s="2"/>
      <c r="N156" s="2"/>
    </row>
    <row r="157" spans="7:14" ht="12.75">
      <c r="G157" s="2"/>
      <c r="H157" s="2"/>
      <c r="I157" s="2"/>
      <c r="J157" s="2"/>
      <c r="K157" s="2"/>
      <c r="L157" s="2"/>
      <c r="M157" s="2"/>
      <c r="N157" s="2"/>
    </row>
    <row r="158" spans="7:14" ht="12.75">
      <c r="G158" s="2"/>
      <c r="H158" s="2"/>
      <c r="I158" s="2"/>
      <c r="J158" s="2"/>
      <c r="K158" s="2"/>
      <c r="L158" s="2"/>
      <c r="M158" s="2"/>
      <c r="N158" s="2"/>
    </row>
    <row r="159" spans="7:14" ht="12.75">
      <c r="G159" s="2"/>
      <c r="H159" s="2"/>
      <c r="I159" s="2"/>
      <c r="J159" s="2"/>
      <c r="K159" s="2"/>
      <c r="L159" s="2"/>
      <c r="M159" s="2"/>
      <c r="N159" s="2"/>
    </row>
    <row r="160" spans="7:14" ht="12.75">
      <c r="G160" s="2"/>
      <c r="H160" s="2"/>
      <c r="I160" s="2"/>
      <c r="J160" s="2"/>
      <c r="K160" s="2"/>
      <c r="L160" s="2"/>
      <c r="M160" s="2"/>
      <c r="N160" s="2"/>
    </row>
    <row r="161" spans="7:14" ht="12.75">
      <c r="G161" s="2"/>
      <c r="H161" s="2"/>
      <c r="I161" s="2"/>
      <c r="J161" s="2"/>
      <c r="K161" s="2"/>
      <c r="L161" s="2"/>
      <c r="M161" s="2"/>
      <c r="N161" s="2"/>
    </row>
    <row r="162" spans="7:14" ht="12.75">
      <c r="G162" s="2"/>
      <c r="H162" s="2"/>
      <c r="I162" s="2"/>
      <c r="J162" s="2"/>
      <c r="K162" s="2"/>
      <c r="L162" s="2"/>
      <c r="M162" s="2"/>
      <c r="N162" s="2"/>
    </row>
    <row r="163" spans="7:14" ht="12.75">
      <c r="G163" s="2"/>
      <c r="H163" s="2"/>
      <c r="I163" s="2"/>
      <c r="J163" s="2"/>
      <c r="K163" s="2"/>
      <c r="L163" s="2"/>
      <c r="M163" s="2"/>
      <c r="N163" s="2"/>
    </row>
    <row r="164" spans="7:14" ht="12.75">
      <c r="G164" s="2"/>
      <c r="H164" s="2"/>
      <c r="I164" s="2"/>
      <c r="J164" s="2"/>
      <c r="K164" s="2"/>
      <c r="L164" s="2"/>
      <c r="M164" s="2"/>
      <c r="N164" s="2"/>
    </row>
    <row r="165" spans="7:14" ht="12.75">
      <c r="G165" s="2"/>
      <c r="H165" s="2"/>
      <c r="I165" s="2"/>
      <c r="J165" s="2"/>
      <c r="K165" s="2"/>
      <c r="L165" s="2"/>
      <c r="M165" s="2"/>
      <c r="N165" s="2"/>
    </row>
    <row r="166" spans="7:14" ht="12.75">
      <c r="G166" s="2"/>
      <c r="H166" s="2"/>
      <c r="I166" s="2"/>
      <c r="J166" s="2"/>
      <c r="K166" s="2"/>
      <c r="L166" s="2"/>
      <c r="M166" s="2"/>
      <c r="N166" s="2"/>
    </row>
    <row r="167" spans="7:14" ht="12.75">
      <c r="G167" s="2"/>
      <c r="H167" s="2"/>
      <c r="I167" s="2"/>
      <c r="J167" s="2"/>
      <c r="K167" s="2"/>
      <c r="L167" s="2"/>
      <c r="M167" s="2"/>
      <c r="N167" s="2"/>
    </row>
    <row r="168" spans="7:14" ht="12.75">
      <c r="G168" s="2"/>
      <c r="H168" s="2"/>
      <c r="I168" s="2"/>
      <c r="J168" s="2"/>
      <c r="K168" s="2"/>
      <c r="L168" s="2"/>
      <c r="M168" s="2"/>
      <c r="N168" s="2"/>
    </row>
    <row r="169" spans="7:14" ht="12.75">
      <c r="G169" s="2"/>
      <c r="H169" s="2"/>
      <c r="I169" s="2"/>
      <c r="J169" s="2"/>
      <c r="K169" s="2"/>
      <c r="L169" s="2"/>
      <c r="M169" s="2"/>
      <c r="N169" s="2"/>
    </row>
    <row r="170" spans="7:14" ht="12.75">
      <c r="G170" s="2"/>
      <c r="H170" s="2"/>
      <c r="I170" s="2"/>
      <c r="J170" s="2"/>
      <c r="K170" s="2"/>
      <c r="L170" s="2"/>
      <c r="M170" s="2"/>
      <c r="N170" s="2"/>
    </row>
    <row r="171" spans="7:14" ht="12.75">
      <c r="G171" s="2"/>
      <c r="H171" s="2"/>
      <c r="I171" s="2"/>
      <c r="J171" s="2"/>
      <c r="K171" s="2"/>
      <c r="L171" s="2"/>
      <c r="M171" s="2"/>
      <c r="N171" s="2"/>
    </row>
    <row r="172" spans="7:14" ht="12.75">
      <c r="G172" s="2"/>
      <c r="H172" s="2"/>
      <c r="I172" s="2"/>
      <c r="J172" s="2"/>
      <c r="K172" s="2"/>
      <c r="L172" s="2"/>
      <c r="M172" s="2"/>
      <c r="N172" s="2"/>
    </row>
    <row r="173" spans="7:14" ht="12.75">
      <c r="G173" s="2"/>
      <c r="H173" s="2"/>
      <c r="I173" s="2"/>
      <c r="J173" s="2"/>
      <c r="K173" s="2"/>
      <c r="L173" s="2"/>
      <c r="M173" s="2"/>
      <c r="N173" s="2"/>
    </row>
    <row r="174" spans="7:14" ht="12.75">
      <c r="G174" s="2"/>
      <c r="H174" s="2"/>
      <c r="I174" s="2"/>
      <c r="J174" s="2"/>
      <c r="K174" s="2"/>
      <c r="L174" s="2"/>
      <c r="M174" s="2"/>
      <c r="N174" s="2"/>
    </row>
    <row r="175" spans="7:14" ht="12.75">
      <c r="G175" s="2"/>
      <c r="H175" s="2"/>
      <c r="I175" s="2"/>
      <c r="J175" s="2"/>
      <c r="K175" s="2"/>
      <c r="L175" s="2"/>
      <c r="M175" s="2"/>
      <c r="N175" s="2"/>
    </row>
    <row r="176" spans="7:14" ht="12.75">
      <c r="G176" s="2"/>
      <c r="H176" s="2"/>
      <c r="I176" s="2"/>
      <c r="J176" s="2"/>
      <c r="K176" s="2"/>
      <c r="L176" s="2"/>
      <c r="M176" s="2"/>
      <c r="N176" s="2"/>
    </row>
    <row r="177" spans="7:14" ht="12.75">
      <c r="G177" s="2"/>
      <c r="H177" s="2"/>
      <c r="I177" s="2"/>
      <c r="J177" s="2"/>
      <c r="K177" s="2"/>
      <c r="L177" s="2"/>
      <c r="M177" s="2"/>
      <c r="N177" s="2"/>
    </row>
    <row r="178" spans="7:14" ht="12.75">
      <c r="G178" s="2"/>
      <c r="H178" s="2"/>
      <c r="I178" s="2"/>
      <c r="J178" s="2"/>
      <c r="K178" s="2"/>
      <c r="L178" s="2"/>
      <c r="M178" s="2"/>
      <c r="N178" s="2"/>
    </row>
    <row r="179" spans="7:14" ht="12.75">
      <c r="G179" s="2"/>
      <c r="H179" s="2"/>
      <c r="I179" s="2"/>
      <c r="J179" s="2"/>
      <c r="K179" s="2"/>
      <c r="L179" s="2"/>
      <c r="M179" s="2"/>
      <c r="N179" s="2"/>
    </row>
    <row r="180" spans="7:14" ht="12.75">
      <c r="G180" s="2"/>
      <c r="H180" s="2"/>
      <c r="I180" s="2"/>
      <c r="J180" s="2"/>
      <c r="K180" s="2"/>
      <c r="L180" s="2"/>
      <c r="M180" s="2"/>
      <c r="N180" s="2"/>
    </row>
    <row r="181" spans="7:14" ht="12.75">
      <c r="G181" s="2"/>
      <c r="H181" s="2"/>
      <c r="I181" s="2"/>
      <c r="J181" s="2"/>
      <c r="K181" s="2"/>
      <c r="L181" s="2"/>
      <c r="M181" s="2"/>
      <c r="N181" s="2"/>
    </row>
    <row r="182" spans="7:14" ht="12.75">
      <c r="G182" s="2"/>
      <c r="H182" s="2"/>
      <c r="I182" s="2"/>
      <c r="J182" s="2"/>
      <c r="K182" s="2"/>
      <c r="L182" s="2"/>
      <c r="M182" s="2"/>
      <c r="N182" s="2"/>
    </row>
    <row r="183" spans="7:14" ht="12.75">
      <c r="G183" s="2"/>
      <c r="H183" s="2"/>
      <c r="I183" s="2"/>
      <c r="J183" s="2"/>
      <c r="K183" s="2"/>
      <c r="L183" s="2"/>
      <c r="M183" s="2"/>
      <c r="N183" s="2"/>
    </row>
    <row r="184" spans="7:14" ht="12.75">
      <c r="G184" s="2"/>
      <c r="H184" s="2"/>
      <c r="I184" s="2"/>
      <c r="J184" s="2"/>
      <c r="K184" s="2"/>
      <c r="L184" s="2"/>
      <c r="M184" s="2"/>
      <c r="N184" s="2"/>
    </row>
    <row r="185" spans="7:14" ht="12.75">
      <c r="G185" s="2"/>
      <c r="H185" s="2"/>
      <c r="I185" s="2"/>
      <c r="J185" s="2"/>
      <c r="K185" s="2"/>
      <c r="L185" s="2"/>
      <c r="M185" s="2"/>
      <c r="N185" s="2"/>
    </row>
    <row r="186" spans="7:14" ht="12.75">
      <c r="G186" s="2"/>
      <c r="H186" s="2"/>
      <c r="I186" s="2"/>
      <c r="J186" s="2"/>
      <c r="K186" s="2"/>
      <c r="L186" s="2"/>
      <c r="M186" s="2"/>
      <c r="N186" s="2"/>
    </row>
    <row r="187" spans="7:14" ht="12.75">
      <c r="G187" s="2"/>
      <c r="H187" s="2"/>
      <c r="I187" s="2"/>
      <c r="J187" s="2"/>
      <c r="K187" s="2"/>
      <c r="L187" s="2"/>
      <c r="M187" s="2"/>
      <c r="N187" s="2"/>
    </row>
    <row r="188" spans="7:14" ht="12.75">
      <c r="G188" s="2"/>
      <c r="H188" s="2"/>
      <c r="I188" s="2"/>
      <c r="J188" s="2"/>
      <c r="K188" s="2"/>
      <c r="L188" s="2"/>
      <c r="M188" s="2"/>
      <c r="N188" s="2"/>
    </row>
    <row r="189" spans="7:14" ht="12.75">
      <c r="G189" s="2"/>
      <c r="H189" s="2"/>
      <c r="I189" s="2"/>
      <c r="J189" s="2"/>
      <c r="K189" s="2"/>
      <c r="L189" s="2"/>
      <c r="M189" s="2"/>
      <c r="N189" s="2"/>
    </row>
    <row r="190" spans="7:14" ht="12.75">
      <c r="G190" s="2"/>
      <c r="H190" s="2"/>
      <c r="I190" s="2"/>
      <c r="J190" s="2"/>
      <c r="K190" s="2"/>
      <c r="L190" s="2"/>
      <c r="M190" s="2"/>
      <c r="N190" s="2"/>
    </row>
    <row r="191" spans="1:14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</sheetData>
  <mergeCells count="1">
    <mergeCell ref="H106:N10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5"/>
  <sheetViews>
    <sheetView workbookViewId="0" topLeftCell="A1">
      <selection activeCell="A17" sqref="A17"/>
    </sheetView>
  </sheetViews>
  <sheetFormatPr defaultColWidth="9.140625" defaultRowHeight="12.75"/>
  <cols>
    <col min="1" max="1" width="58.57421875" style="487" customWidth="1"/>
    <col min="2" max="2" width="9.8515625" style="487" customWidth="1"/>
    <col min="3" max="3" width="11.00390625" style="487" customWidth="1"/>
    <col min="4" max="4" width="10.421875" style="487" customWidth="1"/>
    <col min="5" max="5" width="10.7109375" style="487" customWidth="1"/>
    <col min="6" max="16384" width="8.00390625" style="487" customWidth="1"/>
  </cols>
  <sheetData>
    <row r="1" spans="1:5" ht="12.75">
      <c r="A1" s="485" t="s">
        <v>98</v>
      </c>
      <c r="B1" s="485"/>
      <c r="C1" s="485"/>
      <c r="D1" s="485"/>
      <c r="E1" s="486" t="s">
        <v>543</v>
      </c>
    </row>
    <row r="2" spans="1:5" ht="12.75">
      <c r="A2" s="488"/>
      <c r="B2" s="488"/>
      <c r="C2" s="488"/>
      <c r="D2" s="488"/>
      <c r="E2" s="488"/>
    </row>
    <row r="3" spans="1:5" ht="18">
      <c r="A3" s="489" t="s">
        <v>544</v>
      </c>
      <c r="B3" s="490"/>
      <c r="C3" s="485"/>
      <c r="D3" s="485"/>
      <c r="E3" s="485"/>
    </row>
    <row r="4" spans="1:5" ht="18">
      <c r="A4" s="489" t="s">
        <v>43</v>
      </c>
      <c r="B4" s="490"/>
      <c r="C4" s="485"/>
      <c r="D4" s="485"/>
      <c r="E4" s="485"/>
    </row>
    <row r="5" spans="1:5" ht="18">
      <c r="A5" s="491"/>
      <c r="B5" s="491"/>
      <c r="C5" s="492"/>
      <c r="D5" s="493"/>
      <c r="E5" s="493" t="s">
        <v>529</v>
      </c>
    </row>
    <row r="6" spans="1:5" ht="35.25" customHeight="1">
      <c r="A6" s="494" t="s">
        <v>54</v>
      </c>
      <c r="B6" s="495" t="s">
        <v>545</v>
      </c>
      <c r="C6" s="495" t="s">
        <v>103</v>
      </c>
      <c r="D6" s="495" t="s">
        <v>104</v>
      </c>
      <c r="E6" s="496" t="s">
        <v>58</v>
      </c>
    </row>
    <row r="7" spans="1:5" s="507" customFormat="1" ht="12.75" customHeight="1">
      <c r="A7" s="497">
        <v>1</v>
      </c>
      <c r="B7" s="505">
        <v>2</v>
      </c>
      <c r="C7" s="505">
        <v>3</v>
      </c>
      <c r="D7" s="505">
        <v>4</v>
      </c>
      <c r="E7" s="506">
        <v>5</v>
      </c>
    </row>
    <row r="8" spans="1:5" ht="16.5" customHeight="1">
      <c r="A8" s="508" t="s">
        <v>546</v>
      </c>
      <c r="B8" s="509">
        <f>B16+B20</f>
        <v>423559</v>
      </c>
      <c r="C8" s="509">
        <f>C16+C20</f>
        <v>289040</v>
      </c>
      <c r="D8" s="510">
        <f aca="true" t="shared" si="0" ref="D8:D50">C8/B8*100</f>
        <v>68.24078817827032</v>
      </c>
      <c r="E8" s="511">
        <f>E16+E20</f>
        <v>30108</v>
      </c>
    </row>
    <row r="9" spans="1:5" ht="12">
      <c r="A9" s="512" t="s">
        <v>547</v>
      </c>
      <c r="B9" s="509">
        <f>SUM(B10:B13)</f>
        <v>405270</v>
      </c>
      <c r="C9" s="509">
        <f>SUM(C10:C13)</f>
        <v>274188</v>
      </c>
      <c r="D9" s="510">
        <f t="shared" si="0"/>
        <v>67.65563698275224</v>
      </c>
      <c r="E9" s="511">
        <f>SUM(E10:E13)</f>
        <v>29226</v>
      </c>
    </row>
    <row r="10" spans="1:5" ht="12">
      <c r="A10" s="512" t="s">
        <v>548</v>
      </c>
      <c r="B10" s="509">
        <v>223597</v>
      </c>
      <c r="C10" s="509">
        <v>150835</v>
      </c>
      <c r="D10" s="510">
        <f t="shared" si="0"/>
        <v>67.45841849398695</v>
      </c>
      <c r="E10" s="511">
        <v>17501</v>
      </c>
    </row>
    <row r="11" spans="1:5" ht="12">
      <c r="A11" s="512" t="s">
        <v>549</v>
      </c>
      <c r="B11" s="509">
        <v>18004</v>
      </c>
      <c r="C11" s="509">
        <v>11726</v>
      </c>
      <c r="D11" s="510">
        <f t="shared" si="0"/>
        <v>65.12997111752944</v>
      </c>
      <c r="E11" s="511">
        <v>1274</v>
      </c>
    </row>
    <row r="12" spans="1:5" ht="12">
      <c r="A12" s="512" t="s">
        <v>550</v>
      </c>
      <c r="B12" s="509">
        <v>24924</v>
      </c>
      <c r="C12" s="509">
        <v>16277</v>
      </c>
      <c r="D12" s="510">
        <f t="shared" si="0"/>
        <v>65.30653185684481</v>
      </c>
      <c r="E12" s="511">
        <v>1675</v>
      </c>
    </row>
    <row r="13" spans="1:5" ht="12">
      <c r="A13" s="512" t="s">
        <v>551</v>
      </c>
      <c r="B13" s="509">
        <v>138745</v>
      </c>
      <c r="C13" s="509">
        <v>95350</v>
      </c>
      <c r="D13" s="510">
        <f t="shared" si="0"/>
        <v>68.7231972323327</v>
      </c>
      <c r="E13" s="511">
        <v>8776</v>
      </c>
    </row>
    <row r="14" spans="1:5" ht="12">
      <c r="A14" s="513" t="s">
        <v>552</v>
      </c>
      <c r="B14" s="509">
        <v>8283</v>
      </c>
      <c r="C14" s="509">
        <v>5357</v>
      </c>
      <c r="D14" s="510">
        <f t="shared" si="0"/>
        <v>64.6746347941567</v>
      </c>
      <c r="E14" s="511">
        <v>754</v>
      </c>
    </row>
    <row r="15" spans="1:5" ht="22.5">
      <c r="A15" s="513" t="s">
        <v>553</v>
      </c>
      <c r="B15" s="509">
        <v>24575</v>
      </c>
      <c r="C15" s="509">
        <v>16322</v>
      </c>
      <c r="D15" s="510">
        <f t="shared" si="0"/>
        <v>66.41709053916583</v>
      </c>
      <c r="E15" s="511">
        <v>2086</v>
      </c>
    </row>
    <row r="16" spans="1:5" ht="19.5" customHeight="1">
      <c r="A16" s="508" t="s">
        <v>554</v>
      </c>
      <c r="B16" s="509">
        <f>B9-B14-B15</f>
        <v>372412</v>
      </c>
      <c r="C16" s="509">
        <f>C9-C14-C15</f>
        <v>252509</v>
      </c>
      <c r="D16" s="510">
        <f t="shared" si="0"/>
        <v>67.80366905470285</v>
      </c>
      <c r="E16" s="511">
        <f>E9-E14-E15</f>
        <v>26386</v>
      </c>
    </row>
    <row r="17" spans="1:5" ht="12">
      <c r="A17" s="512" t="s">
        <v>555</v>
      </c>
      <c r="B17" s="509">
        <f>SUM(B18:B19)</f>
        <v>51147</v>
      </c>
      <c r="C17" s="509">
        <f>SUM(C18:C19)</f>
        <v>36531</v>
      </c>
      <c r="D17" s="510">
        <f t="shared" si="0"/>
        <v>71.4235439028682</v>
      </c>
      <c r="E17" s="511">
        <f>SUM(E18:E19)</f>
        <v>3722</v>
      </c>
    </row>
    <row r="18" spans="1:5" ht="12">
      <c r="A18" s="512" t="s">
        <v>556</v>
      </c>
      <c r="B18" s="509">
        <v>46716</v>
      </c>
      <c r="C18" s="509">
        <v>32691</v>
      </c>
      <c r="D18" s="510">
        <f t="shared" si="0"/>
        <v>69.97816593886463</v>
      </c>
      <c r="E18" s="511">
        <v>2842</v>
      </c>
    </row>
    <row r="19" spans="1:5" ht="12">
      <c r="A19" s="512" t="s">
        <v>557</v>
      </c>
      <c r="B19" s="509">
        <v>4431</v>
      </c>
      <c r="C19" s="509">
        <v>3840</v>
      </c>
      <c r="D19" s="510">
        <f t="shared" si="0"/>
        <v>86.66215301286393</v>
      </c>
      <c r="E19" s="511">
        <v>880</v>
      </c>
    </row>
    <row r="20" spans="1:5" ht="23.25" customHeight="1">
      <c r="A20" s="508" t="s">
        <v>558</v>
      </c>
      <c r="B20" s="509">
        <v>51147</v>
      </c>
      <c r="C20" s="509">
        <v>36531</v>
      </c>
      <c r="D20" s="510">
        <f t="shared" si="0"/>
        <v>71.4235439028682</v>
      </c>
      <c r="E20" s="511">
        <v>3722</v>
      </c>
    </row>
    <row r="21" spans="1:5" ht="35.25" customHeight="1">
      <c r="A21" s="508" t="s">
        <v>559</v>
      </c>
      <c r="B21" s="509">
        <f>SUM(B22:B24)</f>
        <v>431013</v>
      </c>
      <c r="C21" s="509">
        <f>SUM(C22:C24)</f>
        <v>286320</v>
      </c>
      <c r="D21" s="510">
        <f t="shared" si="0"/>
        <v>66.4295508488143</v>
      </c>
      <c r="E21" s="511">
        <f>SUM(E22:E24)</f>
        <v>32391</v>
      </c>
    </row>
    <row r="22" spans="1:5" ht="34.5" customHeight="1">
      <c r="A22" s="514" t="s">
        <v>560</v>
      </c>
      <c r="B22" s="509">
        <f aca="true" t="shared" si="1" ref="B22:C24">B34+B43</f>
        <v>377881</v>
      </c>
      <c r="C22" s="509">
        <f t="shared" si="1"/>
        <v>236404</v>
      </c>
      <c r="D22" s="510">
        <f t="shared" si="0"/>
        <v>62.56043569271807</v>
      </c>
      <c r="E22" s="511">
        <f>E34+E43</f>
        <v>23638</v>
      </c>
    </row>
    <row r="23" spans="1:5" ht="30.75" customHeight="1">
      <c r="A23" s="514" t="s">
        <v>561</v>
      </c>
      <c r="B23" s="509">
        <f t="shared" si="1"/>
        <v>34686</v>
      </c>
      <c r="C23" s="509">
        <f t="shared" si="1"/>
        <v>22269</v>
      </c>
      <c r="D23" s="510">
        <f t="shared" si="0"/>
        <v>64.20169520844145</v>
      </c>
      <c r="E23" s="511">
        <f>E35+E44</f>
        <v>4100</v>
      </c>
    </row>
    <row r="24" spans="1:5" ht="31.5" customHeight="1">
      <c r="A24" s="514" t="s">
        <v>562</v>
      </c>
      <c r="B24" s="509">
        <f t="shared" si="1"/>
        <v>18446</v>
      </c>
      <c r="C24" s="509">
        <f t="shared" si="1"/>
        <v>27647</v>
      </c>
      <c r="D24" s="510">
        <f t="shared" si="0"/>
        <v>149.88073295023312</v>
      </c>
      <c r="E24" s="511">
        <f>E36+E45</f>
        <v>4653</v>
      </c>
    </row>
    <row r="25" spans="1:5" ht="59.25" customHeight="1">
      <c r="A25" s="508" t="s">
        <v>563</v>
      </c>
      <c r="B25" s="509">
        <f>B8-B21</f>
        <v>-7454</v>
      </c>
      <c r="C25" s="509">
        <f>C8-C21</f>
        <v>2720</v>
      </c>
      <c r="D25" s="510">
        <f t="shared" si="0"/>
        <v>-36.4904749127985</v>
      </c>
      <c r="E25" s="511">
        <f>E8-E21</f>
        <v>-2283</v>
      </c>
    </row>
    <row r="26" spans="1:5" ht="30" customHeight="1">
      <c r="A26" s="508" t="s">
        <v>564</v>
      </c>
      <c r="B26" s="509">
        <f>B38+B47</f>
        <v>-3129</v>
      </c>
      <c r="C26" s="509">
        <f>C38+C47</f>
        <v>-1047</v>
      </c>
      <c r="D26" s="510">
        <f t="shared" si="0"/>
        <v>33.46116970278044</v>
      </c>
      <c r="E26" s="511">
        <f>E38+E47</f>
        <v>-3651</v>
      </c>
    </row>
    <row r="27" spans="1:5" ht="38.25" customHeight="1">
      <c r="A27" s="508" t="s">
        <v>565</v>
      </c>
      <c r="B27" s="509">
        <f>B21+B26</f>
        <v>427884</v>
      </c>
      <c r="C27" s="509">
        <f>C21+C26</f>
        <v>285273</v>
      </c>
      <c r="D27" s="510">
        <f t="shared" si="0"/>
        <v>66.67063970608856</v>
      </c>
      <c r="E27" s="511">
        <f>E21+E26</f>
        <v>28740</v>
      </c>
    </row>
    <row r="28" spans="1:5" ht="41.25" customHeight="1">
      <c r="A28" s="508" t="s">
        <v>566</v>
      </c>
      <c r="B28" s="509">
        <f>B25-B26</f>
        <v>-4325</v>
      </c>
      <c r="C28" s="509">
        <f>C25-C26</f>
        <v>3767</v>
      </c>
      <c r="D28" s="510">
        <f t="shared" si="0"/>
        <v>-87.09826589595376</v>
      </c>
      <c r="E28" s="511">
        <f>E25-E26</f>
        <v>1368</v>
      </c>
    </row>
    <row r="29" spans="1:5" ht="18.75" customHeight="1">
      <c r="A29" s="515" t="s">
        <v>567</v>
      </c>
      <c r="B29" s="509">
        <v>401212</v>
      </c>
      <c r="C29" s="509">
        <v>275915</v>
      </c>
      <c r="D29" s="510">
        <f t="shared" si="0"/>
        <v>68.77037576144282</v>
      </c>
      <c r="E29" s="511">
        <v>30977</v>
      </c>
    </row>
    <row r="30" spans="1:5" ht="12">
      <c r="A30" s="513" t="s">
        <v>568</v>
      </c>
      <c r="B30" s="509">
        <v>32858</v>
      </c>
      <c r="C30" s="509">
        <v>21679</v>
      </c>
      <c r="D30" s="510">
        <f t="shared" si="0"/>
        <v>65.977844056242</v>
      </c>
      <c r="E30" s="511">
        <v>2840</v>
      </c>
    </row>
    <row r="31" spans="1:5" ht="17.25" customHeight="1">
      <c r="A31" s="515" t="s">
        <v>569</v>
      </c>
      <c r="B31" s="509">
        <f>B29-B30</f>
        <v>368354</v>
      </c>
      <c r="C31" s="509">
        <f>C29-C30</f>
        <v>254236</v>
      </c>
      <c r="D31" s="510">
        <f t="shared" si="0"/>
        <v>69.0194758303154</v>
      </c>
      <c r="E31" s="511">
        <f>E29-E30</f>
        <v>28137</v>
      </c>
    </row>
    <row r="32" spans="1:5" ht="15.75" customHeight="1">
      <c r="A32" s="516" t="s">
        <v>570</v>
      </c>
      <c r="B32" s="509">
        <v>365649</v>
      </c>
      <c r="C32" s="509">
        <v>235906</v>
      </c>
      <c r="D32" s="510">
        <f t="shared" si="0"/>
        <v>64.51706417903509</v>
      </c>
      <c r="E32" s="511">
        <v>24020</v>
      </c>
    </row>
    <row r="33" spans="1:5" ht="12">
      <c r="A33" s="513" t="s">
        <v>568</v>
      </c>
      <c r="B33" s="509">
        <v>32858</v>
      </c>
      <c r="C33" s="509">
        <v>21679</v>
      </c>
      <c r="D33" s="510">
        <f t="shared" si="0"/>
        <v>65.977844056242</v>
      </c>
      <c r="E33" s="511">
        <v>2840</v>
      </c>
    </row>
    <row r="34" spans="1:5" ht="12">
      <c r="A34" s="516" t="s">
        <v>571</v>
      </c>
      <c r="B34" s="509">
        <f>B32-B33</f>
        <v>332791</v>
      </c>
      <c r="C34" s="509">
        <f>C32-C33</f>
        <v>214227</v>
      </c>
      <c r="D34" s="510">
        <f t="shared" si="0"/>
        <v>64.3728346018973</v>
      </c>
      <c r="E34" s="511">
        <f>E32-E33</f>
        <v>21180</v>
      </c>
    </row>
    <row r="35" spans="1:5" ht="12">
      <c r="A35" s="516" t="s">
        <v>572</v>
      </c>
      <c r="B35" s="509">
        <v>18730</v>
      </c>
      <c r="C35" s="509">
        <v>12815</v>
      </c>
      <c r="D35" s="510">
        <f t="shared" si="0"/>
        <v>68.41964762413241</v>
      </c>
      <c r="E35" s="511">
        <v>2375</v>
      </c>
    </row>
    <row r="36" spans="1:5" ht="12">
      <c r="A36" s="516" t="s">
        <v>573</v>
      </c>
      <c r="B36" s="509">
        <v>16833</v>
      </c>
      <c r="C36" s="509">
        <v>27194</v>
      </c>
      <c r="D36" s="510">
        <f t="shared" si="0"/>
        <v>161.55171389532467</v>
      </c>
      <c r="E36" s="511">
        <v>4582</v>
      </c>
    </row>
    <row r="37" spans="1:6" s="518" customFormat="1" ht="42" customHeight="1">
      <c r="A37" s="508" t="s">
        <v>574</v>
      </c>
      <c r="B37" s="509">
        <f>B16-B31</f>
        <v>4058</v>
      </c>
      <c r="C37" s="509">
        <f>C16-C31</f>
        <v>-1727</v>
      </c>
      <c r="D37" s="510">
        <f t="shared" si="0"/>
        <v>-42.557910300640714</v>
      </c>
      <c r="E37" s="511">
        <f>E16-E31</f>
        <v>-1751</v>
      </c>
      <c r="F37" s="517"/>
    </row>
    <row r="38" spans="1:6" s="518" customFormat="1" ht="27" customHeight="1">
      <c r="A38" s="515" t="s">
        <v>575</v>
      </c>
      <c r="B38" s="509">
        <f>B39-B40</f>
        <v>-524</v>
      </c>
      <c r="C38" s="509">
        <f>C39-C40</f>
        <v>-143</v>
      </c>
      <c r="D38" s="510">
        <f t="shared" si="0"/>
        <v>27.29007633587786</v>
      </c>
      <c r="E38" s="511">
        <f>E39-E40</f>
        <v>-220</v>
      </c>
      <c r="F38" s="517"/>
    </row>
    <row r="39" spans="1:6" s="518" customFormat="1" ht="15.75" customHeight="1">
      <c r="A39" s="516" t="s">
        <v>576</v>
      </c>
      <c r="B39" s="509">
        <v>49</v>
      </c>
      <c r="C39" s="509">
        <v>249</v>
      </c>
      <c r="D39" s="510">
        <f t="shared" si="0"/>
        <v>508.16326530612247</v>
      </c>
      <c r="E39" s="511">
        <v>-164</v>
      </c>
      <c r="F39" s="517"/>
    </row>
    <row r="40" spans="1:6" s="518" customFormat="1" ht="18" customHeight="1">
      <c r="A40" s="516" t="s">
        <v>577</v>
      </c>
      <c r="B40" s="509">
        <v>573</v>
      </c>
      <c r="C40" s="509">
        <v>392</v>
      </c>
      <c r="D40" s="510">
        <f t="shared" si="0"/>
        <v>68.41186736474695</v>
      </c>
      <c r="E40" s="511">
        <v>56</v>
      </c>
      <c r="F40" s="517"/>
    </row>
    <row r="41" spans="1:6" s="518" customFormat="1" ht="38.25" customHeight="1">
      <c r="A41" s="508" t="s">
        <v>578</v>
      </c>
      <c r="B41" s="509">
        <f>B37-B38</f>
        <v>4582</v>
      </c>
      <c r="C41" s="509">
        <f>C37-C38</f>
        <v>-1584</v>
      </c>
      <c r="D41" s="510">
        <f t="shared" si="0"/>
        <v>-34.57005674378001</v>
      </c>
      <c r="E41" s="511">
        <f>E37-E38</f>
        <v>-1531</v>
      </c>
      <c r="F41" s="517"/>
    </row>
    <row r="42" spans="1:6" s="518" customFormat="1" ht="23.25" customHeight="1">
      <c r="A42" s="515" t="s">
        <v>579</v>
      </c>
      <c r="B42" s="509">
        <f>SUM(B43:B45)</f>
        <v>62659</v>
      </c>
      <c r="C42" s="509">
        <f>SUM(C43:C45)</f>
        <v>32084</v>
      </c>
      <c r="D42" s="510">
        <f t="shared" si="0"/>
        <v>51.204136676295505</v>
      </c>
      <c r="E42" s="511">
        <f>SUM(E43:E45)</f>
        <v>4254</v>
      </c>
      <c r="F42" s="517"/>
    </row>
    <row r="43" spans="1:6" s="518" customFormat="1" ht="12">
      <c r="A43" s="516" t="s">
        <v>580</v>
      </c>
      <c r="B43" s="509">
        <v>45090</v>
      </c>
      <c r="C43" s="509">
        <v>22177</v>
      </c>
      <c r="D43" s="510">
        <f t="shared" si="0"/>
        <v>49.18385451319583</v>
      </c>
      <c r="E43" s="511">
        <v>2458</v>
      </c>
      <c r="F43" s="517"/>
    </row>
    <row r="44" spans="1:6" s="518" customFormat="1" ht="12">
      <c r="A44" s="516" t="s">
        <v>581</v>
      </c>
      <c r="B44" s="509">
        <v>15956</v>
      </c>
      <c r="C44" s="509">
        <v>9454</v>
      </c>
      <c r="D44" s="510">
        <f t="shared" si="0"/>
        <v>59.25043870644272</v>
      </c>
      <c r="E44" s="511">
        <v>1725</v>
      </c>
      <c r="F44" s="517"/>
    </row>
    <row r="45" spans="1:6" s="518" customFormat="1" ht="12">
      <c r="A45" s="516" t="s">
        <v>582</v>
      </c>
      <c r="B45" s="509">
        <v>1613</v>
      </c>
      <c r="C45" s="509">
        <v>453</v>
      </c>
      <c r="D45" s="510">
        <f t="shared" si="0"/>
        <v>28.084314941103532</v>
      </c>
      <c r="E45" s="511">
        <v>71</v>
      </c>
      <c r="F45" s="517"/>
    </row>
    <row r="46" spans="1:14" s="518" customFormat="1" ht="46.5" customHeight="1">
      <c r="A46" s="508" t="s">
        <v>583</v>
      </c>
      <c r="B46" s="509">
        <f>SUM(B20-B42)</f>
        <v>-11512</v>
      </c>
      <c r="C46" s="509">
        <f>SUM(C20-C42)</f>
        <v>4447</v>
      </c>
      <c r="D46" s="510">
        <f t="shared" si="0"/>
        <v>-38.62925642807505</v>
      </c>
      <c r="E46" s="511">
        <f>SUM(E20-E42)</f>
        <v>-532</v>
      </c>
      <c r="F46" s="517"/>
      <c r="N46" s="488"/>
    </row>
    <row r="47" spans="1:6" s="518" customFormat="1" ht="18.75" customHeight="1">
      <c r="A47" s="515" t="s">
        <v>584</v>
      </c>
      <c r="B47" s="509">
        <f>B48-B49</f>
        <v>-2605</v>
      </c>
      <c r="C47" s="509">
        <f>C48-C49</f>
        <v>-904</v>
      </c>
      <c r="D47" s="510">
        <f t="shared" si="0"/>
        <v>34.70249520153551</v>
      </c>
      <c r="E47" s="511">
        <f>E48-E49</f>
        <v>-3431</v>
      </c>
      <c r="F47" s="517"/>
    </row>
    <row r="48" spans="1:6" s="518" customFormat="1" ht="12">
      <c r="A48" s="516" t="s">
        <v>585</v>
      </c>
      <c r="B48" s="509">
        <v>3601</v>
      </c>
      <c r="C48" s="509">
        <v>2730</v>
      </c>
      <c r="D48" s="510">
        <f t="shared" si="0"/>
        <v>75.81227436823104</v>
      </c>
      <c r="E48" s="511">
        <v>-583</v>
      </c>
      <c r="F48" s="517"/>
    </row>
    <row r="49" spans="1:6" s="518" customFormat="1" ht="12">
      <c r="A49" s="516" t="s">
        <v>586</v>
      </c>
      <c r="B49" s="509">
        <v>6206</v>
      </c>
      <c r="C49" s="509">
        <v>3634</v>
      </c>
      <c r="D49" s="510">
        <f t="shared" si="0"/>
        <v>58.556235900741214</v>
      </c>
      <c r="E49" s="511">
        <v>2848</v>
      </c>
      <c r="F49" s="517"/>
    </row>
    <row r="50" spans="1:6" s="518" customFormat="1" ht="46.5" customHeight="1">
      <c r="A50" s="519" t="s">
        <v>587</v>
      </c>
      <c r="B50" s="520">
        <f>SUM(B46-B47)</f>
        <v>-8907</v>
      </c>
      <c r="C50" s="520">
        <f>SUM(C46-C47)</f>
        <v>5351</v>
      </c>
      <c r="D50" s="521">
        <f t="shared" si="0"/>
        <v>-60.07634444818682</v>
      </c>
      <c r="E50" s="522">
        <f>SUM(E46-E47)</f>
        <v>2899</v>
      </c>
      <c r="F50" s="517"/>
    </row>
    <row r="51" s="488" customFormat="1" ht="12.75">
      <c r="A51" s="523"/>
    </row>
    <row r="52" s="488" customFormat="1" ht="12.75">
      <c r="A52" s="523"/>
    </row>
    <row r="53" s="488" customFormat="1" ht="12.75">
      <c r="A53" s="523"/>
    </row>
    <row r="54" s="488" customFormat="1" ht="12.75">
      <c r="A54" s="523"/>
    </row>
    <row r="55" s="488" customFormat="1" ht="12.75">
      <c r="A55" s="523"/>
    </row>
    <row r="56" s="488" customFormat="1" ht="12.75">
      <c r="A56" s="523"/>
    </row>
    <row r="57" spans="1:4" s="488" customFormat="1" ht="12.75">
      <c r="A57" s="524" t="s">
        <v>588</v>
      </c>
      <c r="B57" s="525"/>
      <c r="C57" s="526"/>
      <c r="D57" s="526" t="s">
        <v>589</v>
      </c>
    </row>
    <row r="58" s="488" customFormat="1" ht="12.75">
      <c r="A58" s="523"/>
    </row>
    <row r="59" s="488" customFormat="1" ht="12.75">
      <c r="A59" s="523"/>
    </row>
    <row r="60" s="488" customFormat="1" ht="12.75">
      <c r="A60" s="523"/>
    </row>
    <row r="61" s="488" customFormat="1" ht="12.75">
      <c r="A61" s="523"/>
    </row>
    <row r="62" s="488" customFormat="1" ht="12.75">
      <c r="A62" s="523"/>
    </row>
    <row r="63" s="488" customFormat="1" ht="12.75">
      <c r="A63" s="523"/>
    </row>
    <row r="64" s="488" customFormat="1" ht="12.75">
      <c r="A64" s="523"/>
    </row>
    <row r="65" s="488" customFormat="1" ht="12.75">
      <c r="A65" s="527" t="s">
        <v>590</v>
      </c>
    </row>
    <row r="66" s="488" customFormat="1" ht="12.75">
      <c r="A66" s="527" t="s">
        <v>44</v>
      </c>
    </row>
    <row r="67" s="488" customFormat="1" ht="12.75">
      <c r="A67" s="523"/>
    </row>
    <row r="68" s="488" customFormat="1" ht="12.75">
      <c r="A68" s="523"/>
    </row>
    <row r="69" s="488" customFormat="1" ht="12.75">
      <c r="A69" s="527"/>
    </row>
    <row r="72" s="488" customFormat="1" ht="12.75">
      <c r="A72" s="523"/>
    </row>
    <row r="73" s="488" customFormat="1" ht="12.75">
      <c r="A73" s="523"/>
    </row>
    <row r="74" s="488" customFormat="1" ht="12.75">
      <c r="A74" s="523"/>
    </row>
    <row r="75" s="488" customFormat="1" ht="12.75">
      <c r="A75" s="523"/>
    </row>
    <row r="76" s="488" customFormat="1" ht="12.75">
      <c r="A76" s="523"/>
    </row>
    <row r="77" s="488" customFormat="1" ht="12.75">
      <c r="A77" s="523"/>
    </row>
    <row r="78" s="488" customFormat="1" ht="12.75">
      <c r="A78" s="523"/>
    </row>
    <row r="79" ht="11.25">
      <c r="A79" s="528"/>
    </row>
    <row r="80" ht="11.25">
      <c r="A80" s="528"/>
    </row>
    <row r="81" ht="11.25">
      <c r="A81" s="528"/>
    </row>
    <row r="82" ht="11.25">
      <c r="A82" s="528"/>
    </row>
    <row r="83" ht="11.25">
      <c r="A83" s="528"/>
    </row>
    <row r="84" ht="11.25">
      <c r="A84" s="528"/>
    </row>
    <row r="85" ht="11.25">
      <c r="A85" s="528"/>
    </row>
    <row r="86" ht="11.25">
      <c r="A86" s="528"/>
    </row>
    <row r="87" ht="11.25">
      <c r="A87" s="528"/>
    </row>
    <row r="88" ht="11.25">
      <c r="A88" s="528"/>
    </row>
    <row r="89" ht="11.25">
      <c r="A89" s="528"/>
    </row>
    <row r="90" ht="11.25">
      <c r="A90" s="528"/>
    </row>
    <row r="91" ht="11.25">
      <c r="A91" s="528"/>
    </row>
    <row r="92" ht="11.25">
      <c r="A92" s="528"/>
    </row>
    <row r="93" ht="11.25">
      <c r="A93" s="528"/>
    </row>
    <row r="94" ht="11.25">
      <c r="A94" s="528"/>
    </row>
    <row r="95" ht="11.25">
      <c r="A95" s="528"/>
    </row>
    <row r="96" ht="11.25">
      <c r="A96" s="528"/>
    </row>
    <row r="97" ht="11.25">
      <c r="A97" s="528"/>
    </row>
    <row r="98" ht="11.25">
      <c r="A98" s="528"/>
    </row>
    <row r="99" ht="11.25">
      <c r="A99" s="528"/>
    </row>
    <row r="100" ht="11.25">
      <c r="A100" s="528"/>
    </row>
    <row r="101" ht="11.25">
      <c r="A101" s="528"/>
    </row>
    <row r="102" ht="11.25">
      <c r="A102" s="528"/>
    </row>
    <row r="103" ht="11.25">
      <c r="A103" s="528"/>
    </row>
    <row r="104" ht="11.25">
      <c r="A104" s="528"/>
    </row>
    <row r="105" ht="11.25">
      <c r="A105" s="528"/>
    </row>
    <row r="106" ht="11.25">
      <c r="A106" s="528"/>
    </row>
    <row r="107" ht="11.25">
      <c r="A107" s="528"/>
    </row>
    <row r="108" ht="11.25">
      <c r="A108" s="528"/>
    </row>
    <row r="109" ht="11.25">
      <c r="A109" s="528"/>
    </row>
    <row r="110" ht="11.25">
      <c r="A110" s="528"/>
    </row>
    <row r="111" ht="11.25">
      <c r="A111" s="528"/>
    </row>
    <row r="112" ht="11.25">
      <c r="A112" s="528"/>
    </row>
    <row r="113" ht="11.25">
      <c r="A113" s="528"/>
    </row>
    <row r="114" ht="11.25">
      <c r="A114" s="528"/>
    </row>
    <row r="115" ht="11.25">
      <c r="A115" s="528"/>
    </row>
    <row r="116" ht="11.25">
      <c r="A116" s="528"/>
    </row>
    <row r="117" ht="11.25">
      <c r="A117" s="528"/>
    </row>
    <row r="118" ht="11.25">
      <c r="A118" s="528"/>
    </row>
    <row r="119" ht="11.25">
      <c r="A119" s="528"/>
    </row>
    <row r="120" ht="11.25">
      <c r="A120" s="528"/>
    </row>
    <row r="121" ht="11.25">
      <c r="A121" s="528"/>
    </row>
    <row r="122" ht="11.25">
      <c r="A122" s="528"/>
    </row>
    <row r="123" ht="11.25">
      <c r="A123" s="528"/>
    </row>
    <row r="124" ht="11.25">
      <c r="A124" s="528"/>
    </row>
    <row r="125" ht="11.25">
      <c r="A125" s="528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"/>
  <dimension ref="A1:I59"/>
  <sheetViews>
    <sheetView showGridLines="0" showZeros="0" workbookViewId="0" topLeftCell="A1">
      <selection activeCell="A17" sqref="A17"/>
    </sheetView>
  </sheetViews>
  <sheetFormatPr defaultColWidth="9.140625" defaultRowHeight="12.75"/>
  <cols>
    <col min="1" max="1" width="37.57421875" style="535" customWidth="1"/>
    <col min="2" max="5" width="12.7109375" style="487" customWidth="1"/>
    <col min="6" max="16384" width="7.421875" style="487" customWidth="1"/>
  </cols>
  <sheetData>
    <row r="1" spans="1:5" ht="12.75">
      <c r="A1" s="529" t="s">
        <v>591</v>
      </c>
      <c r="B1" s="529"/>
      <c r="C1" s="485"/>
      <c r="D1" s="485"/>
      <c r="E1" s="485" t="s">
        <v>592</v>
      </c>
    </row>
    <row r="2" spans="1:7" s="485" customFormat="1" ht="12.75">
      <c r="A2" s="529"/>
      <c r="B2" s="529"/>
      <c r="E2" s="530"/>
      <c r="G2" s="529" t="s">
        <v>593</v>
      </c>
    </row>
    <row r="4" spans="1:6" s="534" customFormat="1" ht="15.75">
      <c r="A4" s="531" t="s">
        <v>594</v>
      </c>
      <c r="B4" s="532"/>
      <c r="C4" s="533"/>
      <c r="D4" s="533"/>
      <c r="E4" s="533"/>
      <c r="F4" s="533"/>
    </row>
    <row r="5" spans="1:6" s="534" customFormat="1" ht="15.75">
      <c r="A5" s="531" t="s">
        <v>45</v>
      </c>
      <c r="B5" s="532"/>
      <c r="C5" s="533"/>
      <c r="D5" s="533"/>
      <c r="E5" s="533"/>
      <c r="F5" s="533"/>
    </row>
    <row r="6" spans="2:4" ht="11.25">
      <c r="B6" s="536"/>
      <c r="C6" s="536"/>
      <c r="D6" s="536"/>
    </row>
    <row r="7" spans="3:9" ht="12.75" customHeight="1">
      <c r="C7" s="536"/>
      <c r="D7" s="536"/>
      <c r="E7" s="536"/>
      <c r="F7" s="537"/>
      <c r="G7" s="537"/>
      <c r="H7" s="537"/>
      <c r="I7" s="537"/>
    </row>
    <row r="8" spans="1:5" s="537" customFormat="1" ht="12.75" customHeight="1">
      <c r="A8" s="538"/>
      <c r="B8" s="538"/>
      <c r="C8" s="539"/>
      <c r="D8" s="539"/>
      <c r="E8" s="539" t="s">
        <v>101</v>
      </c>
    </row>
    <row r="9" spans="1:8" s="537" customFormat="1" ht="40.5" customHeight="1">
      <c r="A9" s="540" t="s">
        <v>54</v>
      </c>
      <c r="B9" s="541" t="s">
        <v>545</v>
      </c>
      <c r="C9" s="541" t="s">
        <v>103</v>
      </c>
      <c r="D9" s="541" t="s">
        <v>595</v>
      </c>
      <c r="E9" s="542" t="s">
        <v>281</v>
      </c>
      <c r="F9" s="488"/>
      <c r="G9" s="488"/>
      <c r="H9" s="488"/>
    </row>
    <row r="10" spans="1:8" s="537" customFormat="1" ht="12.75">
      <c r="A10" s="543" t="s">
        <v>596</v>
      </c>
      <c r="B10" s="544">
        <v>2</v>
      </c>
      <c r="C10" s="544">
        <v>3</v>
      </c>
      <c r="D10" s="544">
        <v>4</v>
      </c>
      <c r="E10" s="545" t="s">
        <v>597</v>
      </c>
      <c r="F10" s="488"/>
      <c r="G10" s="488"/>
      <c r="H10" s="488"/>
    </row>
    <row r="11" spans="1:6" s="488" customFormat="1" ht="12.75">
      <c r="A11" s="546" t="s">
        <v>598</v>
      </c>
      <c r="B11" s="547">
        <f>B12+B29</f>
        <v>405270</v>
      </c>
      <c r="C11" s="547">
        <f>C12+C29</f>
        <v>274188</v>
      </c>
      <c r="D11" s="548">
        <f aca="true" t="shared" si="0" ref="D11:D35">C11/B11*100</f>
        <v>67.65563698275224</v>
      </c>
      <c r="E11" s="549">
        <f>E12+E29</f>
        <v>29226</v>
      </c>
      <c r="F11" s="487"/>
    </row>
    <row r="12" spans="1:7" ht="25.5">
      <c r="A12" s="550" t="s">
        <v>599</v>
      </c>
      <c r="B12" s="547">
        <f>B13+B21+B28</f>
        <v>266525</v>
      </c>
      <c r="C12" s="547">
        <f>C13+C21+C28</f>
        <v>178838</v>
      </c>
      <c r="D12" s="548">
        <f t="shared" si="0"/>
        <v>67.09989682018572</v>
      </c>
      <c r="E12" s="549">
        <f>E13+E21+E28</f>
        <v>20450</v>
      </c>
      <c r="F12" s="488"/>
      <c r="G12" s="488"/>
    </row>
    <row r="13" spans="1:5" s="488" customFormat="1" ht="12.75">
      <c r="A13" s="551" t="s">
        <v>600</v>
      </c>
      <c r="B13" s="547">
        <f>B14+B19</f>
        <v>223597</v>
      </c>
      <c r="C13" s="547">
        <f>C14+C19</f>
        <v>150835</v>
      </c>
      <c r="D13" s="548">
        <f t="shared" si="0"/>
        <v>67.45841849398695</v>
      </c>
      <c r="E13" s="549">
        <f>E14+E19</f>
        <v>17501</v>
      </c>
    </row>
    <row r="14" spans="1:6" s="488" customFormat="1" ht="12.75">
      <c r="A14" s="552" t="s">
        <v>186</v>
      </c>
      <c r="B14" s="547">
        <f>SUM(B15:B18)</f>
        <v>222602</v>
      </c>
      <c r="C14" s="547">
        <f>SUM(C15:C18)</f>
        <v>150049</v>
      </c>
      <c r="D14" s="548">
        <f t="shared" si="0"/>
        <v>67.406851690461</v>
      </c>
      <c r="E14" s="549">
        <f>SUM(E15:E18)</f>
        <v>17395</v>
      </c>
      <c r="F14" s="487"/>
    </row>
    <row r="15" spans="1:6" s="537" customFormat="1" ht="12">
      <c r="A15" s="553" t="s">
        <v>601</v>
      </c>
      <c r="B15" s="547">
        <v>186264</v>
      </c>
      <c r="C15" s="547">
        <v>119964</v>
      </c>
      <c r="D15" s="548">
        <f t="shared" si="0"/>
        <v>64.40536013400336</v>
      </c>
      <c r="E15" s="549">
        <v>12978</v>
      </c>
      <c r="F15" s="487"/>
    </row>
    <row r="16" spans="1:6" s="537" customFormat="1" ht="12">
      <c r="A16" s="553" t="s">
        <v>602</v>
      </c>
      <c r="B16" s="547">
        <v>30663</v>
      </c>
      <c r="C16" s="547">
        <v>23611</v>
      </c>
      <c r="D16" s="548">
        <f t="shared" si="0"/>
        <v>77.00159801715422</v>
      </c>
      <c r="E16" s="549">
        <v>3842</v>
      </c>
      <c r="F16" s="487"/>
    </row>
    <row r="17" spans="1:6" s="537" customFormat="1" ht="12">
      <c r="A17" s="553" t="s">
        <v>603</v>
      </c>
      <c r="B17" s="547">
        <v>4791</v>
      </c>
      <c r="C17" s="547">
        <v>5626</v>
      </c>
      <c r="D17" s="548">
        <f t="shared" si="0"/>
        <v>117.42851179294512</v>
      </c>
      <c r="E17" s="549">
        <v>428</v>
      </c>
      <c r="F17" s="487"/>
    </row>
    <row r="18" spans="1:6" s="537" customFormat="1" ht="12">
      <c r="A18" s="553" t="s">
        <v>604</v>
      </c>
      <c r="B18" s="547">
        <v>884</v>
      </c>
      <c r="C18" s="547">
        <v>848</v>
      </c>
      <c r="D18" s="548">
        <f t="shared" si="0"/>
        <v>95.92760180995475</v>
      </c>
      <c r="E18" s="549">
        <v>147</v>
      </c>
      <c r="F18" s="487"/>
    </row>
    <row r="19" spans="1:6" s="488" customFormat="1" ht="12.75">
      <c r="A19" s="552" t="s">
        <v>188</v>
      </c>
      <c r="B19" s="547">
        <v>995</v>
      </c>
      <c r="C19" s="547">
        <v>786</v>
      </c>
      <c r="D19" s="548">
        <f t="shared" si="0"/>
        <v>78.99497487437186</v>
      </c>
      <c r="E19" s="549">
        <v>106</v>
      </c>
      <c r="F19" s="487"/>
    </row>
    <row r="20" spans="1:5" ht="12">
      <c r="A20" s="553" t="s">
        <v>605</v>
      </c>
      <c r="B20" s="547">
        <v>995</v>
      </c>
      <c r="C20" s="547">
        <v>786</v>
      </c>
      <c r="D20" s="548">
        <f t="shared" si="0"/>
        <v>78.99497487437186</v>
      </c>
      <c r="E20" s="549">
        <v>106</v>
      </c>
    </row>
    <row r="21" spans="1:5" s="488" customFormat="1" ht="12.75">
      <c r="A21" s="551" t="s">
        <v>606</v>
      </c>
      <c r="B21" s="547">
        <f>SUM(B22:B27)</f>
        <v>18004</v>
      </c>
      <c r="C21" s="547">
        <f>SUM(C22:C27)</f>
        <v>11726</v>
      </c>
      <c r="D21" s="548">
        <f t="shared" si="0"/>
        <v>65.12997111752944</v>
      </c>
      <c r="E21" s="549">
        <f>SUM(E22:E27)</f>
        <v>1274</v>
      </c>
    </row>
    <row r="22" spans="1:7" ht="12.75">
      <c r="A22" s="553" t="s">
        <v>607</v>
      </c>
      <c r="B22" s="547">
        <v>384</v>
      </c>
      <c r="C22" s="547">
        <v>232</v>
      </c>
      <c r="D22" s="548">
        <f t="shared" si="0"/>
        <v>60.416666666666664</v>
      </c>
      <c r="E22" s="549">
        <v>19</v>
      </c>
      <c r="F22" s="488"/>
      <c r="G22" s="488"/>
    </row>
    <row r="23" spans="1:7" ht="12.75">
      <c r="A23" s="553" t="s">
        <v>608</v>
      </c>
      <c r="B23" s="547">
        <v>3224</v>
      </c>
      <c r="C23" s="547">
        <v>2262</v>
      </c>
      <c r="D23" s="548">
        <f t="shared" si="0"/>
        <v>70.16129032258065</v>
      </c>
      <c r="E23" s="549">
        <v>271</v>
      </c>
      <c r="F23" s="488"/>
      <c r="G23" s="488"/>
    </row>
    <row r="24" spans="1:7" ht="12.75">
      <c r="A24" s="553" t="s">
        <v>609</v>
      </c>
      <c r="B24" s="547">
        <v>248</v>
      </c>
      <c r="C24" s="547">
        <v>154</v>
      </c>
      <c r="D24" s="548">
        <f t="shared" si="0"/>
        <v>62.096774193548384</v>
      </c>
      <c r="E24" s="549">
        <v>13</v>
      </c>
      <c r="F24" s="488"/>
      <c r="G24" s="488"/>
    </row>
    <row r="25" spans="1:7" ht="12.75">
      <c r="A25" s="553" t="s">
        <v>610</v>
      </c>
      <c r="B25" s="547">
        <v>13536</v>
      </c>
      <c r="C25" s="547">
        <v>8677</v>
      </c>
      <c r="D25" s="548">
        <f t="shared" si="0"/>
        <v>64.10313238770685</v>
      </c>
      <c r="E25" s="549">
        <v>850</v>
      </c>
      <c r="F25" s="488"/>
      <c r="G25" s="488"/>
    </row>
    <row r="26" spans="1:7" ht="22.5">
      <c r="A26" s="554" t="s">
        <v>611</v>
      </c>
      <c r="B26" s="547">
        <v>461</v>
      </c>
      <c r="C26" s="547">
        <v>328</v>
      </c>
      <c r="D26" s="548">
        <f t="shared" si="0"/>
        <v>71.14967462039046</v>
      </c>
      <c r="E26" s="549">
        <v>93</v>
      </c>
      <c r="F26" s="488"/>
      <c r="G26" s="488"/>
    </row>
    <row r="27" spans="1:7" ht="12.75">
      <c r="A27" s="553" t="s">
        <v>612</v>
      </c>
      <c r="B27" s="547">
        <v>151</v>
      </c>
      <c r="C27" s="547">
        <v>73</v>
      </c>
      <c r="D27" s="548">
        <f t="shared" si="0"/>
        <v>48.34437086092716</v>
      </c>
      <c r="E27" s="549">
        <v>28</v>
      </c>
      <c r="F27" s="488"/>
      <c r="G27" s="488"/>
    </row>
    <row r="28" spans="1:7" ht="38.25">
      <c r="A28" s="555" t="s">
        <v>613</v>
      </c>
      <c r="B28" s="547">
        <v>24924</v>
      </c>
      <c r="C28" s="547">
        <v>16277</v>
      </c>
      <c r="D28" s="548">
        <f t="shared" si="0"/>
        <v>65.30653185684481</v>
      </c>
      <c r="E28" s="549">
        <v>1675</v>
      </c>
      <c r="F28" s="488"/>
      <c r="G28" s="488"/>
    </row>
    <row r="29" spans="1:7" ht="12.75">
      <c r="A29" s="551" t="s">
        <v>614</v>
      </c>
      <c r="B29" s="547">
        <f>B30+B34+B39+B43</f>
        <v>138745</v>
      </c>
      <c r="C29" s="547">
        <f>C30+C34+C39+C43</f>
        <v>95350</v>
      </c>
      <c r="D29" s="548">
        <f t="shared" si="0"/>
        <v>68.7231972323327</v>
      </c>
      <c r="E29" s="549">
        <f>E30+E34+E39+E43</f>
        <v>8776</v>
      </c>
      <c r="F29" s="488"/>
      <c r="G29" s="488"/>
    </row>
    <row r="30" spans="1:7" ht="12.75">
      <c r="A30" s="556" t="s">
        <v>615</v>
      </c>
      <c r="B30" s="547">
        <f>SUM(B31:B33)</f>
        <v>8283</v>
      </c>
      <c r="C30" s="547">
        <f>SUM(C31:C33)</f>
        <v>5357</v>
      </c>
      <c r="D30" s="548">
        <f t="shared" si="0"/>
        <v>64.6746347941567</v>
      </c>
      <c r="E30" s="549">
        <f>SUM(E31:E33)</f>
        <v>754</v>
      </c>
      <c r="F30" s="488"/>
      <c r="G30" s="488"/>
    </row>
    <row r="31" spans="1:7" ht="22.5">
      <c r="A31" s="554" t="s">
        <v>616</v>
      </c>
      <c r="B31" s="547">
        <v>6539</v>
      </c>
      <c r="C31" s="547">
        <v>4144</v>
      </c>
      <c r="D31" s="548">
        <f t="shared" si="0"/>
        <v>63.37360452668604</v>
      </c>
      <c r="E31" s="549">
        <v>621</v>
      </c>
      <c r="F31" s="488"/>
      <c r="G31" s="488"/>
    </row>
    <row r="32" spans="1:7" ht="22.5">
      <c r="A32" s="554" t="s">
        <v>617</v>
      </c>
      <c r="B32" s="547">
        <v>386</v>
      </c>
      <c r="C32" s="547">
        <v>234</v>
      </c>
      <c r="D32" s="548">
        <f t="shared" si="0"/>
        <v>60.62176165803109</v>
      </c>
      <c r="E32" s="549">
        <v>31</v>
      </c>
      <c r="F32" s="488"/>
      <c r="G32" s="488"/>
    </row>
    <row r="33" spans="1:7" ht="12.75">
      <c r="A33" s="553" t="s">
        <v>618</v>
      </c>
      <c r="B33" s="547">
        <v>1358</v>
      </c>
      <c r="C33" s="547">
        <v>979</v>
      </c>
      <c r="D33" s="548">
        <f t="shared" si="0"/>
        <v>72.09131075110456</v>
      </c>
      <c r="E33" s="549">
        <v>102</v>
      </c>
      <c r="F33" s="488"/>
      <c r="G33" s="488"/>
    </row>
    <row r="34" spans="1:7" ht="12.75">
      <c r="A34" s="556" t="s">
        <v>619</v>
      </c>
      <c r="B34" s="547">
        <f>SUM(B35:B38)</f>
        <v>98093</v>
      </c>
      <c r="C34" s="547">
        <f>SUM(C35:C38)</f>
        <v>68225</v>
      </c>
      <c r="D34" s="548">
        <f t="shared" si="0"/>
        <v>69.55134413260885</v>
      </c>
      <c r="E34" s="549">
        <f>SUM(E35:E38)</f>
        <v>5311</v>
      </c>
      <c r="F34" s="488"/>
      <c r="G34" s="488"/>
    </row>
    <row r="35" spans="1:7" ht="12.75">
      <c r="A35" s="553" t="s">
        <v>620</v>
      </c>
      <c r="B35" s="547">
        <v>3</v>
      </c>
      <c r="C35" s="547">
        <v>20</v>
      </c>
      <c r="D35" s="548">
        <f t="shared" si="0"/>
        <v>666.6666666666667</v>
      </c>
      <c r="E35" s="549">
        <v>7</v>
      </c>
      <c r="F35" s="488"/>
      <c r="G35" s="488"/>
    </row>
    <row r="36" spans="1:5" ht="12">
      <c r="A36" s="553" t="s">
        <v>621</v>
      </c>
      <c r="B36" s="547"/>
      <c r="C36" s="547"/>
      <c r="D36" s="548"/>
      <c r="E36" s="549"/>
    </row>
    <row r="37" spans="1:5" ht="12">
      <c r="A37" s="553" t="s">
        <v>622</v>
      </c>
      <c r="B37" s="547">
        <v>98090</v>
      </c>
      <c r="C37" s="547">
        <v>68205</v>
      </c>
      <c r="D37" s="548">
        <f>C37/B37*100</f>
        <v>69.53308186359466</v>
      </c>
      <c r="E37" s="549">
        <v>5304</v>
      </c>
    </row>
    <row r="38" spans="1:5" ht="33.75">
      <c r="A38" s="557" t="s">
        <v>623</v>
      </c>
      <c r="B38" s="547"/>
      <c r="C38" s="547"/>
      <c r="D38" s="548"/>
      <c r="E38" s="549"/>
    </row>
    <row r="39" spans="1:5" ht="22.5">
      <c r="A39" s="558" t="s">
        <v>624</v>
      </c>
      <c r="B39" s="547">
        <v>31478</v>
      </c>
      <c r="C39" s="547">
        <v>20985</v>
      </c>
      <c r="D39" s="548">
        <f>C39/B39*100</f>
        <v>66.66560772603087</v>
      </c>
      <c r="E39" s="549">
        <v>2623</v>
      </c>
    </row>
    <row r="40" spans="1:5" ht="12">
      <c r="A40" s="553" t="s">
        <v>620</v>
      </c>
      <c r="B40" s="547">
        <v>31478</v>
      </c>
      <c r="C40" s="547">
        <v>20985</v>
      </c>
      <c r="D40" s="548">
        <f>C40/B40*100</f>
        <v>66.66560772603087</v>
      </c>
      <c r="E40" s="549">
        <v>2623</v>
      </c>
    </row>
    <row r="41" spans="1:5" ht="12">
      <c r="A41" s="553" t="s">
        <v>625</v>
      </c>
      <c r="B41" s="547"/>
      <c r="C41" s="547"/>
      <c r="D41" s="548"/>
      <c r="E41" s="549"/>
    </row>
    <row r="42" spans="1:5" ht="22.5">
      <c r="A42" s="554" t="s">
        <v>626</v>
      </c>
      <c r="B42" s="547"/>
      <c r="C42" s="547"/>
      <c r="D42" s="548"/>
      <c r="E42" s="549"/>
    </row>
    <row r="43" spans="1:5" ht="12">
      <c r="A43" s="559" t="s">
        <v>627</v>
      </c>
      <c r="B43" s="560">
        <v>891</v>
      </c>
      <c r="C43" s="560">
        <v>783</v>
      </c>
      <c r="D43" s="561">
        <f>C43/B43*100</f>
        <v>87.87878787878788</v>
      </c>
      <c r="E43" s="562">
        <v>88</v>
      </c>
    </row>
    <row r="44" spans="1:5" ht="12">
      <c r="A44" s="563" t="s">
        <v>46</v>
      </c>
      <c r="B44" s="564"/>
      <c r="C44" s="564"/>
      <c r="D44" s="565"/>
      <c r="E44" s="566"/>
    </row>
    <row r="45" spans="1:5" ht="12.75">
      <c r="A45" s="563"/>
      <c r="B45" s="567"/>
      <c r="C45" s="567"/>
      <c r="D45" s="567"/>
      <c r="E45" s="566"/>
    </row>
    <row r="46" spans="1:5" ht="12.75">
      <c r="A46" s="563"/>
      <c r="B46" s="567"/>
      <c r="C46" s="567"/>
      <c r="D46" s="567"/>
      <c r="E46" s="566"/>
    </row>
    <row r="47" spans="1:5" ht="12.75">
      <c r="A47" s="563"/>
      <c r="B47" s="567"/>
      <c r="C47" s="567"/>
      <c r="D47" s="567"/>
      <c r="E47" s="566"/>
    </row>
    <row r="48" spans="1:4" s="565" customFormat="1" ht="12" hidden="1">
      <c r="A48" s="568"/>
      <c r="B48" s="566"/>
      <c r="C48" s="564"/>
      <c r="D48" s="564"/>
    </row>
    <row r="49" spans="1:5" s="571" customFormat="1" ht="15.75" customHeight="1">
      <c r="A49" s="569" t="s">
        <v>628</v>
      </c>
      <c r="B49" s="569"/>
      <c r="C49" s="570"/>
      <c r="D49" s="570"/>
      <c r="E49" s="526" t="s">
        <v>589</v>
      </c>
    </row>
    <row r="50" spans="1:4" ht="12.75">
      <c r="A50" s="567"/>
      <c r="B50" s="565"/>
      <c r="C50" s="565"/>
      <c r="D50" s="565"/>
    </row>
    <row r="51" spans="1:4" s="565" customFormat="1" ht="13.5" customHeight="1">
      <c r="A51" s="572"/>
      <c r="C51" s="573"/>
      <c r="D51" s="487"/>
    </row>
    <row r="52" spans="1:4" ht="12.75">
      <c r="A52" s="567"/>
      <c r="B52" s="565"/>
      <c r="C52" s="565"/>
      <c r="D52" s="565"/>
    </row>
    <row r="53" spans="1:4" s="565" customFormat="1" ht="11.25">
      <c r="A53" s="572"/>
      <c r="C53" s="573"/>
      <c r="D53" s="487"/>
    </row>
    <row r="54" spans="1:4" ht="13.5" customHeight="1">
      <c r="A54" s="567"/>
      <c r="B54" s="565"/>
      <c r="C54" s="565"/>
      <c r="D54" s="565"/>
    </row>
    <row r="55" spans="1:3" ht="12">
      <c r="A55" s="569"/>
      <c r="B55" s="574"/>
      <c r="C55" s="573"/>
    </row>
    <row r="56" spans="1:3" ht="12">
      <c r="A56" s="569"/>
      <c r="B56" s="574"/>
      <c r="C56" s="537"/>
    </row>
    <row r="58" spans="1:3" ht="12">
      <c r="A58" s="575"/>
      <c r="B58" s="574"/>
      <c r="C58" s="571"/>
    </row>
    <row r="59" spans="1:3" ht="12">
      <c r="A59" s="569"/>
      <c r="B59" s="574"/>
      <c r="C59" s="571"/>
    </row>
  </sheetData>
  <printOptions/>
  <pageMargins left="1.05" right="0.38" top="0.49" bottom="0.24" header="0.25" footer="0.31"/>
  <pageSetup firstPageNumber="26" useFirstPageNumber="1" horizontalDpi="600" verticalDpi="600" orientation="portrait" paperSize="9" r:id="rId1"/>
  <headerFooter alignWithMargins="0">
    <oddFooter>&amp;L&amp;"Arial,Regular"&amp;8          Valsts kase / Pārskatu departaments    
          15.09.00.
           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6"/>
  <dimension ref="A1:I66"/>
  <sheetViews>
    <sheetView showGridLines="0" showZeros="0" workbookViewId="0" topLeftCell="A5">
      <selection activeCell="A17" sqref="A17"/>
    </sheetView>
  </sheetViews>
  <sheetFormatPr defaultColWidth="9.140625" defaultRowHeight="12.75"/>
  <cols>
    <col min="1" max="1" width="41.00390625" style="535" customWidth="1"/>
    <col min="2" max="2" width="13.140625" style="597" customWidth="1"/>
    <col min="3" max="5" width="13.140625" style="487" customWidth="1"/>
    <col min="6" max="6" width="11.28125" style="487" customWidth="1"/>
    <col min="7" max="16384" width="8.00390625" style="487" customWidth="1"/>
  </cols>
  <sheetData>
    <row r="1" spans="1:6" ht="12.75">
      <c r="A1" s="529" t="s">
        <v>629</v>
      </c>
      <c r="B1" s="529"/>
      <c r="C1" s="485"/>
      <c r="D1" s="485"/>
      <c r="E1" s="485" t="s">
        <v>630</v>
      </c>
      <c r="F1" s="567" t="s">
        <v>522</v>
      </c>
    </row>
    <row r="2" spans="1:6" ht="12.75">
      <c r="A2" s="529"/>
      <c r="B2" s="529"/>
      <c r="C2" s="485"/>
      <c r="D2" s="485"/>
      <c r="E2" s="485"/>
      <c r="F2" s="567"/>
    </row>
    <row r="3" spans="1:6" ht="12.75">
      <c r="A3" s="529"/>
      <c r="B3" s="529"/>
      <c r="C3" s="485"/>
      <c r="D3" s="485"/>
      <c r="E3" s="485"/>
      <c r="F3" s="567"/>
    </row>
    <row r="4" spans="1:5" s="537" customFormat="1" ht="11.25">
      <c r="A4" s="576"/>
      <c r="B4" s="576"/>
      <c r="C4" s="577"/>
      <c r="D4" s="577"/>
      <c r="E4" s="577"/>
    </row>
    <row r="5" spans="1:6" ht="15.75">
      <c r="A5" s="531" t="s">
        <v>631</v>
      </c>
      <c r="B5" s="532"/>
      <c r="C5" s="533"/>
      <c r="D5" s="533"/>
      <c r="E5" s="533"/>
      <c r="F5" s="533"/>
    </row>
    <row r="6" spans="1:6" s="534" customFormat="1" ht="15.75">
      <c r="A6" s="531" t="s">
        <v>47</v>
      </c>
      <c r="B6" s="532"/>
      <c r="C6" s="533"/>
      <c r="D6" s="533"/>
      <c r="E6" s="533"/>
      <c r="F6" s="533"/>
    </row>
    <row r="7" spans="1:6" s="534" customFormat="1" ht="15">
      <c r="A7" s="535"/>
      <c r="B7" s="578"/>
      <c r="C7" s="536"/>
      <c r="D7" s="536"/>
      <c r="E7" s="536"/>
      <c r="F7" s="487"/>
    </row>
    <row r="8" spans="1:6" ht="11.25">
      <c r="A8" s="575"/>
      <c r="B8" s="579"/>
      <c r="C8" s="537"/>
      <c r="D8" s="577" t="s">
        <v>632</v>
      </c>
      <c r="E8" s="577"/>
      <c r="F8" s="580"/>
    </row>
    <row r="9" spans="1:5" s="537" customFormat="1" ht="43.5" customHeight="1">
      <c r="A9" s="581" t="s">
        <v>54</v>
      </c>
      <c r="B9" s="582" t="s">
        <v>545</v>
      </c>
      <c r="C9" s="582" t="s">
        <v>103</v>
      </c>
      <c r="D9" s="582" t="s">
        <v>595</v>
      </c>
      <c r="E9" s="542" t="s">
        <v>281</v>
      </c>
    </row>
    <row r="10" spans="1:5" ht="11.25">
      <c r="A10" s="543" t="s">
        <v>596</v>
      </c>
      <c r="B10" s="544" t="s">
        <v>633</v>
      </c>
      <c r="C10" s="544" t="s">
        <v>634</v>
      </c>
      <c r="D10" s="544" t="s">
        <v>635</v>
      </c>
      <c r="E10" s="545" t="s">
        <v>597</v>
      </c>
    </row>
    <row r="11" spans="1:5" ht="12.75">
      <c r="A11" s="550" t="s">
        <v>636</v>
      </c>
      <c r="B11" s="547">
        <f>B12+B30</f>
        <v>400688</v>
      </c>
      <c r="C11" s="547">
        <f>C12+C30</f>
        <v>275772</v>
      </c>
      <c r="D11" s="548">
        <f aca="true" t="shared" si="0" ref="D11:D36">C11/B11*100</f>
        <v>68.82462165076069</v>
      </c>
      <c r="E11" s="549">
        <f>E12+E30</f>
        <v>30757</v>
      </c>
    </row>
    <row r="12" spans="1:5" s="488" customFormat="1" ht="12.75">
      <c r="A12" s="583" t="s">
        <v>637</v>
      </c>
      <c r="B12" s="547">
        <f>SUM(B13:B29)</f>
        <v>367422</v>
      </c>
      <c r="C12" s="547">
        <f>SUM(C13:C29)</f>
        <v>254066</v>
      </c>
      <c r="D12" s="548">
        <f t="shared" si="0"/>
        <v>69.14828181219416</v>
      </c>
      <c r="E12" s="549">
        <f>SUM(E13:E29)</f>
        <v>27869</v>
      </c>
    </row>
    <row r="13" spans="1:5" s="571" customFormat="1" ht="12">
      <c r="A13" s="554" t="s">
        <v>638</v>
      </c>
      <c r="B13" s="547">
        <v>42601</v>
      </c>
      <c r="C13" s="547">
        <v>28128</v>
      </c>
      <c r="D13" s="548">
        <f t="shared" si="0"/>
        <v>66.02661909344852</v>
      </c>
      <c r="E13" s="549">
        <v>3651</v>
      </c>
    </row>
    <row r="14" spans="1:5" s="571" customFormat="1" ht="12">
      <c r="A14" s="554" t="s">
        <v>495</v>
      </c>
      <c r="B14" s="547">
        <v>130</v>
      </c>
      <c r="C14" s="547">
        <v>75</v>
      </c>
      <c r="D14" s="548">
        <f t="shared" si="0"/>
        <v>57.692307692307686</v>
      </c>
      <c r="E14" s="549">
        <v>7</v>
      </c>
    </row>
    <row r="15" spans="1:5" s="571" customFormat="1" ht="12">
      <c r="A15" s="554" t="s">
        <v>496</v>
      </c>
      <c r="B15" s="547">
        <v>5957</v>
      </c>
      <c r="C15" s="547">
        <v>3824</v>
      </c>
      <c r="D15" s="548">
        <f t="shared" si="0"/>
        <v>64.19338593251636</v>
      </c>
      <c r="E15" s="549">
        <v>476</v>
      </c>
    </row>
    <row r="16" spans="1:9" s="571" customFormat="1" ht="12">
      <c r="A16" s="554" t="s">
        <v>497</v>
      </c>
      <c r="B16" s="547">
        <v>189545</v>
      </c>
      <c r="C16" s="547">
        <v>126643</v>
      </c>
      <c r="D16" s="548">
        <f t="shared" si="0"/>
        <v>66.81421298372419</v>
      </c>
      <c r="E16" s="549">
        <v>11426</v>
      </c>
      <c r="I16" s="571" t="s">
        <v>522</v>
      </c>
    </row>
    <row r="17" spans="1:5" s="571" customFormat="1" ht="12">
      <c r="A17" s="554" t="s">
        <v>498</v>
      </c>
      <c r="B17" s="547">
        <v>4804</v>
      </c>
      <c r="C17" s="547">
        <v>3873</v>
      </c>
      <c r="D17" s="548">
        <f t="shared" si="0"/>
        <v>80.6203164029975</v>
      </c>
      <c r="E17" s="549">
        <v>666</v>
      </c>
    </row>
    <row r="18" spans="1:5" s="571" customFormat="1" ht="12">
      <c r="A18" s="554" t="s">
        <v>499</v>
      </c>
      <c r="B18" s="547">
        <v>33721</v>
      </c>
      <c r="C18" s="547">
        <v>21460</v>
      </c>
      <c r="D18" s="548">
        <f t="shared" si="0"/>
        <v>63.6398683313069</v>
      </c>
      <c r="E18" s="549">
        <v>2797</v>
      </c>
    </row>
    <row r="19" spans="1:5" s="571" customFormat="1" ht="12">
      <c r="A19" s="554" t="s">
        <v>500</v>
      </c>
      <c r="B19" s="547">
        <v>51331</v>
      </c>
      <c r="C19" s="547">
        <v>40192</v>
      </c>
      <c r="D19" s="548">
        <f t="shared" si="0"/>
        <v>78.29966297169352</v>
      </c>
      <c r="E19" s="549">
        <v>5904</v>
      </c>
    </row>
    <row r="20" spans="1:5" s="571" customFormat="1" ht="12">
      <c r="A20" s="554" t="s">
        <v>639</v>
      </c>
      <c r="B20" s="547">
        <v>23302</v>
      </c>
      <c r="C20" s="547">
        <v>19026</v>
      </c>
      <c r="D20" s="548">
        <f t="shared" si="0"/>
        <v>81.6496438073985</v>
      </c>
      <c r="E20" s="549">
        <v>1919</v>
      </c>
    </row>
    <row r="21" spans="1:5" s="571" customFormat="1" ht="12">
      <c r="A21" s="554" t="s">
        <v>502</v>
      </c>
      <c r="B21" s="547">
        <v>1326</v>
      </c>
      <c r="C21" s="547">
        <v>908</v>
      </c>
      <c r="D21" s="548">
        <f t="shared" si="0"/>
        <v>68.47662141779789</v>
      </c>
      <c r="E21" s="549">
        <v>179</v>
      </c>
    </row>
    <row r="22" spans="1:5" s="571" customFormat="1" ht="12">
      <c r="A22" s="554" t="s">
        <v>640</v>
      </c>
      <c r="B22" s="547">
        <v>1537</v>
      </c>
      <c r="C22" s="547">
        <v>819</v>
      </c>
      <c r="D22" s="548">
        <f t="shared" si="0"/>
        <v>53.28562134027326</v>
      </c>
      <c r="E22" s="549">
        <v>90</v>
      </c>
    </row>
    <row r="23" spans="1:5" s="571" customFormat="1" ht="22.5">
      <c r="A23" s="554" t="s">
        <v>504</v>
      </c>
      <c r="B23" s="547">
        <v>27</v>
      </c>
      <c r="C23" s="547">
        <v>44</v>
      </c>
      <c r="D23" s="548">
        <f t="shared" si="0"/>
        <v>162.96296296296296</v>
      </c>
      <c r="E23" s="549">
        <v>10</v>
      </c>
    </row>
    <row r="24" spans="1:5" s="571" customFormat="1" ht="12">
      <c r="A24" s="554" t="s">
        <v>641</v>
      </c>
      <c r="B24" s="547">
        <v>4586</v>
      </c>
      <c r="C24" s="547">
        <v>5874</v>
      </c>
      <c r="D24" s="548">
        <f t="shared" si="0"/>
        <v>128.08547754034015</v>
      </c>
      <c r="E24" s="549">
        <v>853</v>
      </c>
    </row>
    <row r="25" spans="1:5" s="571" customFormat="1" ht="12">
      <c r="A25" s="554" t="s">
        <v>506</v>
      </c>
      <c r="B25" s="547">
        <v>1102</v>
      </c>
      <c r="C25" s="547">
        <v>689</v>
      </c>
      <c r="D25" s="548">
        <f t="shared" si="0"/>
        <v>62.52268602540835</v>
      </c>
      <c r="E25" s="549">
        <v>92</v>
      </c>
    </row>
    <row r="26" spans="1:5" s="571" customFormat="1" ht="12">
      <c r="A26" s="554" t="s">
        <v>642</v>
      </c>
      <c r="B26" s="547">
        <v>3105</v>
      </c>
      <c r="C26" s="547">
        <v>1926</v>
      </c>
      <c r="D26" s="548">
        <f t="shared" si="0"/>
        <v>62.02898550724638</v>
      </c>
      <c r="E26" s="549">
        <v>-77</v>
      </c>
    </row>
    <row r="27" spans="1:5" s="571" customFormat="1" ht="12">
      <c r="A27" s="554" t="s">
        <v>643</v>
      </c>
      <c r="B27" s="547">
        <v>652</v>
      </c>
      <c r="C27" s="547">
        <v>136</v>
      </c>
      <c r="D27" s="548">
        <f t="shared" si="0"/>
        <v>20.858895705521473</v>
      </c>
      <c r="E27" s="584">
        <v>7</v>
      </c>
    </row>
    <row r="28" spans="1:5" s="571" customFormat="1" ht="12">
      <c r="A28" s="554" t="s">
        <v>644</v>
      </c>
      <c r="B28" s="547">
        <v>3019</v>
      </c>
      <c r="C28" s="547">
        <v>10</v>
      </c>
      <c r="D28" s="548">
        <f t="shared" si="0"/>
        <v>0.33123550844650546</v>
      </c>
      <c r="E28" s="549">
        <v>5</v>
      </c>
    </row>
    <row r="29" spans="1:5" s="571" customFormat="1" ht="12">
      <c r="A29" s="554" t="s">
        <v>645</v>
      </c>
      <c r="B29" s="547">
        <v>677</v>
      </c>
      <c r="C29" s="547">
        <v>439</v>
      </c>
      <c r="D29" s="548">
        <f t="shared" si="0"/>
        <v>64.84490398818316</v>
      </c>
      <c r="E29" s="549">
        <v>-136</v>
      </c>
    </row>
    <row r="30" spans="1:5" s="571" customFormat="1" ht="12.75" customHeight="1">
      <c r="A30" s="583" t="s">
        <v>646</v>
      </c>
      <c r="B30" s="547">
        <f>B31+B35</f>
        <v>33266</v>
      </c>
      <c r="C30" s="547">
        <f>C31+C35</f>
        <v>21706</v>
      </c>
      <c r="D30" s="548">
        <f t="shared" si="0"/>
        <v>65.24980460530271</v>
      </c>
      <c r="E30" s="549">
        <f>E31+E35</f>
        <v>2888</v>
      </c>
    </row>
    <row r="31" spans="1:5" s="571" customFormat="1" ht="12">
      <c r="A31" s="585" t="s">
        <v>615</v>
      </c>
      <c r="B31" s="547">
        <f>SUM(B32:B34)</f>
        <v>8691</v>
      </c>
      <c r="C31" s="547">
        <f>SUM(C32:C34)</f>
        <v>5384</v>
      </c>
      <c r="D31" s="548">
        <f t="shared" si="0"/>
        <v>61.9491427913934</v>
      </c>
      <c r="E31" s="549">
        <f>SUM(E32:E34)</f>
        <v>802</v>
      </c>
    </row>
    <row r="32" spans="1:5" s="571" customFormat="1" ht="22.5">
      <c r="A32" s="586" t="s">
        <v>647</v>
      </c>
      <c r="B32" s="547">
        <v>7527</v>
      </c>
      <c r="C32" s="547">
        <v>4663</v>
      </c>
      <c r="D32" s="548">
        <f t="shared" si="0"/>
        <v>61.95031220937957</v>
      </c>
      <c r="E32" s="549">
        <v>702</v>
      </c>
    </row>
    <row r="33" spans="1:5" s="571" customFormat="1" ht="22.5">
      <c r="A33" s="586" t="s">
        <v>648</v>
      </c>
      <c r="B33" s="547">
        <v>568</v>
      </c>
      <c r="C33" s="547">
        <v>331</v>
      </c>
      <c r="D33" s="548">
        <f t="shared" si="0"/>
        <v>58.27464788732394</v>
      </c>
      <c r="E33" s="549">
        <v>54</v>
      </c>
    </row>
    <row r="34" spans="1:5" s="571" customFormat="1" ht="12">
      <c r="A34" s="586" t="s">
        <v>618</v>
      </c>
      <c r="B34" s="547">
        <v>596</v>
      </c>
      <c r="C34" s="547">
        <v>390</v>
      </c>
      <c r="D34" s="548">
        <f t="shared" si="0"/>
        <v>65.43624161073825</v>
      </c>
      <c r="E34" s="549">
        <v>46</v>
      </c>
    </row>
    <row r="35" spans="1:5" s="571" customFormat="1" ht="22.5">
      <c r="A35" s="585" t="s">
        <v>649</v>
      </c>
      <c r="B35" s="547">
        <v>24575</v>
      </c>
      <c r="C35" s="547">
        <v>16322</v>
      </c>
      <c r="D35" s="548">
        <f t="shared" si="0"/>
        <v>66.41709053916583</v>
      </c>
      <c r="E35" s="549">
        <v>2086</v>
      </c>
    </row>
    <row r="36" spans="1:5" s="571" customFormat="1" ht="12">
      <c r="A36" s="587" t="s">
        <v>650</v>
      </c>
      <c r="B36" s="547">
        <v>24575</v>
      </c>
      <c r="C36" s="547">
        <v>16322</v>
      </c>
      <c r="D36" s="548">
        <f t="shared" si="0"/>
        <v>66.41709053916583</v>
      </c>
      <c r="E36" s="549">
        <v>2086</v>
      </c>
    </row>
    <row r="37" spans="1:5" s="524" customFormat="1" ht="12">
      <c r="A37" s="588" t="s">
        <v>651</v>
      </c>
      <c r="B37" s="589"/>
      <c r="C37" s="560"/>
      <c r="D37" s="590"/>
      <c r="E37" s="562"/>
    </row>
    <row r="38" spans="1:5" s="524" customFormat="1" ht="12">
      <c r="A38" s="591"/>
      <c r="B38" s="592"/>
      <c r="C38" s="592"/>
      <c r="D38" s="592"/>
      <c r="E38" s="592"/>
    </row>
    <row r="39" spans="1:8" s="571" customFormat="1" ht="12">
      <c r="A39" s="537" t="s">
        <v>48</v>
      </c>
      <c r="C39" s="593"/>
      <c r="E39" s="487"/>
      <c r="F39" s="487"/>
      <c r="G39" s="487"/>
      <c r="H39" s="487"/>
    </row>
    <row r="40" spans="1:8" s="571" customFormat="1" ht="12">
      <c r="A40" s="594"/>
      <c r="B40" s="595"/>
      <c r="C40" s="593"/>
      <c r="D40" s="592"/>
      <c r="E40" s="487"/>
      <c r="F40" s="487"/>
      <c r="G40" s="487"/>
      <c r="H40" s="487"/>
    </row>
    <row r="41" spans="1:8" s="571" customFormat="1" ht="12">
      <c r="A41" s="594"/>
      <c r="B41" s="595"/>
      <c r="C41" s="593"/>
      <c r="D41" s="592"/>
      <c r="E41" s="487"/>
      <c r="F41" s="487"/>
      <c r="G41" s="487"/>
      <c r="H41" s="487"/>
    </row>
    <row r="42" spans="1:8" s="571" customFormat="1" ht="12">
      <c r="A42" s="569"/>
      <c r="B42" s="593"/>
      <c r="C42" s="592"/>
      <c r="E42" s="487"/>
      <c r="F42" s="487"/>
      <c r="G42" s="487"/>
      <c r="H42" s="487"/>
    </row>
    <row r="43" spans="1:8" s="571" customFormat="1" ht="12">
      <c r="A43" s="569" t="s">
        <v>628</v>
      </c>
      <c r="B43" s="569"/>
      <c r="C43" s="570"/>
      <c r="D43" s="570"/>
      <c r="E43" s="526" t="s">
        <v>589</v>
      </c>
      <c r="F43" s="487"/>
      <c r="G43" s="487"/>
      <c r="H43" s="487"/>
    </row>
    <row r="44" spans="1:8" s="571" customFormat="1" ht="12">
      <c r="A44" s="569"/>
      <c r="B44" s="569"/>
      <c r="C44" s="596"/>
      <c r="D44" s="596"/>
      <c r="E44" s="487"/>
      <c r="F44" s="487"/>
      <c r="G44" s="487"/>
      <c r="H44" s="487"/>
    </row>
    <row r="45" spans="1:8" s="571" customFormat="1" ht="12">
      <c r="A45" s="569"/>
      <c r="B45" s="593"/>
      <c r="E45" s="487"/>
      <c r="F45" s="487"/>
      <c r="G45" s="487"/>
      <c r="H45" s="487"/>
    </row>
    <row r="46" spans="1:8" s="571" customFormat="1" ht="12">
      <c r="A46" s="569"/>
      <c r="B46" s="569"/>
      <c r="C46" s="596"/>
      <c r="D46" s="596"/>
      <c r="E46" s="487"/>
      <c r="F46" s="487"/>
      <c r="G46" s="487"/>
      <c r="H46" s="487"/>
    </row>
    <row r="47" spans="1:8" s="571" customFormat="1" ht="12">
      <c r="A47" s="569"/>
      <c r="B47" s="569"/>
      <c r="C47" s="596"/>
      <c r="E47" s="487"/>
      <c r="F47" s="487"/>
      <c r="G47" s="487"/>
      <c r="H47" s="487"/>
    </row>
    <row r="48" spans="1:4" ht="12">
      <c r="A48" s="569"/>
      <c r="B48" s="535"/>
      <c r="C48" s="574"/>
      <c r="D48" s="596"/>
    </row>
    <row r="66" spans="5:8" ht="11.25">
      <c r="E66" s="487">
        <v>0</v>
      </c>
      <c r="F66" s="487">
        <v>0</v>
      </c>
      <c r="G66" s="487">
        <v>0</v>
      </c>
      <c r="H66" s="487">
        <v>0</v>
      </c>
    </row>
  </sheetData>
  <printOptions/>
  <pageMargins left="0.79" right="0.15748031496062992" top="1.03" bottom="0.25" header="0.25" footer="0.24"/>
  <pageSetup firstPageNumber="27" useFirstPageNumber="1" horizontalDpi="600" verticalDpi="600" orientation="portrait" paperSize="9" r:id="rId1"/>
  <headerFooter alignWithMargins="0">
    <oddFooter>&amp;L&amp;"Arial,Regular"&amp;8  Valsts kase / Pārskatu departaments
   15.09.00.
&amp;R&amp;P</oddFooter>
  </headerFooter>
  <rowBreaks count="1" manualBreakCount="1">
    <brk id="48" max="6553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/>
  <dimension ref="A1:F49"/>
  <sheetViews>
    <sheetView showGridLines="0" showZeros="0" workbookViewId="0" topLeftCell="A1">
      <selection activeCell="A17" sqref="A17"/>
    </sheetView>
  </sheetViews>
  <sheetFormatPr defaultColWidth="9.140625" defaultRowHeight="12.75"/>
  <cols>
    <col min="1" max="1" width="40.57421875" style="535" customWidth="1"/>
    <col min="2" max="5" width="12.28125" style="487" customWidth="1"/>
    <col min="6" max="16384" width="8.00390625" style="487" customWidth="1"/>
  </cols>
  <sheetData>
    <row r="1" spans="1:5" s="537" customFormat="1" ht="12.75">
      <c r="A1" s="529" t="s">
        <v>652</v>
      </c>
      <c r="B1" s="485"/>
      <c r="C1" s="485"/>
      <c r="D1" s="485"/>
      <c r="E1" s="485" t="s">
        <v>653</v>
      </c>
    </row>
    <row r="2" spans="1:6" s="488" customFormat="1" ht="12.75">
      <c r="A2" s="529"/>
      <c r="B2" s="485"/>
      <c r="C2" s="485"/>
      <c r="D2" s="485"/>
      <c r="E2" s="598"/>
      <c r="F2" s="567"/>
    </row>
    <row r="3" spans="1:5" s="537" customFormat="1" ht="11.25">
      <c r="A3" s="575"/>
      <c r="D3" s="577"/>
      <c r="E3" s="577"/>
    </row>
    <row r="4" spans="1:5" s="534" customFormat="1" ht="31.5">
      <c r="A4" s="531" t="s">
        <v>654</v>
      </c>
      <c r="B4" s="533"/>
      <c r="C4" s="533"/>
      <c r="D4" s="533"/>
      <c r="E4" s="533"/>
    </row>
    <row r="5" spans="1:5" s="534" customFormat="1" ht="15.75">
      <c r="A5" s="531" t="s">
        <v>47</v>
      </c>
      <c r="B5" s="533"/>
      <c r="C5" s="533"/>
      <c r="D5" s="533"/>
      <c r="E5" s="533"/>
    </row>
    <row r="6" spans="1:4" ht="15">
      <c r="A6" s="599"/>
      <c r="B6" s="536"/>
      <c r="C6" s="536"/>
      <c r="D6" s="536"/>
    </row>
    <row r="7" spans="1:4" ht="15">
      <c r="A7" s="599"/>
      <c r="B7" s="536"/>
      <c r="C7" s="536"/>
      <c r="D7" s="536"/>
    </row>
    <row r="8" spans="1:5" s="537" customFormat="1" ht="11.25" customHeight="1">
      <c r="A8" s="575"/>
      <c r="C8" s="577" t="s">
        <v>655</v>
      </c>
      <c r="D8" s="577"/>
      <c r="E8" s="577"/>
    </row>
    <row r="9" spans="1:5" s="537" customFormat="1" ht="33.75" customHeight="1">
      <c r="A9" s="581" t="s">
        <v>54</v>
      </c>
      <c r="B9" s="582" t="s">
        <v>545</v>
      </c>
      <c r="C9" s="582" t="s">
        <v>103</v>
      </c>
      <c r="D9" s="582" t="s">
        <v>595</v>
      </c>
      <c r="E9" s="542" t="s">
        <v>281</v>
      </c>
    </row>
    <row r="10" spans="1:5" s="488" customFormat="1" ht="12.75" customHeight="1">
      <c r="A10" s="543" t="s">
        <v>596</v>
      </c>
      <c r="B10" s="544" t="s">
        <v>633</v>
      </c>
      <c r="C10" s="544" t="s">
        <v>634</v>
      </c>
      <c r="D10" s="544" t="s">
        <v>635</v>
      </c>
      <c r="E10" s="545" t="s">
        <v>597</v>
      </c>
    </row>
    <row r="11" spans="1:5" s="488" customFormat="1" ht="12.75" customHeight="1">
      <c r="A11" s="550" t="s">
        <v>285</v>
      </c>
      <c r="B11" s="547">
        <v>405270</v>
      </c>
      <c r="C11" s="547">
        <v>274188</v>
      </c>
      <c r="D11" s="548">
        <f aca="true" t="shared" si="0" ref="D11:D39">C11/B11*100</f>
        <v>67.65563698275224</v>
      </c>
      <c r="E11" s="549">
        <v>29226</v>
      </c>
    </row>
    <row r="12" spans="1:5" s="488" customFormat="1" ht="12.75">
      <c r="A12" s="550" t="s">
        <v>656</v>
      </c>
      <c r="B12" s="547">
        <f>B13+B31</f>
        <v>401212</v>
      </c>
      <c r="C12" s="547">
        <f>C13+C31</f>
        <v>275915</v>
      </c>
      <c r="D12" s="548">
        <f t="shared" si="0"/>
        <v>68.77037576144282</v>
      </c>
      <c r="E12" s="549">
        <f>E13+E31</f>
        <v>30977</v>
      </c>
    </row>
    <row r="13" spans="1:5" s="565" customFormat="1" ht="11.25" customHeight="1">
      <c r="A13" s="583" t="s">
        <v>293</v>
      </c>
      <c r="B13" s="547">
        <f>B14+B24+B25</f>
        <v>365649</v>
      </c>
      <c r="C13" s="547">
        <v>235906</v>
      </c>
      <c r="D13" s="548">
        <f t="shared" si="0"/>
        <v>64.51706417903509</v>
      </c>
      <c r="E13" s="549">
        <v>24020</v>
      </c>
    </row>
    <row r="14" spans="1:5" s="565" customFormat="1" ht="11.25" customHeight="1">
      <c r="A14" s="600" t="s">
        <v>294</v>
      </c>
      <c r="B14" s="547">
        <f>B15+B16+B21</f>
        <v>297300</v>
      </c>
      <c r="C14" s="547">
        <f>C15+C16+C21</f>
        <v>191907</v>
      </c>
      <c r="D14" s="548">
        <f t="shared" si="0"/>
        <v>64.54994954591322</v>
      </c>
      <c r="E14" s="549">
        <f>E15+E16+E21</f>
        <v>18914</v>
      </c>
    </row>
    <row r="15" spans="1:5" ht="12">
      <c r="A15" s="586" t="s">
        <v>657</v>
      </c>
      <c r="B15" s="547">
        <v>146360</v>
      </c>
      <c r="C15" s="547">
        <v>96545</v>
      </c>
      <c r="D15" s="548">
        <f t="shared" si="0"/>
        <v>65.96406121891228</v>
      </c>
      <c r="E15" s="549">
        <v>6973</v>
      </c>
    </row>
    <row r="16" spans="1:5" ht="12">
      <c r="A16" s="586" t="s">
        <v>658</v>
      </c>
      <c r="B16" s="547">
        <v>39917</v>
      </c>
      <c r="C16" s="547">
        <v>25385</v>
      </c>
      <c r="D16" s="548">
        <f t="shared" si="0"/>
        <v>63.594458501390385</v>
      </c>
      <c r="E16" s="549">
        <v>2720</v>
      </c>
    </row>
    <row r="17" spans="1:5" ht="12" hidden="1">
      <c r="A17" s="586" t="s">
        <v>659</v>
      </c>
      <c r="B17" s="547">
        <v>39918</v>
      </c>
      <c r="C17" s="547">
        <v>25385</v>
      </c>
      <c r="D17" s="548">
        <f t="shared" si="0"/>
        <v>63.59286537401674</v>
      </c>
      <c r="E17" s="549">
        <v>2720</v>
      </c>
    </row>
    <row r="18" spans="1:5" ht="12" hidden="1">
      <c r="A18" s="586" t="s">
        <v>660</v>
      </c>
      <c r="B18" s="547">
        <v>1334</v>
      </c>
      <c r="C18" s="547">
        <v>881</v>
      </c>
      <c r="D18" s="548">
        <f t="shared" si="0"/>
        <v>66.04197901049476</v>
      </c>
      <c r="E18" s="549">
        <v>106</v>
      </c>
    </row>
    <row r="19" spans="1:5" ht="12" hidden="1">
      <c r="A19" s="586" t="s">
        <v>661</v>
      </c>
      <c r="B19" s="547">
        <v>52006</v>
      </c>
      <c r="C19" s="547">
        <v>32944</v>
      </c>
      <c r="D19" s="548">
        <f t="shared" si="0"/>
        <v>63.3465369380456</v>
      </c>
      <c r="E19" s="549">
        <v>5299</v>
      </c>
    </row>
    <row r="20" spans="1:5" ht="12" hidden="1">
      <c r="A20" s="586" t="s">
        <v>662</v>
      </c>
      <c r="B20" s="547">
        <v>55554</v>
      </c>
      <c r="C20" s="547">
        <v>35073</v>
      </c>
      <c r="D20" s="548">
        <f t="shared" si="0"/>
        <v>63.13316772869641</v>
      </c>
      <c r="E20" s="549">
        <v>3571</v>
      </c>
    </row>
    <row r="21" spans="1:5" ht="12">
      <c r="A21" s="586" t="s">
        <v>663</v>
      </c>
      <c r="B21" s="547">
        <f>SUM(B22:B23)</f>
        <v>111023</v>
      </c>
      <c r="C21" s="547">
        <f>SUM(C22:C23)</f>
        <v>69977</v>
      </c>
      <c r="D21" s="548">
        <f t="shared" si="0"/>
        <v>63.0292822208011</v>
      </c>
      <c r="E21" s="549">
        <f>SUM(E22:E23)</f>
        <v>9221</v>
      </c>
    </row>
    <row r="22" spans="1:5" ht="12">
      <c r="A22" s="601" t="s">
        <v>664</v>
      </c>
      <c r="B22" s="547">
        <v>107560</v>
      </c>
      <c r="C22" s="547">
        <v>68017</v>
      </c>
      <c r="D22" s="548">
        <f t="shared" si="0"/>
        <v>63.23633320937151</v>
      </c>
      <c r="E22" s="549">
        <v>8870</v>
      </c>
    </row>
    <row r="23" spans="1:5" ht="12">
      <c r="A23" s="601" t="s">
        <v>665</v>
      </c>
      <c r="B23" s="547">
        <v>3463</v>
      </c>
      <c r="C23" s="547">
        <v>1960</v>
      </c>
      <c r="D23" s="548">
        <f t="shared" si="0"/>
        <v>56.59832515160266</v>
      </c>
      <c r="E23" s="549">
        <v>351</v>
      </c>
    </row>
    <row r="24" spans="1:5" ht="12">
      <c r="A24" s="600" t="s">
        <v>666</v>
      </c>
      <c r="B24" s="547">
        <v>3862</v>
      </c>
      <c r="C24" s="547">
        <v>2120</v>
      </c>
      <c r="D24" s="548">
        <f t="shared" si="0"/>
        <v>54.89383738995339</v>
      </c>
      <c r="E24" s="549">
        <v>-48</v>
      </c>
    </row>
    <row r="25" spans="1:5" ht="12">
      <c r="A25" s="600" t="s">
        <v>303</v>
      </c>
      <c r="B25" s="547">
        <f>SUM(B26:B30)</f>
        <v>64487</v>
      </c>
      <c r="C25" s="547">
        <f>SUM(C26:C30)</f>
        <v>41879</v>
      </c>
      <c r="D25" s="548">
        <f t="shared" si="0"/>
        <v>64.94177120970119</v>
      </c>
      <c r="E25" s="549">
        <f>SUM(E26:E30)</f>
        <v>5154</v>
      </c>
    </row>
    <row r="26" spans="1:5" ht="12">
      <c r="A26" s="586" t="s">
        <v>667</v>
      </c>
      <c r="B26" s="547">
        <v>552</v>
      </c>
      <c r="C26" s="547">
        <v>366</v>
      </c>
      <c r="D26" s="548">
        <f t="shared" si="0"/>
        <v>66.30434782608695</v>
      </c>
      <c r="E26" s="549">
        <v>47</v>
      </c>
    </row>
    <row r="27" spans="1:5" ht="12">
      <c r="A27" s="586" t="s">
        <v>668</v>
      </c>
      <c r="B27" s="547">
        <v>4916</v>
      </c>
      <c r="C27" s="547">
        <v>3225</v>
      </c>
      <c r="D27" s="548">
        <f t="shared" si="0"/>
        <v>65.60211554109033</v>
      </c>
      <c r="E27" s="549">
        <v>283</v>
      </c>
    </row>
    <row r="28" spans="1:5" ht="12">
      <c r="A28" s="586" t="s">
        <v>669</v>
      </c>
      <c r="B28" s="547">
        <v>26093</v>
      </c>
      <c r="C28" s="547">
        <v>16911</v>
      </c>
      <c r="D28" s="548">
        <f t="shared" si="0"/>
        <v>64.81048557084276</v>
      </c>
      <c r="E28" s="549">
        <v>2098</v>
      </c>
    </row>
    <row r="29" spans="1:5" ht="12">
      <c r="A29" s="586" t="s">
        <v>670</v>
      </c>
      <c r="B29" s="547">
        <v>16960</v>
      </c>
      <c r="C29" s="547">
        <v>11588</v>
      </c>
      <c r="D29" s="548">
        <f t="shared" si="0"/>
        <v>68.3254716981132</v>
      </c>
      <c r="E29" s="549">
        <v>1679</v>
      </c>
    </row>
    <row r="30" spans="1:5" ht="12">
      <c r="A30" s="586" t="s">
        <v>671</v>
      </c>
      <c r="B30" s="547">
        <v>15966</v>
      </c>
      <c r="C30" s="547">
        <v>9789</v>
      </c>
      <c r="D30" s="548">
        <f t="shared" si="0"/>
        <v>61.311537016159335</v>
      </c>
      <c r="E30" s="549">
        <v>1047</v>
      </c>
    </row>
    <row r="31" spans="1:5" s="565" customFormat="1" ht="11.25" customHeight="1">
      <c r="A31" s="602" t="s">
        <v>672</v>
      </c>
      <c r="B31" s="547">
        <f>B32+B35</f>
        <v>35563</v>
      </c>
      <c r="C31" s="547">
        <f>C32+C35</f>
        <v>40009</v>
      </c>
      <c r="D31" s="548">
        <f t="shared" si="0"/>
        <v>112.50175744453506</v>
      </c>
      <c r="E31" s="549">
        <f>E32+E35</f>
        <v>6957</v>
      </c>
    </row>
    <row r="32" spans="1:6" s="565" customFormat="1" ht="11.25" customHeight="1">
      <c r="A32" s="586" t="s">
        <v>324</v>
      </c>
      <c r="B32" s="547">
        <v>18730</v>
      </c>
      <c r="C32" s="547">
        <v>12815</v>
      </c>
      <c r="D32" s="548">
        <f t="shared" si="0"/>
        <v>68.41964762413241</v>
      </c>
      <c r="E32" s="549">
        <v>2375</v>
      </c>
      <c r="F32" s="603"/>
    </row>
    <row r="33" spans="1:5" ht="12" hidden="1">
      <c r="A33" s="586" t="s">
        <v>324</v>
      </c>
      <c r="B33" s="547">
        <v>15521</v>
      </c>
      <c r="C33" s="547">
        <v>4904</v>
      </c>
      <c r="D33" s="548">
        <f t="shared" si="0"/>
        <v>31.595902325881063</v>
      </c>
      <c r="E33" s="549">
        <v>1389</v>
      </c>
    </row>
    <row r="34" spans="1:5" ht="12" hidden="1">
      <c r="A34" s="586" t="s">
        <v>673</v>
      </c>
      <c r="B34" s="547">
        <v>18479</v>
      </c>
      <c r="C34" s="547">
        <v>12476</v>
      </c>
      <c r="D34" s="548">
        <f t="shared" si="0"/>
        <v>67.51447589155258</v>
      </c>
      <c r="E34" s="549">
        <v>2363</v>
      </c>
    </row>
    <row r="35" spans="1:5" ht="12">
      <c r="A35" s="586" t="s">
        <v>326</v>
      </c>
      <c r="B35" s="547">
        <v>16833</v>
      </c>
      <c r="C35" s="547">
        <v>27194</v>
      </c>
      <c r="D35" s="548">
        <f t="shared" si="0"/>
        <v>161.55171389532467</v>
      </c>
      <c r="E35" s="549">
        <v>4582</v>
      </c>
    </row>
    <row r="36" spans="1:5" s="565" customFormat="1" ht="11.25" customHeight="1">
      <c r="A36" s="583" t="s">
        <v>674</v>
      </c>
      <c r="B36" s="547">
        <f>B37-B38</f>
        <v>-524</v>
      </c>
      <c r="C36" s="547">
        <f>C37-C38</f>
        <v>-143</v>
      </c>
      <c r="D36" s="548">
        <f t="shared" si="0"/>
        <v>27.29007633587786</v>
      </c>
      <c r="E36" s="549">
        <v>-220</v>
      </c>
    </row>
    <row r="37" spans="1:5" ht="12.75" customHeight="1">
      <c r="A37" s="587" t="s">
        <v>675</v>
      </c>
      <c r="B37" s="604">
        <v>49</v>
      </c>
      <c r="C37" s="547">
        <v>249</v>
      </c>
      <c r="D37" s="548">
        <f t="shared" si="0"/>
        <v>508.16326530612247</v>
      </c>
      <c r="E37" s="549">
        <v>-164</v>
      </c>
    </row>
    <row r="38" spans="1:5" ht="12.75" customHeight="1">
      <c r="A38" s="588" t="s">
        <v>676</v>
      </c>
      <c r="B38" s="605">
        <v>573</v>
      </c>
      <c r="C38" s="605">
        <v>392</v>
      </c>
      <c r="D38" s="561">
        <f t="shared" si="0"/>
        <v>68.41186736474695</v>
      </c>
      <c r="E38" s="562">
        <v>56</v>
      </c>
    </row>
    <row r="39" spans="1:5" ht="12.75" customHeight="1">
      <c r="A39" s="606" t="s">
        <v>456</v>
      </c>
      <c r="B39" s="605">
        <f>B11-B12-B36</f>
        <v>4582</v>
      </c>
      <c r="C39" s="605">
        <f>C11-C12-C36</f>
        <v>-1584</v>
      </c>
      <c r="D39" s="607">
        <f t="shared" si="0"/>
        <v>-34.57005674378001</v>
      </c>
      <c r="E39" s="608">
        <f>E11-E12-E36</f>
        <v>-1531</v>
      </c>
    </row>
    <row r="40" spans="1:5" s="571" customFormat="1" ht="12">
      <c r="A40" s="609"/>
      <c r="B40" s="593"/>
      <c r="C40" s="593"/>
      <c r="D40" s="593"/>
      <c r="E40" s="593"/>
    </row>
    <row r="41" spans="1:5" s="571" customFormat="1" ht="12">
      <c r="A41" s="568"/>
      <c r="B41" s="593"/>
      <c r="C41" s="593"/>
      <c r="D41" s="593"/>
      <c r="E41" s="593"/>
    </row>
    <row r="42" spans="1:6" ht="12">
      <c r="A42" s="593"/>
      <c r="B42" s="593"/>
      <c r="C42" s="593"/>
      <c r="D42" s="593"/>
      <c r="E42" s="593"/>
      <c r="F42" s="574"/>
    </row>
    <row r="43" spans="1:5" s="571" customFormat="1" ht="12">
      <c r="A43" s="569" t="s">
        <v>628</v>
      </c>
      <c r="B43" s="569"/>
      <c r="C43" s="570"/>
      <c r="D43" s="570"/>
      <c r="E43" s="593" t="s">
        <v>589</v>
      </c>
    </row>
    <row r="44" spans="4:5" s="571" customFormat="1" ht="12">
      <c r="D44" s="593"/>
      <c r="E44" s="593"/>
    </row>
    <row r="45" spans="1:5" s="571" customFormat="1" ht="12">
      <c r="A45" s="593"/>
      <c r="B45" s="596"/>
      <c r="C45" s="596"/>
      <c r="D45" s="593"/>
      <c r="E45" s="593"/>
    </row>
    <row r="46" spans="1:5" s="571" customFormat="1" ht="12">
      <c r="A46" s="593"/>
      <c r="B46" s="596"/>
      <c r="D46" s="593"/>
      <c r="E46" s="593"/>
    </row>
    <row r="47" spans="1:5" ht="12">
      <c r="A47" s="597"/>
      <c r="B47" s="574"/>
      <c r="D47" s="593"/>
      <c r="E47" s="593"/>
    </row>
    <row r="48" spans="4:6" ht="12">
      <c r="D48" s="593"/>
      <c r="E48" s="593"/>
      <c r="F48" s="574"/>
    </row>
    <row r="49" spans="4:5" ht="12">
      <c r="D49" s="593"/>
      <c r="E49" s="593"/>
    </row>
  </sheetData>
  <printOptions/>
  <pageMargins left="1.09" right="0.15748031496062992" top="2.19" bottom="0.984251968503937" header="0.25" footer="0"/>
  <pageSetup firstPageNumber="28" useFirstPageNumber="1" horizontalDpi="600" verticalDpi="600" orientation="portrait" paperSize="9" r:id="rId1"/>
  <headerFooter alignWithMargins="0">
    <oddFooter>&amp;L&amp;"Arial,Regular"&amp;8           Valsts kase / Pārskatu departaments
           15.09.00.  
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8"/>
  <dimension ref="A1:G37"/>
  <sheetViews>
    <sheetView showZeros="0" workbookViewId="0" topLeftCell="A1">
      <selection activeCell="A17" sqref="A17"/>
    </sheetView>
  </sheetViews>
  <sheetFormatPr defaultColWidth="9.140625" defaultRowHeight="12.75"/>
  <cols>
    <col min="1" max="1" width="42.7109375" style="487" customWidth="1"/>
    <col min="2" max="5" width="12.28125" style="487" customWidth="1"/>
    <col min="6" max="16384" width="8.00390625" style="487" customWidth="1"/>
  </cols>
  <sheetData>
    <row r="1" spans="1:5" s="537" customFormat="1" ht="12.75">
      <c r="A1" s="485" t="s">
        <v>652</v>
      </c>
      <c r="B1" s="485"/>
      <c r="C1" s="485"/>
      <c r="D1" s="485"/>
      <c r="E1" s="485" t="s">
        <v>677</v>
      </c>
    </row>
    <row r="2" spans="1:5" s="537" customFormat="1" ht="12.75">
      <c r="A2" s="485"/>
      <c r="B2" s="485"/>
      <c r="C2" s="485"/>
      <c r="D2" s="485"/>
      <c r="E2" s="485"/>
    </row>
    <row r="4" spans="1:5" s="534" customFormat="1" ht="15.75">
      <c r="A4" s="531" t="s">
        <v>678</v>
      </c>
      <c r="B4" s="533"/>
      <c r="C4" s="533"/>
      <c r="D4" s="533"/>
      <c r="E4" s="533"/>
    </row>
    <row r="5" spans="1:5" ht="15.75">
      <c r="A5" s="531" t="s">
        <v>47</v>
      </c>
      <c r="B5" s="536"/>
      <c r="C5" s="536"/>
      <c r="D5" s="536"/>
      <c r="E5" s="536"/>
    </row>
    <row r="6" spans="1:5" ht="11.25">
      <c r="A6" s="597"/>
      <c r="B6" s="536"/>
      <c r="C6" s="536"/>
      <c r="D6" s="536"/>
      <c r="E6" s="536"/>
    </row>
    <row r="7" spans="1:5" ht="11.25">
      <c r="A7" s="597"/>
      <c r="B7" s="536"/>
      <c r="C7" s="536"/>
      <c r="D7" s="536"/>
      <c r="E7" s="536"/>
    </row>
    <row r="8" spans="4:5" s="537" customFormat="1" ht="11.25">
      <c r="D8" s="577" t="s">
        <v>679</v>
      </c>
      <c r="E8" s="577"/>
    </row>
    <row r="9" spans="1:5" s="488" customFormat="1" ht="30.75" customHeight="1">
      <c r="A9" s="581" t="s">
        <v>54</v>
      </c>
      <c r="B9" s="582" t="s">
        <v>545</v>
      </c>
      <c r="C9" s="582" t="s">
        <v>103</v>
      </c>
      <c r="D9" s="582" t="s">
        <v>595</v>
      </c>
      <c r="E9" s="542" t="s">
        <v>281</v>
      </c>
    </row>
    <row r="10" spans="1:5" s="571" customFormat="1" ht="11.25" customHeight="1">
      <c r="A10" s="610">
        <v>1</v>
      </c>
      <c r="B10" s="611">
        <v>2</v>
      </c>
      <c r="C10" s="611">
        <v>3</v>
      </c>
      <c r="D10" s="612">
        <v>4</v>
      </c>
      <c r="E10" s="613" t="s">
        <v>597</v>
      </c>
    </row>
    <row r="11" spans="1:5" s="571" customFormat="1" ht="12.75">
      <c r="A11" s="614" t="s">
        <v>680</v>
      </c>
      <c r="B11" s="547">
        <f>B12+B17</f>
        <v>51147</v>
      </c>
      <c r="C11" s="547">
        <f>C12+C17</f>
        <v>36531</v>
      </c>
      <c r="D11" s="510">
        <f aca="true" t="shared" si="0" ref="D11:D24">C11/B11*100</f>
        <v>71.4235439028682</v>
      </c>
      <c r="E11" s="549">
        <f>E12+E17</f>
        <v>3722</v>
      </c>
    </row>
    <row r="12" spans="1:5" ht="25.5">
      <c r="A12" s="614" t="s">
        <v>681</v>
      </c>
      <c r="B12" s="547">
        <f>SUM(B13:B16)</f>
        <v>46716</v>
      </c>
      <c r="C12" s="547">
        <f>SUM(C13:C16)</f>
        <v>32691</v>
      </c>
      <c r="D12" s="510">
        <f t="shared" si="0"/>
        <v>69.97816593886463</v>
      </c>
      <c r="E12" s="549">
        <f>SUM(E13:E16)</f>
        <v>2842</v>
      </c>
    </row>
    <row r="13" spans="1:5" ht="12">
      <c r="A13" s="615" t="s">
        <v>682</v>
      </c>
      <c r="B13" s="547">
        <v>13570</v>
      </c>
      <c r="C13" s="547">
        <v>11928</v>
      </c>
      <c r="D13" s="510">
        <f t="shared" si="0"/>
        <v>87.89977892409728</v>
      </c>
      <c r="E13" s="549">
        <v>665</v>
      </c>
    </row>
    <row r="14" spans="1:5" ht="12">
      <c r="A14" s="615" t="s">
        <v>683</v>
      </c>
      <c r="B14" s="547">
        <v>2180</v>
      </c>
      <c r="C14" s="547">
        <v>1499</v>
      </c>
      <c r="D14" s="510">
        <f t="shared" si="0"/>
        <v>68.76146788990826</v>
      </c>
      <c r="E14" s="549">
        <v>258</v>
      </c>
    </row>
    <row r="15" spans="1:5" ht="12">
      <c r="A15" s="615" t="s">
        <v>684</v>
      </c>
      <c r="B15" s="547">
        <v>14972</v>
      </c>
      <c r="C15" s="547">
        <v>7966</v>
      </c>
      <c r="D15" s="510">
        <f t="shared" si="0"/>
        <v>53.205984504408235</v>
      </c>
      <c r="E15" s="549">
        <v>912</v>
      </c>
    </row>
    <row r="16" spans="1:5" ht="12">
      <c r="A16" s="615" t="s">
        <v>685</v>
      </c>
      <c r="B16" s="547">
        <v>15994</v>
      </c>
      <c r="C16" s="547">
        <v>11298</v>
      </c>
      <c r="D16" s="510">
        <f t="shared" si="0"/>
        <v>70.63898962110791</v>
      </c>
      <c r="E16" s="549">
        <v>1007</v>
      </c>
    </row>
    <row r="17" spans="1:5" ht="25.5">
      <c r="A17" s="616" t="s">
        <v>686</v>
      </c>
      <c r="B17" s="547">
        <v>4431</v>
      </c>
      <c r="C17" s="547">
        <v>3840</v>
      </c>
      <c r="D17" s="510">
        <f t="shared" si="0"/>
        <v>86.66215301286393</v>
      </c>
      <c r="E17" s="549">
        <v>880</v>
      </c>
    </row>
    <row r="18" spans="1:7" s="571" customFormat="1" ht="12.75">
      <c r="A18" s="614" t="s">
        <v>687</v>
      </c>
      <c r="B18" s="547">
        <f>B19+B24</f>
        <v>60054</v>
      </c>
      <c r="C18" s="547">
        <f>C19+C24</f>
        <v>31180</v>
      </c>
      <c r="D18" s="510">
        <f t="shared" si="0"/>
        <v>51.919938721817026</v>
      </c>
      <c r="E18" s="549">
        <f>E19+E24</f>
        <v>823</v>
      </c>
      <c r="F18" s="487"/>
      <c r="G18" s="487"/>
    </row>
    <row r="19" spans="1:5" ht="25.5">
      <c r="A19" s="616" t="s">
        <v>688</v>
      </c>
      <c r="B19" s="547">
        <f>SUM(B20:B23)</f>
        <v>54954</v>
      </c>
      <c r="C19" s="547">
        <f>SUM(C20:C23)</f>
        <v>28494</v>
      </c>
      <c r="D19" s="510">
        <f t="shared" si="0"/>
        <v>51.85063871601703</v>
      </c>
      <c r="E19" s="549">
        <f>SUM(E20:E23)</f>
        <v>2227</v>
      </c>
    </row>
    <row r="20" spans="1:5" ht="12">
      <c r="A20" s="615" t="s">
        <v>682</v>
      </c>
      <c r="B20" s="547">
        <v>18332</v>
      </c>
      <c r="C20" s="547">
        <v>7243</v>
      </c>
      <c r="D20" s="510">
        <f t="shared" si="0"/>
        <v>39.510146192450364</v>
      </c>
      <c r="E20" s="549">
        <v>-75</v>
      </c>
    </row>
    <row r="21" spans="1:5" ht="12">
      <c r="A21" s="615" t="s">
        <v>683</v>
      </c>
      <c r="B21" s="547">
        <v>2617</v>
      </c>
      <c r="C21" s="547">
        <v>1019</v>
      </c>
      <c r="D21" s="510">
        <f t="shared" si="0"/>
        <v>38.937714940771876</v>
      </c>
      <c r="E21" s="549">
        <v>55</v>
      </c>
    </row>
    <row r="22" spans="1:5" ht="12">
      <c r="A22" s="615" t="s">
        <v>684</v>
      </c>
      <c r="B22" s="547">
        <v>16529</v>
      </c>
      <c r="C22" s="547">
        <v>7965</v>
      </c>
      <c r="D22" s="510">
        <f t="shared" si="0"/>
        <v>48.18803315385081</v>
      </c>
      <c r="E22" s="549">
        <v>777</v>
      </c>
    </row>
    <row r="23" spans="1:5" ht="12">
      <c r="A23" s="615" t="s">
        <v>685</v>
      </c>
      <c r="B23" s="547">
        <v>17476</v>
      </c>
      <c r="C23" s="547">
        <v>12267</v>
      </c>
      <c r="D23" s="510">
        <f t="shared" si="0"/>
        <v>70.19340810254062</v>
      </c>
      <c r="E23" s="549">
        <v>1470</v>
      </c>
    </row>
    <row r="24" spans="1:5" ht="25.5">
      <c r="A24" s="617" t="s">
        <v>689</v>
      </c>
      <c r="B24" s="560">
        <v>5100</v>
      </c>
      <c r="C24" s="560">
        <v>2686</v>
      </c>
      <c r="D24" s="521">
        <f t="shared" si="0"/>
        <v>52.666666666666664</v>
      </c>
      <c r="E24" s="562">
        <v>-1404</v>
      </c>
    </row>
    <row r="25" spans="1:5" ht="12.75">
      <c r="A25" s="618"/>
      <c r="B25" s="592"/>
      <c r="C25" s="592"/>
      <c r="D25" s="619"/>
      <c r="E25" s="592"/>
    </row>
    <row r="26" ht="11.25">
      <c r="A26" s="537" t="s">
        <v>49</v>
      </c>
    </row>
    <row r="27" spans="1:5" s="507" customFormat="1" ht="11.25">
      <c r="A27" s="597"/>
      <c r="B27" s="487"/>
      <c r="C27" s="487"/>
      <c r="D27" s="487"/>
      <c r="E27" s="487"/>
    </row>
    <row r="28" spans="1:5" s="571" customFormat="1" ht="12">
      <c r="A28" s="597"/>
      <c r="B28" s="487"/>
      <c r="C28" s="487"/>
      <c r="D28" s="487"/>
      <c r="E28" s="487"/>
    </row>
    <row r="29" spans="1:5" s="571" customFormat="1" ht="12">
      <c r="A29" s="597"/>
      <c r="B29" s="507"/>
      <c r="C29" s="596"/>
      <c r="D29" s="507"/>
      <c r="E29" s="507"/>
    </row>
    <row r="30" spans="1:5" ht="12">
      <c r="A30" s="569"/>
      <c r="E30" s="620"/>
    </row>
    <row r="31" spans="1:5" ht="12">
      <c r="A31" s="569" t="s">
        <v>628</v>
      </c>
      <c r="B31" s="569"/>
      <c r="C31" s="570"/>
      <c r="D31" s="570"/>
      <c r="E31" s="620" t="s">
        <v>589</v>
      </c>
    </row>
    <row r="32" spans="1:5" ht="12">
      <c r="A32" s="569"/>
      <c r="B32" s="569"/>
      <c r="E32" s="620"/>
    </row>
    <row r="33" ht="11.25">
      <c r="A33" s="575"/>
    </row>
    <row r="34" ht="11.25">
      <c r="A34" s="575"/>
    </row>
    <row r="35" s="488" customFormat="1" ht="12" customHeight="1">
      <c r="A35" s="567"/>
    </row>
    <row r="36" s="488" customFormat="1" ht="12" customHeight="1">
      <c r="A36" s="567"/>
    </row>
    <row r="37" ht="12.75">
      <c r="A37" s="567"/>
    </row>
  </sheetData>
  <printOptions/>
  <pageMargins left="0.98" right="0.15748031496062992" top="1.46" bottom="0.984251968503937" header="0" footer="0"/>
  <pageSetup firstPageNumber="29" useFirstPageNumber="1" horizontalDpi="600" verticalDpi="600" orientation="portrait" paperSize="9" r:id="rId1"/>
  <headerFooter alignWithMargins="0">
    <oddFooter>&amp;L&amp;"Arial,Regular"&amp;8         Valsts kase / Pārskatu departaments
         15.09.00.
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"/>
  <dimension ref="A1:IT59"/>
  <sheetViews>
    <sheetView showZeros="0" workbookViewId="0" topLeftCell="A1">
      <selection activeCell="A17" sqref="A17"/>
    </sheetView>
  </sheetViews>
  <sheetFormatPr defaultColWidth="9.140625" defaultRowHeight="12.75"/>
  <cols>
    <col min="1" max="1" width="39.7109375" style="487" customWidth="1"/>
    <col min="2" max="5" width="12.7109375" style="487" customWidth="1"/>
    <col min="6" max="16384" width="8.00390625" style="487" customWidth="1"/>
  </cols>
  <sheetData>
    <row r="1" spans="1:5" s="537" customFormat="1" ht="12.75">
      <c r="A1" s="485" t="s">
        <v>690</v>
      </c>
      <c r="B1" s="485"/>
      <c r="C1" s="485"/>
      <c r="D1" s="485"/>
      <c r="E1" s="485" t="s">
        <v>691</v>
      </c>
    </row>
    <row r="2" spans="1:5" s="537" customFormat="1" ht="12.75">
      <c r="A2" s="485"/>
      <c r="B2" s="485"/>
      <c r="C2" s="485"/>
      <c r="D2" s="485"/>
      <c r="E2" s="486"/>
    </row>
    <row r="3" spans="4:5" ht="11.25">
      <c r="D3" s="536"/>
      <c r="E3" s="536"/>
    </row>
    <row r="4" spans="1:5" s="534" customFormat="1" ht="31.5">
      <c r="A4" s="531" t="s">
        <v>692</v>
      </c>
      <c r="B4" s="536"/>
      <c r="C4" s="536"/>
      <c r="D4" s="536"/>
      <c r="E4" s="536"/>
    </row>
    <row r="5" spans="1:5" ht="15.75">
      <c r="A5" s="531" t="s">
        <v>47</v>
      </c>
      <c r="B5" s="536"/>
      <c r="C5" s="536"/>
      <c r="D5" s="536"/>
      <c r="E5" s="536"/>
    </row>
    <row r="6" spans="1:5" ht="11.25">
      <c r="A6" s="597"/>
      <c r="B6" s="536"/>
      <c r="C6" s="536"/>
      <c r="D6" s="536"/>
      <c r="E6" s="536"/>
    </row>
    <row r="7" spans="1:5" ht="11.25">
      <c r="A7" s="597"/>
      <c r="B7" s="536"/>
      <c r="C7" s="536"/>
      <c r="D7" s="536"/>
      <c r="E7" s="536"/>
    </row>
    <row r="8" spans="2:81" s="537" customFormat="1" ht="15">
      <c r="B8" s="577"/>
      <c r="C8" s="577"/>
      <c r="D8" s="493" t="s">
        <v>693</v>
      </c>
      <c r="E8" s="539"/>
      <c r="F8" s="487"/>
      <c r="G8" s="487"/>
      <c r="H8" s="487"/>
      <c r="I8" s="487"/>
      <c r="J8" s="487"/>
      <c r="K8" s="487"/>
      <c r="L8" s="487"/>
      <c r="M8" s="487"/>
      <c r="N8" s="487"/>
      <c r="O8" s="487"/>
      <c r="P8" s="487"/>
      <c r="Q8" s="487"/>
      <c r="R8" s="487"/>
      <c r="S8" s="487"/>
      <c r="T8" s="487"/>
      <c r="U8" s="487"/>
      <c r="V8" s="487"/>
      <c r="W8" s="487"/>
      <c r="X8" s="487"/>
      <c r="Y8" s="487"/>
      <c r="Z8" s="487"/>
      <c r="AA8" s="487"/>
      <c r="AB8" s="487"/>
      <c r="AC8" s="487"/>
      <c r="AD8" s="487"/>
      <c r="AE8" s="487"/>
      <c r="AF8" s="487"/>
      <c r="AG8" s="487"/>
      <c r="AH8" s="487"/>
      <c r="AI8" s="487"/>
      <c r="AJ8" s="487"/>
      <c r="AK8" s="487"/>
      <c r="AL8" s="487"/>
      <c r="AM8" s="534"/>
      <c r="AN8" s="534"/>
      <c r="AO8" s="534"/>
      <c r="AP8" s="534"/>
      <c r="AQ8" s="534"/>
      <c r="AR8" s="534"/>
      <c r="AS8" s="534"/>
      <c r="AT8" s="534"/>
      <c r="AU8" s="534"/>
      <c r="AV8" s="534"/>
      <c r="AW8" s="487"/>
      <c r="AX8" s="487"/>
      <c r="AY8" s="487"/>
      <c r="AZ8" s="487"/>
      <c r="BA8" s="487"/>
      <c r="BB8" s="487"/>
      <c r="BC8" s="487"/>
      <c r="BD8" s="487"/>
      <c r="BE8" s="487"/>
      <c r="BF8" s="487"/>
      <c r="BG8" s="487"/>
      <c r="BH8" s="487"/>
      <c r="BI8" s="487"/>
      <c r="BJ8" s="487"/>
      <c r="BK8" s="487"/>
      <c r="BL8" s="487"/>
      <c r="BM8" s="487"/>
      <c r="BN8" s="487"/>
      <c r="BO8" s="487"/>
      <c r="BP8" s="487"/>
      <c r="BQ8" s="487"/>
      <c r="BR8" s="487"/>
      <c r="BS8" s="487"/>
      <c r="BT8" s="487"/>
      <c r="BU8" s="487"/>
      <c r="BV8" s="487"/>
      <c r="BW8" s="487"/>
      <c r="BX8" s="487"/>
      <c r="BY8" s="487"/>
      <c r="BZ8" s="487"/>
      <c r="CA8" s="487"/>
      <c r="CB8" s="487"/>
      <c r="CC8" s="487"/>
    </row>
    <row r="9" spans="1:254" s="488" customFormat="1" ht="33.75" customHeight="1">
      <c r="A9" s="581" t="s">
        <v>54</v>
      </c>
      <c r="B9" s="582" t="s">
        <v>545</v>
      </c>
      <c r="C9" s="582" t="s">
        <v>103</v>
      </c>
      <c r="D9" s="582" t="s">
        <v>595</v>
      </c>
      <c r="E9" s="542" t="s">
        <v>281</v>
      </c>
      <c r="F9" s="487"/>
      <c r="G9" s="487"/>
      <c r="H9" s="487"/>
      <c r="I9" s="487"/>
      <c r="J9" s="487"/>
      <c r="K9" s="487"/>
      <c r="L9" s="487"/>
      <c r="M9" s="487"/>
      <c r="N9" s="487"/>
      <c r="O9" s="487"/>
      <c r="P9" s="487"/>
      <c r="Q9" s="487"/>
      <c r="R9" s="487"/>
      <c r="S9" s="487"/>
      <c r="T9" s="487"/>
      <c r="U9" s="487"/>
      <c r="V9" s="487"/>
      <c r="W9" s="487"/>
      <c r="X9" s="487"/>
      <c r="Y9" s="487"/>
      <c r="Z9" s="487"/>
      <c r="AA9" s="487"/>
      <c r="AB9" s="487"/>
      <c r="AC9" s="487"/>
      <c r="AD9" s="487"/>
      <c r="AE9" s="487"/>
      <c r="AF9" s="487"/>
      <c r="AG9" s="487"/>
      <c r="AH9" s="487"/>
      <c r="AI9" s="487"/>
      <c r="AJ9" s="487"/>
      <c r="AK9" s="487"/>
      <c r="AL9" s="487"/>
      <c r="AM9" s="487"/>
      <c r="AN9" s="487"/>
      <c r="AO9" s="487"/>
      <c r="AP9" s="487"/>
      <c r="AQ9" s="487"/>
      <c r="AR9" s="487"/>
      <c r="AS9" s="487"/>
      <c r="AT9" s="487"/>
      <c r="AU9" s="487"/>
      <c r="AV9" s="487"/>
      <c r="AW9" s="487"/>
      <c r="AX9" s="487"/>
      <c r="AY9" s="487"/>
      <c r="AZ9" s="487"/>
      <c r="BA9" s="487"/>
      <c r="BB9" s="487"/>
      <c r="BC9" s="487"/>
      <c r="BD9" s="487"/>
      <c r="BE9" s="487"/>
      <c r="BF9" s="487"/>
      <c r="BG9" s="487"/>
      <c r="BH9" s="487"/>
      <c r="BI9" s="487"/>
      <c r="BJ9" s="487"/>
      <c r="BK9" s="487"/>
      <c r="BL9" s="487"/>
      <c r="BM9" s="487"/>
      <c r="BN9" s="487"/>
      <c r="BO9" s="487"/>
      <c r="BP9" s="487"/>
      <c r="BQ9" s="487"/>
      <c r="BR9" s="487"/>
      <c r="BS9" s="487"/>
      <c r="BT9" s="487"/>
      <c r="BU9" s="487"/>
      <c r="BV9" s="487"/>
      <c r="BW9" s="487"/>
      <c r="BX9" s="487"/>
      <c r="BY9" s="487"/>
      <c r="BZ9" s="487"/>
      <c r="CA9" s="487"/>
      <c r="CB9" s="487"/>
      <c r="CC9" s="487"/>
      <c r="CD9" s="582"/>
      <c r="CE9" s="542"/>
      <c r="CF9" s="581"/>
      <c r="CG9" s="582"/>
      <c r="CH9" s="582"/>
      <c r="CI9" s="582"/>
      <c r="CJ9" s="542"/>
      <c r="CK9" s="581"/>
      <c r="CL9" s="582"/>
      <c r="CM9" s="582"/>
      <c r="CN9" s="582"/>
      <c r="CO9" s="542"/>
      <c r="CP9" s="581"/>
      <c r="CQ9" s="582"/>
      <c r="CR9" s="582"/>
      <c r="CS9" s="582"/>
      <c r="CT9" s="542"/>
      <c r="CU9" s="581"/>
      <c r="CV9" s="582"/>
      <c r="CW9" s="582"/>
      <c r="CX9" s="582"/>
      <c r="CY9" s="542"/>
      <c r="CZ9" s="581"/>
      <c r="DA9" s="582"/>
      <c r="DB9" s="582"/>
      <c r="DC9" s="582"/>
      <c r="DD9" s="542"/>
      <c r="DE9" s="581"/>
      <c r="DF9" s="582"/>
      <c r="DG9" s="582"/>
      <c r="DH9" s="582"/>
      <c r="DI9" s="542"/>
      <c r="DJ9" s="581"/>
      <c r="DK9" s="582"/>
      <c r="DL9" s="582"/>
      <c r="DM9" s="582"/>
      <c r="DN9" s="542"/>
      <c r="DO9" s="581"/>
      <c r="DP9" s="582"/>
      <c r="DQ9" s="582"/>
      <c r="DR9" s="582"/>
      <c r="DS9" s="542"/>
      <c r="DT9" s="581"/>
      <c r="DU9" s="582"/>
      <c r="DV9" s="582"/>
      <c r="DW9" s="582"/>
      <c r="DX9" s="542"/>
      <c r="DY9" s="581"/>
      <c r="DZ9" s="582"/>
      <c r="EA9" s="582"/>
      <c r="EB9" s="582"/>
      <c r="EC9" s="542"/>
      <c r="ED9" s="581"/>
      <c r="EE9" s="582"/>
      <c r="EF9" s="582"/>
      <c r="EG9" s="582"/>
      <c r="EH9" s="542"/>
      <c r="EI9" s="581"/>
      <c r="EJ9" s="582"/>
      <c r="EK9" s="582"/>
      <c r="EL9" s="582"/>
      <c r="EM9" s="542"/>
      <c r="EN9" s="581"/>
      <c r="EO9" s="582"/>
      <c r="EP9" s="582"/>
      <c r="EQ9" s="582"/>
      <c r="ER9" s="542"/>
      <c r="ES9" s="581"/>
      <c r="ET9" s="582"/>
      <c r="EU9" s="582"/>
      <c r="EV9" s="582"/>
      <c r="EW9" s="542"/>
      <c r="EX9" s="581"/>
      <c r="EY9" s="582"/>
      <c r="EZ9" s="582"/>
      <c r="FA9" s="582"/>
      <c r="FB9" s="542"/>
      <c r="FC9" s="581"/>
      <c r="FD9" s="582"/>
      <c r="FE9" s="582"/>
      <c r="FF9" s="582"/>
      <c r="FG9" s="542"/>
      <c r="FH9" s="581"/>
      <c r="FI9" s="582"/>
      <c r="FJ9" s="582"/>
      <c r="FK9" s="582"/>
      <c r="FL9" s="542"/>
      <c r="FM9" s="581"/>
      <c r="FN9" s="582"/>
      <c r="FO9" s="582"/>
      <c r="FP9" s="582"/>
      <c r="FQ9" s="542"/>
      <c r="FR9" s="581"/>
      <c r="FS9" s="582"/>
      <c r="FT9" s="582"/>
      <c r="FU9" s="582"/>
      <c r="FV9" s="542"/>
      <c r="FW9" s="581"/>
      <c r="FX9" s="582"/>
      <c r="FY9" s="582"/>
      <c r="FZ9" s="582"/>
      <c r="GA9" s="542"/>
      <c r="GB9" s="581"/>
      <c r="GC9" s="582"/>
      <c r="GD9" s="582"/>
      <c r="GE9" s="582"/>
      <c r="GF9" s="542"/>
      <c r="GG9" s="581"/>
      <c r="GH9" s="582"/>
      <c r="GI9" s="582"/>
      <c r="GJ9" s="582"/>
      <c r="GK9" s="542"/>
      <c r="GL9" s="581"/>
      <c r="GM9" s="582"/>
      <c r="GN9" s="582"/>
      <c r="GO9" s="582"/>
      <c r="GP9" s="542"/>
      <c r="GQ9" s="581"/>
      <c r="GR9" s="582"/>
      <c r="GS9" s="582"/>
      <c r="GT9" s="582"/>
      <c r="GU9" s="542"/>
      <c r="GV9" s="581"/>
      <c r="GW9" s="582"/>
      <c r="GX9" s="582"/>
      <c r="GY9" s="582"/>
      <c r="GZ9" s="542"/>
      <c r="HA9" s="581"/>
      <c r="HB9" s="582"/>
      <c r="HC9" s="582"/>
      <c r="HD9" s="582"/>
      <c r="HE9" s="542"/>
      <c r="HF9" s="581"/>
      <c r="HG9" s="582"/>
      <c r="HH9" s="582"/>
      <c r="HI9" s="582"/>
      <c r="HJ9" s="542"/>
      <c r="HK9" s="581"/>
      <c r="HL9" s="582"/>
      <c r="HM9" s="582"/>
      <c r="HN9" s="582"/>
      <c r="HO9" s="542"/>
      <c r="HP9" s="581"/>
      <c r="HQ9" s="582"/>
      <c r="HR9" s="582"/>
      <c r="HS9" s="582"/>
      <c r="HT9" s="542"/>
      <c r="HU9" s="581"/>
      <c r="HV9" s="582"/>
      <c r="HW9" s="582"/>
      <c r="HX9" s="582"/>
      <c r="HY9" s="542"/>
      <c r="HZ9" s="581"/>
      <c r="IA9" s="582"/>
      <c r="IB9" s="582"/>
      <c r="IC9" s="582"/>
      <c r="ID9" s="542"/>
      <c r="IE9" s="581"/>
      <c r="IF9" s="582"/>
      <c r="IG9" s="582"/>
      <c r="IH9" s="582"/>
      <c r="II9" s="542"/>
      <c r="IJ9" s="581"/>
      <c r="IK9" s="582"/>
      <c r="IL9" s="582"/>
      <c r="IM9" s="582"/>
      <c r="IN9" s="542"/>
      <c r="IO9" s="581"/>
      <c r="IP9" s="582"/>
      <c r="IQ9" s="582"/>
      <c r="IR9" s="582"/>
      <c r="IS9" s="542"/>
      <c r="IT9" s="581"/>
    </row>
    <row r="10" spans="1:5" ht="11.25">
      <c r="A10" s="610">
        <v>1</v>
      </c>
      <c r="B10" s="611">
        <v>2</v>
      </c>
      <c r="C10" s="611">
        <v>3</v>
      </c>
      <c r="D10" s="612">
        <v>4</v>
      </c>
      <c r="E10" s="613">
        <v>5</v>
      </c>
    </row>
    <row r="11" spans="1:5" s="488" customFormat="1" ht="12.75" customHeight="1">
      <c r="A11" s="550" t="s">
        <v>285</v>
      </c>
      <c r="B11" s="547">
        <v>51147</v>
      </c>
      <c r="C11" s="547">
        <v>36531</v>
      </c>
      <c r="D11" s="510">
        <f aca="true" t="shared" si="0" ref="D11:D40">C11/B11*100</f>
        <v>71.4235439028682</v>
      </c>
      <c r="E11" s="549">
        <v>3722</v>
      </c>
    </row>
    <row r="12" spans="1:5" s="488" customFormat="1" ht="12.75">
      <c r="A12" s="550" t="s">
        <v>656</v>
      </c>
      <c r="B12" s="547">
        <f>B13+B32</f>
        <v>62659</v>
      </c>
      <c r="C12" s="547">
        <f>C13+C32</f>
        <v>32084</v>
      </c>
      <c r="D12" s="510">
        <f t="shared" si="0"/>
        <v>51.204136676295505</v>
      </c>
      <c r="E12" s="549">
        <f>E13+E32</f>
        <v>4254</v>
      </c>
    </row>
    <row r="13" spans="1:5" s="565" customFormat="1" ht="11.25" customHeight="1">
      <c r="A13" s="583" t="s">
        <v>293</v>
      </c>
      <c r="B13" s="547">
        <f>B14+B25+B26</f>
        <v>45090</v>
      </c>
      <c r="C13" s="547">
        <f>C14+C25+C26</f>
        <v>22177</v>
      </c>
      <c r="D13" s="510">
        <f t="shared" si="0"/>
        <v>49.18385451319583</v>
      </c>
      <c r="E13" s="549">
        <f>E14+E25+E26</f>
        <v>2458</v>
      </c>
    </row>
    <row r="14" spans="1:5" s="565" customFormat="1" ht="11.25" customHeight="1">
      <c r="A14" s="600" t="s">
        <v>294</v>
      </c>
      <c r="B14" s="547">
        <f>B16+B17+B22</f>
        <v>27003</v>
      </c>
      <c r="C14" s="547">
        <f>C16+C17+C22</f>
        <v>15575</v>
      </c>
      <c r="D14" s="510">
        <f t="shared" si="0"/>
        <v>57.67877643224827</v>
      </c>
      <c r="E14" s="549">
        <f>E16+E17+E22</f>
        <v>1727</v>
      </c>
    </row>
    <row r="15" spans="1:5" s="565" customFormat="1" ht="11.25" customHeight="1" hidden="1">
      <c r="A15" s="586" t="s">
        <v>694</v>
      </c>
      <c r="B15" s="547">
        <v>2980</v>
      </c>
      <c r="C15" s="547">
        <v>1885</v>
      </c>
      <c r="D15" s="510">
        <f t="shared" si="0"/>
        <v>63.25503355704698</v>
      </c>
      <c r="E15" s="549">
        <v>221</v>
      </c>
    </row>
    <row r="16" spans="1:5" ht="12">
      <c r="A16" s="586" t="s">
        <v>657</v>
      </c>
      <c r="B16" s="547">
        <v>2980</v>
      </c>
      <c r="C16" s="547">
        <v>1885</v>
      </c>
      <c r="D16" s="510">
        <f t="shared" si="0"/>
        <v>63.25503355704698</v>
      </c>
      <c r="E16" s="549">
        <v>221</v>
      </c>
    </row>
    <row r="17" spans="1:5" ht="12">
      <c r="A17" s="586" t="s">
        <v>658</v>
      </c>
      <c r="B17" s="547">
        <v>796</v>
      </c>
      <c r="C17" s="547">
        <v>457</v>
      </c>
      <c r="D17" s="510">
        <f t="shared" si="0"/>
        <v>57.41206030150754</v>
      </c>
      <c r="E17" s="549">
        <v>63</v>
      </c>
    </row>
    <row r="18" spans="1:5" ht="12" hidden="1">
      <c r="A18" s="586" t="s">
        <v>659</v>
      </c>
      <c r="B18" s="547">
        <v>20422</v>
      </c>
      <c r="C18" s="547">
        <v>11730</v>
      </c>
      <c r="D18" s="510">
        <f t="shared" si="0"/>
        <v>57.438056997355794</v>
      </c>
      <c r="E18" s="549">
        <v>1277</v>
      </c>
    </row>
    <row r="19" spans="1:5" ht="12" hidden="1">
      <c r="A19" s="586" t="s">
        <v>660</v>
      </c>
      <c r="B19" s="547">
        <v>2441</v>
      </c>
      <c r="C19" s="547">
        <v>1333</v>
      </c>
      <c r="D19" s="510">
        <f t="shared" si="0"/>
        <v>54.608766898811965</v>
      </c>
      <c r="E19" s="549">
        <v>154</v>
      </c>
    </row>
    <row r="20" spans="1:5" ht="12" hidden="1">
      <c r="A20" s="586" t="s">
        <v>661</v>
      </c>
      <c r="B20" s="547">
        <v>73</v>
      </c>
      <c r="C20" s="547">
        <v>37</v>
      </c>
      <c r="D20" s="510">
        <f t="shared" si="0"/>
        <v>50.68493150684932</v>
      </c>
      <c r="E20" s="549">
        <v>10</v>
      </c>
    </row>
    <row r="21" spans="1:5" ht="12" hidden="1">
      <c r="A21" s="586" t="s">
        <v>662</v>
      </c>
      <c r="B21" s="547">
        <v>38</v>
      </c>
      <c r="C21" s="547">
        <v>33</v>
      </c>
      <c r="D21" s="510">
        <f t="shared" si="0"/>
        <v>86.8421052631579</v>
      </c>
      <c r="E21" s="549">
        <v>1</v>
      </c>
    </row>
    <row r="22" spans="1:5" ht="12">
      <c r="A22" s="586" t="s">
        <v>663</v>
      </c>
      <c r="B22" s="547">
        <f>SUM(B23:B24)</f>
        <v>23227</v>
      </c>
      <c r="C22" s="547">
        <f>SUM(C23:C24)</f>
        <v>13233</v>
      </c>
      <c r="D22" s="510">
        <f t="shared" si="0"/>
        <v>56.97248891376415</v>
      </c>
      <c r="E22" s="549">
        <f>SUM(E23:E24)</f>
        <v>1443</v>
      </c>
    </row>
    <row r="23" spans="1:5" ht="12">
      <c r="A23" s="601" t="s">
        <v>664</v>
      </c>
      <c r="B23" s="547">
        <v>22863</v>
      </c>
      <c r="C23" s="547">
        <v>13063</v>
      </c>
      <c r="D23" s="510">
        <f t="shared" si="0"/>
        <v>57.135983904124565</v>
      </c>
      <c r="E23" s="549">
        <v>1431</v>
      </c>
    </row>
    <row r="24" spans="1:5" ht="12">
      <c r="A24" s="601" t="s">
        <v>695</v>
      </c>
      <c r="B24" s="547">
        <v>364</v>
      </c>
      <c r="C24" s="547">
        <v>170</v>
      </c>
      <c r="D24" s="510">
        <f t="shared" si="0"/>
        <v>46.7032967032967</v>
      </c>
      <c r="E24" s="549">
        <v>12</v>
      </c>
    </row>
    <row r="25" spans="1:5" ht="12">
      <c r="A25" s="600" t="s">
        <v>666</v>
      </c>
      <c r="B25" s="547">
        <v>38</v>
      </c>
      <c r="C25" s="547">
        <v>33</v>
      </c>
      <c r="D25" s="510">
        <f t="shared" si="0"/>
        <v>86.8421052631579</v>
      </c>
      <c r="E25" s="549">
        <v>1</v>
      </c>
    </row>
    <row r="26" spans="1:5" ht="12">
      <c r="A26" s="600" t="s">
        <v>303</v>
      </c>
      <c r="B26" s="547">
        <f>SUM(B27:B31)</f>
        <v>18049</v>
      </c>
      <c r="C26" s="547">
        <f>SUM(C27:C31)</f>
        <v>6569</v>
      </c>
      <c r="D26" s="510">
        <f t="shared" si="0"/>
        <v>36.395368164441244</v>
      </c>
      <c r="E26" s="549">
        <f>SUM(E27:E31)</f>
        <v>730</v>
      </c>
    </row>
    <row r="27" spans="1:5" ht="12">
      <c r="A27" s="586" t="s">
        <v>667</v>
      </c>
      <c r="B27" s="547">
        <v>130</v>
      </c>
      <c r="C27" s="547">
        <v>98</v>
      </c>
      <c r="D27" s="510">
        <f t="shared" si="0"/>
        <v>75.38461538461539</v>
      </c>
      <c r="E27" s="549">
        <v>13</v>
      </c>
    </row>
    <row r="28" spans="1:5" ht="12">
      <c r="A28" s="586" t="s">
        <v>668</v>
      </c>
      <c r="B28" s="547">
        <v>283</v>
      </c>
      <c r="C28" s="547">
        <v>93</v>
      </c>
      <c r="D28" s="510">
        <f t="shared" si="0"/>
        <v>32.86219081272085</v>
      </c>
      <c r="E28" s="549">
        <v>72</v>
      </c>
    </row>
    <row r="29" spans="1:5" ht="12">
      <c r="A29" s="586" t="s">
        <v>669</v>
      </c>
      <c r="B29" s="547">
        <v>321</v>
      </c>
      <c r="C29" s="547">
        <v>167</v>
      </c>
      <c r="D29" s="510">
        <f t="shared" si="0"/>
        <v>52.024922118380054</v>
      </c>
      <c r="E29" s="549">
        <v>-3</v>
      </c>
    </row>
    <row r="30" spans="1:5" ht="12">
      <c r="A30" s="586" t="s">
        <v>670</v>
      </c>
      <c r="B30" s="547">
        <v>14766</v>
      </c>
      <c r="C30" s="547">
        <v>4519</v>
      </c>
      <c r="D30" s="510">
        <f t="shared" si="0"/>
        <v>30.60409047812542</v>
      </c>
      <c r="E30" s="549">
        <v>368</v>
      </c>
    </row>
    <row r="31" spans="1:5" ht="12">
      <c r="A31" s="586" t="s">
        <v>671</v>
      </c>
      <c r="B31" s="547">
        <v>2549</v>
      </c>
      <c r="C31" s="547">
        <v>1692</v>
      </c>
      <c r="D31" s="510">
        <f t="shared" si="0"/>
        <v>66.37897214593958</v>
      </c>
      <c r="E31" s="549">
        <v>280</v>
      </c>
    </row>
    <row r="32" spans="1:7" s="565" customFormat="1" ht="11.25" customHeight="1">
      <c r="A32" s="583" t="s">
        <v>672</v>
      </c>
      <c r="B32" s="547">
        <f>B33+B36</f>
        <v>17569</v>
      </c>
      <c r="C32" s="547">
        <f>C33+C36</f>
        <v>9907</v>
      </c>
      <c r="D32" s="510">
        <f t="shared" si="0"/>
        <v>56.38909442768513</v>
      </c>
      <c r="E32" s="549">
        <f>E33+E36</f>
        <v>1796</v>
      </c>
      <c r="F32" s="487"/>
      <c r="G32" s="487"/>
    </row>
    <row r="33" spans="1:7" s="565" customFormat="1" ht="11.25" customHeight="1">
      <c r="A33" s="621" t="s">
        <v>324</v>
      </c>
      <c r="B33" s="547">
        <v>15956</v>
      </c>
      <c r="C33" s="547">
        <v>9454</v>
      </c>
      <c r="D33" s="510">
        <f t="shared" si="0"/>
        <v>59.25043870644272</v>
      </c>
      <c r="E33" s="549">
        <v>1725</v>
      </c>
      <c r="F33" s="487"/>
      <c r="G33" s="487"/>
    </row>
    <row r="34" spans="1:5" ht="12" hidden="1">
      <c r="A34" s="622" t="s">
        <v>324</v>
      </c>
      <c r="B34" s="547">
        <v>890</v>
      </c>
      <c r="C34" s="547">
        <v>783</v>
      </c>
      <c r="D34" s="510">
        <f t="shared" si="0"/>
        <v>87.97752808988764</v>
      </c>
      <c r="E34" s="549">
        <v>1758</v>
      </c>
    </row>
    <row r="35" spans="1:5" ht="12" hidden="1">
      <c r="A35" s="586" t="s">
        <v>673</v>
      </c>
      <c r="B35" s="547">
        <v>400688</v>
      </c>
      <c r="C35" s="547">
        <v>275771</v>
      </c>
      <c r="D35" s="510">
        <f t="shared" si="0"/>
        <v>68.82437208002237</v>
      </c>
      <c r="E35" s="549">
        <v>1758</v>
      </c>
    </row>
    <row r="36" spans="1:5" ht="12">
      <c r="A36" s="621" t="s">
        <v>326</v>
      </c>
      <c r="B36" s="547">
        <v>1613</v>
      </c>
      <c r="C36" s="547">
        <v>453</v>
      </c>
      <c r="D36" s="510">
        <f t="shared" si="0"/>
        <v>28.084314941103532</v>
      </c>
      <c r="E36" s="549">
        <v>71</v>
      </c>
    </row>
    <row r="37" spans="1:7" s="565" customFormat="1" ht="11.25" customHeight="1">
      <c r="A37" s="583" t="s">
        <v>674</v>
      </c>
      <c r="B37" s="547">
        <f>B38-B39</f>
        <v>-2605</v>
      </c>
      <c r="C37" s="547">
        <f>C38-C39</f>
        <v>-904</v>
      </c>
      <c r="D37" s="510">
        <f t="shared" si="0"/>
        <v>34.70249520153551</v>
      </c>
      <c r="E37" s="549">
        <f>E38-E39</f>
        <v>-3431</v>
      </c>
      <c r="F37" s="487"/>
      <c r="G37" s="487"/>
    </row>
    <row r="38" spans="1:5" ht="12.75" customHeight="1">
      <c r="A38" s="586" t="s">
        <v>675</v>
      </c>
      <c r="B38" s="547">
        <v>3601</v>
      </c>
      <c r="C38" s="547">
        <v>2730</v>
      </c>
      <c r="D38" s="510">
        <f t="shared" si="0"/>
        <v>75.81227436823104</v>
      </c>
      <c r="E38" s="549">
        <v>-583</v>
      </c>
    </row>
    <row r="39" spans="1:5" ht="12.75" customHeight="1">
      <c r="A39" s="588" t="s">
        <v>676</v>
      </c>
      <c r="B39" s="560">
        <v>6206</v>
      </c>
      <c r="C39" s="560">
        <v>3634</v>
      </c>
      <c r="D39" s="521">
        <f t="shared" si="0"/>
        <v>58.556235900741214</v>
      </c>
      <c r="E39" s="562">
        <v>2848</v>
      </c>
    </row>
    <row r="40" spans="1:5" ht="12.75" customHeight="1">
      <c r="A40" s="623" t="s">
        <v>456</v>
      </c>
      <c r="B40" s="624">
        <f>B11-B12-B37</f>
        <v>-8907</v>
      </c>
      <c r="C40" s="624">
        <f>C11-C12-C37</f>
        <v>5351</v>
      </c>
      <c r="D40" s="625">
        <f t="shared" si="0"/>
        <v>-60.07634444818682</v>
      </c>
      <c r="E40" s="626">
        <f>E11-E12-E37</f>
        <v>2899</v>
      </c>
    </row>
    <row r="41" spans="1:4" ht="12">
      <c r="A41" s="572"/>
      <c r="B41" s="592"/>
      <c r="C41" s="592"/>
      <c r="D41" s="627"/>
    </row>
    <row r="42" ht="11.25">
      <c r="A42" s="597"/>
    </row>
    <row r="43" spans="1:7" s="571" customFormat="1" ht="12">
      <c r="A43" s="597"/>
      <c r="B43" s="487"/>
      <c r="C43" s="487"/>
      <c r="D43" s="487"/>
      <c r="E43" s="487"/>
      <c r="F43" s="487"/>
      <c r="G43" s="487"/>
    </row>
    <row r="44" spans="1:7" s="571" customFormat="1" ht="12">
      <c r="A44" s="572"/>
      <c r="B44" s="487"/>
      <c r="C44" s="487"/>
      <c r="D44" s="487"/>
      <c r="E44" s="487"/>
      <c r="F44" s="487"/>
      <c r="G44" s="487"/>
    </row>
    <row r="45" spans="1:254" s="488" customFormat="1" ht="12.75">
      <c r="A45" s="569" t="s">
        <v>628</v>
      </c>
      <c r="B45" s="569"/>
      <c r="C45" s="570"/>
      <c r="D45" s="628"/>
      <c r="E45" s="620" t="s">
        <v>589</v>
      </c>
      <c r="F45" s="487"/>
      <c r="G45" s="487"/>
      <c r="H45" s="596"/>
      <c r="I45" s="629"/>
      <c r="J45" s="629"/>
      <c r="K45" s="630"/>
      <c r="L45" s="487"/>
      <c r="M45" s="569"/>
      <c r="N45" s="569"/>
      <c r="O45" s="571"/>
      <c r="P45" s="571"/>
      <c r="Q45" s="571"/>
      <c r="R45" s="571"/>
      <c r="S45" s="487"/>
      <c r="T45" s="569"/>
      <c r="U45" s="569"/>
      <c r="V45" s="596"/>
      <c r="W45" s="631"/>
      <c r="X45" s="631"/>
      <c r="Y45" s="630"/>
      <c r="Z45" s="487"/>
      <c r="AA45" s="569"/>
      <c r="AB45" s="569"/>
      <c r="AC45" s="596"/>
      <c r="AD45" s="631"/>
      <c r="AE45" s="631"/>
      <c r="AF45" s="630"/>
      <c r="AG45" s="487"/>
      <c r="AH45" s="569"/>
      <c r="AI45" s="569"/>
      <c r="AJ45" s="596"/>
      <c r="AK45" s="631"/>
      <c r="AL45" s="631"/>
      <c r="AM45" s="630"/>
      <c r="AN45" s="487"/>
      <c r="AO45" s="569"/>
      <c r="AP45" s="569"/>
      <c r="AQ45" s="596"/>
      <c r="AR45" s="631"/>
      <c r="AS45" s="631"/>
      <c r="AT45" s="630"/>
      <c r="AU45" s="487"/>
      <c r="AV45" s="569"/>
      <c r="AW45" s="569"/>
      <c r="AX45" s="596"/>
      <c r="AY45" s="631"/>
      <c r="AZ45" s="631"/>
      <c r="BA45" s="630"/>
      <c r="BB45" s="487"/>
      <c r="BC45" s="569"/>
      <c r="BD45" s="569"/>
      <c r="BE45" s="596"/>
      <c r="BF45" s="631"/>
      <c r="BG45" s="631"/>
      <c r="BH45" s="630"/>
      <c r="BI45" s="487"/>
      <c r="BJ45" s="569"/>
      <c r="BK45" s="569"/>
      <c r="BL45" s="596"/>
      <c r="BM45" s="631"/>
      <c r="BN45" s="631"/>
      <c r="BO45" s="630"/>
      <c r="BP45" s="487"/>
      <c r="BQ45" s="569"/>
      <c r="BR45" s="569"/>
      <c r="BS45" s="596"/>
      <c r="BT45" s="631"/>
      <c r="BU45" s="631"/>
      <c r="BV45" s="630"/>
      <c r="BW45" s="487"/>
      <c r="BX45" s="569"/>
      <c r="BY45" s="569"/>
      <c r="BZ45" s="596"/>
      <c r="CA45" s="631"/>
      <c r="CB45" s="631"/>
      <c r="CC45" s="630"/>
      <c r="CD45" s="487"/>
      <c r="CE45" s="569"/>
      <c r="CF45" s="569"/>
      <c r="CG45" s="596"/>
      <c r="CH45" s="631"/>
      <c r="CI45" s="631"/>
      <c r="CJ45" s="630"/>
      <c r="CK45" s="487"/>
      <c r="CL45" s="569"/>
      <c r="CM45" s="569"/>
      <c r="CN45" s="596"/>
      <c r="CO45" s="631"/>
      <c r="CP45" s="631"/>
      <c r="CQ45" s="630"/>
      <c r="CR45" s="487"/>
      <c r="CS45" s="569"/>
      <c r="CT45" s="569"/>
      <c r="CU45" s="596"/>
      <c r="CV45" s="631"/>
      <c r="CW45" s="631"/>
      <c r="CX45" s="630"/>
      <c r="CY45" s="487"/>
      <c r="CZ45" s="569"/>
      <c r="DA45" s="569"/>
      <c r="DB45" s="596"/>
      <c r="DC45" s="631"/>
      <c r="DD45" s="631"/>
      <c r="DE45" s="630"/>
      <c r="DF45" s="487"/>
      <c r="DG45" s="569"/>
      <c r="DH45" s="569"/>
      <c r="DI45" s="596"/>
      <c r="DJ45" s="631"/>
      <c r="DK45" s="631"/>
      <c r="DL45" s="630"/>
      <c r="DM45" s="487"/>
      <c r="DN45" s="569"/>
      <c r="DO45" s="569"/>
      <c r="DP45" s="596"/>
      <c r="DQ45" s="631"/>
      <c r="DR45" s="631"/>
      <c r="DS45" s="630"/>
      <c r="DT45" s="487"/>
      <c r="DU45" s="569"/>
      <c r="DV45" s="569"/>
      <c r="DW45" s="596"/>
      <c r="DX45" s="631"/>
      <c r="DY45" s="631"/>
      <c r="DZ45" s="630"/>
      <c r="EA45" s="487"/>
      <c r="EB45" s="569"/>
      <c r="EC45" s="569"/>
      <c r="ED45" s="596"/>
      <c r="EE45" s="631"/>
      <c r="EF45" s="631"/>
      <c r="EG45" s="630"/>
      <c r="EH45" s="487"/>
      <c r="EI45" s="569"/>
      <c r="EJ45" s="569"/>
      <c r="EK45" s="596"/>
      <c r="EL45" s="631"/>
      <c r="EM45" s="631"/>
      <c r="EN45" s="630"/>
      <c r="EO45" s="487"/>
      <c r="EP45" s="569"/>
      <c r="EQ45" s="569"/>
      <c r="ER45" s="596"/>
      <c r="ES45" s="631"/>
      <c r="ET45" s="631"/>
      <c r="EU45" s="630"/>
      <c r="EV45" s="487"/>
      <c r="EW45" s="569"/>
      <c r="EX45" s="569"/>
      <c r="EY45" s="596"/>
      <c r="EZ45" s="631"/>
      <c r="FA45" s="631"/>
      <c r="FB45" s="630"/>
      <c r="FC45" s="487"/>
      <c r="FD45" s="569"/>
      <c r="FE45" s="569"/>
      <c r="FF45" s="596"/>
      <c r="FG45" s="631"/>
      <c r="FH45" s="631"/>
      <c r="FI45" s="630"/>
      <c r="FJ45" s="487"/>
      <c r="FK45" s="569"/>
      <c r="FL45" s="569"/>
      <c r="FM45" s="596"/>
      <c r="FN45" s="631"/>
      <c r="FO45" s="631"/>
      <c r="FP45" s="630"/>
      <c r="FQ45" s="487"/>
      <c r="FR45" s="569"/>
      <c r="FS45" s="569"/>
      <c r="FT45" s="596"/>
      <c r="FU45" s="631"/>
      <c r="FV45" s="631"/>
      <c r="FW45" s="630"/>
      <c r="FX45" s="487"/>
      <c r="FY45" s="569"/>
      <c r="FZ45" s="569"/>
      <c r="GA45" s="596"/>
      <c r="GB45" s="631"/>
      <c r="GC45" s="631"/>
      <c r="GD45" s="630"/>
      <c r="GE45" s="487"/>
      <c r="GF45" s="569"/>
      <c r="GG45" s="569"/>
      <c r="GH45" s="596"/>
      <c r="GI45" s="631"/>
      <c r="GJ45" s="631"/>
      <c r="GK45" s="630"/>
      <c r="GL45" s="487"/>
      <c r="GM45" s="569"/>
      <c r="GN45" s="569"/>
      <c r="GO45" s="596"/>
      <c r="GP45" s="631"/>
      <c r="GQ45" s="631"/>
      <c r="GR45" s="630"/>
      <c r="GS45" s="487"/>
      <c r="GT45" s="569"/>
      <c r="GU45" s="569"/>
      <c r="GV45" s="596"/>
      <c r="GW45" s="631"/>
      <c r="GX45" s="631"/>
      <c r="GY45" s="630"/>
      <c r="GZ45" s="487"/>
      <c r="HA45" s="569"/>
      <c r="HB45" s="569"/>
      <c r="HC45" s="596"/>
      <c r="HD45" s="631"/>
      <c r="HE45" s="631"/>
      <c r="HF45" s="630"/>
      <c r="HG45" s="487"/>
      <c r="HH45" s="569"/>
      <c r="HI45" s="569"/>
      <c r="HJ45" s="596"/>
      <c r="HK45" s="631"/>
      <c r="HL45" s="631"/>
      <c r="HM45" s="630"/>
      <c r="HN45" s="487"/>
      <c r="HO45" s="569"/>
      <c r="HP45" s="569"/>
      <c r="HQ45" s="596"/>
      <c r="HR45" s="631"/>
      <c r="HS45" s="631"/>
      <c r="HT45" s="630"/>
      <c r="HU45" s="487"/>
      <c r="HV45" s="569"/>
      <c r="HW45" s="569"/>
      <c r="HX45" s="596"/>
      <c r="HY45" s="631"/>
      <c r="HZ45" s="631"/>
      <c r="IA45" s="630"/>
      <c r="IB45" s="487"/>
      <c r="IC45" s="569"/>
      <c r="ID45" s="569"/>
      <c r="IE45" s="596"/>
      <c r="IF45" s="631"/>
      <c r="IG45" s="631"/>
      <c r="IH45" s="630"/>
      <c r="II45" s="487"/>
      <c r="IJ45" s="569"/>
      <c r="IK45" s="569"/>
      <c r="IL45" s="596"/>
      <c r="IM45" s="631"/>
      <c r="IN45" s="631"/>
      <c r="IO45" s="630"/>
      <c r="IP45" s="487"/>
      <c r="IQ45" s="569"/>
      <c r="IR45" s="569"/>
      <c r="IS45" s="596"/>
      <c r="IT45" s="631"/>
    </row>
    <row r="46" spans="2:253" s="569" customFormat="1" ht="16.5" customHeight="1">
      <c r="B46" s="564"/>
      <c r="C46" s="564"/>
      <c r="D46" s="487"/>
      <c r="E46" s="487"/>
      <c r="F46" s="487"/>
      <c r="G46" s="487"/>
      <c r="H46" s="596"/>
      <c r="I46" s="571"/>
      <c r="J46" s="596"/>
      <c r="K46" s="596"/>
      <c r="M46" s="571"/>
      <c r="O46" s="596"/>
      <c r="P46" s="571"/>
      <c r="Q46" s="596"/>
      <c r="R46" s="596"/>
      <c r="T46" s="571"/>
      <c r="V46" s="596"/>
      <c r="W46" s="571"/>
      <c r="X46" s="596"/>
      <c r="Y46" s="596"/>
      <c r="AA46" s="571"/>
      <c r="AC46" s="596"/>
      <c r="AD46" s="571"/>
      <c r="AE46" s="596"/>
      <c r="AF46" s="596"/>
      <c r="AH46" s="571"/>
      <c r="AJ46" s="596"/>
      <c r="AK46" s="571"/>
      <c r="AL46" s="596"/>
      <c r="AM46" s="596"/>
      <c r="AO46" s="571"/>
      <c r="AQ46" s="596"/>
      <c r="AR46" s="571"/>
      <c r="AS46" s="596"/>
      <c r="AT46" s="596"/>
      <c r="AV46" s="571"/>
      <c r="AX46" s="596"/>
      <c r="AY46" s="571"/>
      <c r="AZ46" s="596"/>
      <c r="BA46" s="596"/>
      <c r="BC46" s="571"/>
      <c r="BE46" s="596"/>
      <c r="BF46" s="571"/>
      <c r="BG46" s="596"/>
      <c r="BH46" s="596"/>
      <c r="BJ46" s="571"/>
      <c r="BL46" s="596"/>
      <c r="BM46" s="571"/>
      <c r="BN46" s="596"/>
      <c r="BO46" s="596"/>
      <c r="BQ46" s="571"/>
      <c r="BS46" s="596"/>
      <c r="BT46" s="571"/>
      <c r="BU46" s="596"/>
      <c r="BV46" s="596"/>
      <c r="BX46" s="571"/>
      <c r="BZ46" s="596"/>
      <c r="CA46" s="571"/>
      <c r="CB46" s="596"/>
      <c r="CC46" s="596"/>
      <c r="CE46" s="571"/>
      <c r="CG46" s="596"/>
      <c r="CH46" s="571"/>
      <c r="CI46" s="596"/>
      <c r="CJ46" s="596"/>
      <c r="CL46" s="571"/>
      <c r="CN46" s="596"/>
      <c r="CO46" s="571"/>
      <c r="CP46" s="596"/>
      <c r="CQ46" s="596"/>
      <c r="CS46" s="571"/>
      <c r="CU46" s="596"/>
      <c r="CV46" s="571"/>
      <c r="CW46" s="596"/>
      <c r="CX46" s="596"/>
      <c r="CZ46" s="571"/>
      <c r="DB46" s="596"/>
      <c r="DC46" s="571"/>
      <c r="DD46" s="596"/>
      <c r="DE46" s="596"/>
      <c r="DG46" s="571"/>
      <c r="DI46" s="596"/>
      <c r="DJ46" s="571"/>
      <c r="DK46" s="596"/>
      <c r="DL46" s="596"/>
      <c r="DN46" s="571"/>
      <c r="DP46" s="596"/>
      <c r="DQ46" s="571"/>
      <c r="DR46" s="596"/>
      <c r="DS46" s="596"/>
      <c r="DU46" s="571"/>
      <c r="DW46" s="596"/>
      <c r="DX46" s="571"/>
      <c r="DY46" s="596"/>
      <c r="DZ46" s="596"/>
      <c r="EB46" s="571"/>
      <c r="ED46" s="596"/>
      <c r="EE46" s="571"/>
      <c r="EF46" s="596"/>
      <c r="EG46" s="596"/>
      <c r="EI46" s="571"/>
      <c r="EK46" s="596"/>
      <c r="EL46" s="571"/>
      <c r="EM46" s="596"/>
      <c r="EN46" s="596"/>
      <c r="EP46" s="571"/>
      <c r="ER46" s="596"/>
      <c r="ES46" s="571"/>
      <c r="ET46" s="596"/>
      <c r="EU46" s="596"/>
      <c r="EW46" s="571"/>
      <c r="EY46" s="596"/>
      <c r="EZ46" s="571"/>
      <c r="FA46" s="596"/>
      <c r="FB46" s="596"/>
      <c r="FD46" s="571"/>
      <c r="FF46" s="596"/>
      <c r="FG46" s="571"/>
      <c r="FH46" s="596"/>
      <c r="FI46" s="596"/>
      <c r="FK46" s="571"/>
      <c r="FM46" s="596"/>
      <c r="FN46" s="571"/>
      <c r="FO46" s="596"/>
      <c r="FP46" s="596"/>
      <c r="FR46" s="571"/>
      <c r="FT46" s="596"/>
      <c r="FU46" s="571"/>
      <c r="FV46" s="596"/>
      <c r="FW46" s="596"/>
      <c r="FY46" s="571"/>
      <c r="GA46" s="596"/>
      <c r="GB46" s="571"/>
      <c r="GC46" s="596"/>
      <c r="GD46" s="596"/>
      <c r="GF46" s="571"/>
      <c r="GH46" s="596"/>
      <c r="GI46" s="571"/>
      <c r="GJ46" s="596"/>
      <c r="GK46" s="596"/>
      <c r="GM46" s="571"/>
      <c r="GO46" s="596"/>
      <c r="GP46" s="571"/>
      <c r="GQ46" s="596"/>
      <c r="GR46" s="596"/>
      <c r="GT46" s="571"/>
      <c r="GV46" s="596"/>
      <c r="GW46" s="571"/>
      <c r="GX46" s="596"/>
      <c r="GY46" s="596"/>
      <c r="HA46" s="571"/>
      <c r="HC46" s="596"/>
      <c r="HD46" s="571"/>
      <c r="HE46" s="596"/>
      <c r="HF46" s="596"/>
      <c r="HH46" s="571"/>
      <c r="HJ46" s="596"/>
      <c r="HK46" s="571"/>
      <c r="HL46" s="596"/>
      <c r="HM46" s="596"/>
      <c r="HO46" s="571"/>
      <c r="HQ46" s="596"/>
      <c r="HR46" s="571"/>
      <c r="HS46" s="596"/>
      <c r="HT46" s="596"/>
      <c r="HV46" s="571"/>
      <c r="HX46" s="596"/>
      <c r="HY46" s="571"/>
      <c r="HZ46" s="596"/>
      <c r="IA46" s="596"/>
      <c r="IC46" s="571"/>
      <c r="IE46" s="596"/>
      <c r="IF46" s="571"/>
      <c r="IG46" s="596"/>
      <c r="IH46" s="596"/>
      <c r="IJ46" s="571"/>
      <c r="IL46" s="596"/>
      <c r="IM46" s="571"/>
      <c r="IN46" s="596"/>
      <c r="IO46" s="596"/>
      <c r="IQ46" s="571"/>
      <c r="IS46" s="596"/>
    </row>
    <row r="47" spans="1:7" s="571" customFormat="1" ht="12.75">
      <c r="A47" s="597"/>
      <c r="B47" s="632"/>
      <c r="C47" s="632"/>
      <c r="D47" s="487"/>
      <c r="E47" s="487"/>
      <c r="F47" s="487"/>
      <c r="G47" s="487"/>
    </row>
    <row r="48" spans="1:7" s="488" customFormat="1" ht="12.75">
      <c r="A48" s="633"/>
      <c r="D48" s="487"/>
      <c r="E48" s="487"/>
      <c r="F48" s="487"/>
      <c r="G48" s="487"/>
    </row>
    <row r="49" spans="1:7" s="488" customFormat="1" ht="12.75">
      <c r="A49" s="567"/>
      <c r="B49" s="567"/>
      <c r="C49" s="567"/>
      <c r="D49" s="487"/>
      <c r="E49" s="487"/>
      <c r="F49" s="487"/>
      <c r="G49" s="487"/>
    </row>
    <row r="57" spans="4:7" ht="11.25">
      <c r="D57" s="487">
        <v>0</v>
      </c>
      <c r="E57" s="487">
        <v>0</v>
      </c>
      <c r="F57" s="487">
        <v>0</v>
      </c>
      <c r="G57" s="487">
        <v>0</v>
      </c>
    </row>
    <row r="58" spans="4:7" ht="11.25">
      <c r="D58" s="487">
        <v>0</v>
      </c>
      <c r="E58" s="487">
        <v>0</v>
      </c>
      <c r="F58" s="487">
        <v>0</v>
      </c>
      <c r="G58" s="487">
        <v>0</v>
      </c>
    </row>
    <row r="59" spans="4:7" ht="11.25">
      <c r="D59" s="487">
        <v>0</v>
      </c>
      <c r="E59" s="487">
        <v>0</v>
      </c>
      <c r="F59" s="487">
        <v>0</v>
      </c>
      <c r="G59" s="487">
        <v>0</v>
      </c>
    </row>
  </sheetData>
  <printOptions/>
  <pageMargins left="0.7480314960629921" right="0.15748031496062992" top="1.46" bottom="0.984251968503937" header="0" footer="0"/>
  <pageSetup firstPageNumber="30" useFirstPageNumber="1" horizontalDpi="600" verticalDpi="600" orientation="portrait" paperSize="9" r:id="rId1"/>
  <headerFooter alignWithMargins="0">
    <oddFooter>&amp;L&amp;"Arial,Regular"&amp;8Valsts kase / Pārskatu departaments
15.09.00.
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0"/>
  <dimension ref="A1:P68"/>
  <sheetViews>
    <sheetView showGridLines="0" showZeros="0" workbookViewId="0" topLeftCell="E1">
      <selection activeCell="A17" sqref="A17"/>
    </sheetView>
  </sheetViews>
  <sheetFormatPr defaultColWidth="9.140625" defaultRowHeight="12.75"/>
  <cols>
    <col min="1" max="1" width="17.7109375" style="528" customWidth="1"/>
    <col min="2" max="2" width="8.8515625" style="487" customWidth="1"/>
    <col min="3" max="3" width="8.421875" style="487" customWidth="1"/>
    <col min="4" max="4" width="8.8515625" style="487" customWidth="1"/>
    <col min="5" max="5" width="8.57421875" style="487" customWidth="1"/>
    <col min="6" max="6" width="6.8515625" style="487" customWidth="1"/>
    <col min="7" max="7" width="8.421875" style="487" customWidth="1"/>
    <col min="8" max="8" width="11.28125" style="487" customWidth="1"/>
    <col min="9" max="9" width="10.140625" style="487" customWidth="1"/>
    <col min="10" max="10" width="8.57421875" style="487" customWidth="1"/>
    <col min="11" max="11" width="8.00390625" style="487" customWidth="1"/>
    <col min="12" max="13" width="7.57421875" style="487" customWidth="1"/>
    <col min="14" max="14" width="7.140625" style="487" customWidth="1"/>
    <col min="15" max="16" width="9.28125" style="487" customWidth="1"/>
    <col min="17" max="16384" width="8.00390625" style="487" customWidth="1"/>
  </cols>
  <sheetData>
    <row r="1" spans="1:16" ht="12.75">
      <c r="A1" s="523"/>
      <c r="B1" s="488"/>
      <c r="C1" s="488"/>
      <c r="D1" s="488"/>
      <c r="E1" s="488"/>
      <c r="F1" s="488" t="s">
        <v>696</v>
      </c>
      <c r="G1" s="488"/>
      <c r="H1" s="488"/>
      <c r="I1" s="488"/>
      <c r="J1" s="488"/>
      <c r="K1" s="488"/>
      <c r="L1" s="488"/>
      <c r="M1" s="488"/>
      <c r="N1" s="485"/>
      <c r="O1" s="485"/>
      <c r="P1" s="485" t="s">
        <v>697</v>
      </c>
    </row>
    <row r="2" spans="14:15" ht="12">
      <c r="N2" s="634"/>
      <c r="O2" s="536"/>
    </row>
    <row r="3" spans="1:16" s="488" customFormat="1" ht="12.75">
      <c r="A3" s="523"/>
      <c r="N3" s="485"/>
      <c r="O3" s="485"/>
      <c r="P3" s="485"/>
    </row>
    <row r="4" spans="1:16" s="534" customFormat="1" ht="15.75">
      <c r="A4" s="635" t="s">
        <v>698</v>
      </c>
      <c r="B4" s="635"/>
      <c r="C4" s="533"/>
      <c r="D4" s="533"/>
      <c r="E4" s="533"/>
      <c r="F4" s="533"/>
      <c r="G4" s="533"/>
      <c r="H4" s="533"/>
      <c r="I4" s="533"/>
      <c r="J4" s="533"/>
      <c r="K4" s="533"/>
      <c r="L4" s="533"/>
      <c r="M4" s="533"/>
      <c r="N4" s="533"/>
      <c r="O4" s="533"/>
      <c r="P4" s="533"/>
    </row>
    <row r="5" spans="1:16" s="637" customFormat="1" ht="15.75">
      <c r="A5" s="489" t="s">
        <v>47</v>
      </c>
      <c r="B5" s="489"/>
      <c r="C5" s="489"/>
      <c r="D5" s="489"/>
      <c r="E5" s="636"/>
      <c r="F5" s="489"/>
      <c r="G5" s="489"/>
      <c r="H5" s="489"/>
      <c r="I5" s="489"/>
      <c r="J5" s="489"/>
      <c r="K5" s="489"/>
      <c r="L5" s="489"/>
      <c r="M5" s="489"/>
      <c r="N5" s="489"/>
      <c r="O5" s="489"/>
      <c r="P5" s="489"/>
    </row>
    <row r="6" spans="1:16" s="637" customFormat="1" ht="15.75">
      <c r="A6" s="489"/>
      <c r="B6" s="489"/>
      <c r="C6" s="489"/>
      <c r="D6" s="489"/>
      <c r="E6" s="636"/>
      <c r="F6" s="489"/>
      <c r="G6" s="489"/>
      <c r="H6" s="489"/>
      <c r="I6" s="489"/>
      <c r="J6" s="489"/>
      <c r="K6" s="489"/>
      <c r="L6" s="489"/>
      <c r="M6" s="489"/>
      <c r="N6" s="489"/>
      <c r="O6" s="489"/>
      <c r="P6" s="489"/>
    </row>
    <row r="7" spans="1:16" s="537" customFormat="1" ht="11.25">
      <c r="A7" s="638"/>
      <c r="B7" s="577"/>
      <c r="C7" s="577"/>
      <c r="D7" s="577"/>
      <c r="E7" s="577"/>
      <c r="F7" s="577"/>
      <c r="G7" s="577"/>
      <c r="H7" s="577"/>
      <c r="I7" s="577"/>
      <c r="J7" s="577"/>
      <c r="K7" s="577"/>
      <c r="L7" s="577"/>
      <c r="M7" s="577" t="s">
        <v>699</v>
      </c>
      <c r="N7" s="577"/>
      <c r="O7" s="539"/>
      <c r="P7" s="577"/>
    </row>
    <row r="8" spans="1:16" s="488" customFormat="1" ht="12.75">
      <c r="A8" s="639"/>
      <c r="B8" s="640" t="s">
        <v>363</v>
      </c>
      <c r="C8" s="640"/>
      <c r="D8" s="640"/>
      <c r="E8" s="641" t="s">
        <v>700</v>
      </c>
      <c r="F8" s="640"/>
      <c r="G8" s="640"/>
      <c r="H8" s="642"/>
      <c r="I8" s="642"/>
      <c r="J8" s="643" t="s">
        <v>701</v>
      </c>
      <c r="K8" s="640"/>
      <c r="L8" s="640"/>
      <c r="M8" s="644"/>
      <c r="N8" s="640"/>
      <c r="O8" s="645"/>
      <c r="P8" s="646"/>
    </row>
    <row r="9" spans="1:16" ht="11.25">
      <c r="A9" s="647"/>
      <c r="B9" s="580"/>
      <c r="C9" s="648"/>
      <c r="D9" s="648"/>
      <c r="E9" s="648"/>
      <c r="F9" s="648"/>
      <c r="G9" s="648"/>
      <c r="H9" s="648"/>
      <c r="I9" s="648"/>
      <c r="J9" s="648"/>
      <c r="K9" s="648"/>
      <c r="L9" s="649" t="s">
        <v>702</v>
      </c>
      <c r="M9" s="649"/>
      <c r="N9" s="580"/>
      <c r="O9" s="648"/>
      <c r="P9" s="650"/>
    </row>
    <row r="10" spans="1:16" s="657" customFormat="1" ht="45">
      <c r="A10" s="651" t="s">
        <v>703</v>
      </c>
      <c r="B10" s="652" t="s">
        <v>704</v>
      </c>
      <c r="C10" s="653" t="s">
        <v>705</v>
      </c>
      <c r="D10" s="654" t="s">
        <v>706</v>
      </c>
      <c r="E10" s="654" t="s">
        <v>707</v>
      </c>
      <c r="F10" s="654" t="s">
        <v>708</v>
      </c>
      <c r="G10" s="654" t="s">
        <v>709</v>
      </c>
      <c r="H10" s="654" t="s">
        <v>710</v>
      </c>
      <c r="I10" s="654" t="s">
        <v>711</v>
      </c>
      <c r="J10" s="654" t="s">
        <v>79</v>
      </c>
      <c r="K10" s="654" t="s">
        <v>712</v>
      </c>
      <c r="L10" s="654" t="s">
        <v>713</v>
      </c>
      <c r="M10" s="654" t="s">
        <v>714</v>
      </c>
      <c r="N10" s="654" t="s">
        <v>715</v>
      </c>
      <c r="O10" s="655" t="s">
        <v>90</v>
      </c>
      <c r="P10" s="656" t="s">
        <v>716</v>
      </c>
    </row>
    <row r="11" spans="1:16" s="537" customFormat="1" ht="11.25">
      <c r="A11" s="658">
        <v>1</v>
      </c>
      <c r="B11" s="659">
        <v>2</v>
      </c>
      <c r="C11" s="659">
        <v>3</v>
      </c>
      <c r="D11" s="659">
        <v>4</v>
      </c>
      <c r="E11" s="659">
        <v>5</v>
      </c>
      <c r="F11" s="659">
        <v>6</v>
      </c>
      <c r="G11" s="659">
        <v>7</v>
      </c>
      <c r="H11" s="659">
        <v>8</v>
      </c>
      <c r="I11" s="659">
        <v>9</v>
      </c>
      <c r="J11" s="659">
        <v>10</v>
      </c>
      <c r="K11" s="659">
        <v>11</v>
      </c>
      <c r="L11" s="659">
        <v>12</v>
      </c>
      <c r="M11" s="659">
        <v>13</v>
      </c>
      <c r="N11" s="659">
        <v>14</v>
      </c>
      <c r="O11" s="659">
        <v>15</v>
      </c>
      <c r="P11" s="660">
        <v>16</v>
      </c>
    </row>
    <row r="12" spans="1:16" ht="12.75">
      <c r="A12" s="661" t="s">
        <v>717</v>
      </c>
      <c r="B12" s="662"/>
      <c r="C12" s="662"/>
      <c r="D12" s="662"/>
      <c r="E12" s="662"/>
      <c r="F12" s="662"/>
      <c r="G12" s="662"/>
      <c r="H12" s="662"/>
      <c r="I12" s="662"/>
      <c r="J12" s="662"/>
      <c r="K12" s="662">
        <v>0</v>
      </c>
      <c r="L12" s="662">
        <v>0</v>
      </c>
      <c r="M12" s="662"/>
      <c r="N12" s="662"/>
      <c r="O12" s="662"/>
      <c r="P12" s="663">
        <v>0</v>
      </c>
    </row>
    <row r="13" spans="1:16" ht="12">
      <c r="A13" s="553" t="s">
        <v>718</v>
      </c>
      <c r="B13" s="664">
        <v>75808186</v>
      </c>
      <c r="C13" s="664">
        <v>15747378</v>
      </c>
      <c r="D13" s="664">
        <v>91555564</v>
      </c>
      <c r="E13" s="664">
        <v>84770798</v>
      </c>
      <c r="F13" s="664">
        <v>11883021</v>
      </c>
      <c r="G13" s="664">
        <v>96653819</v>
      </c>
      <c r="H13" s="664">
        <v>-5098255</v>
      </c>
      <c r="I13" s="664">
        <v>5098255</v>
      </c>
      <c r="J13" s="664">
        <v>-1500000</v>
      </c>
      <c r="K13" s="664">
        <v>275628</v>
      </c>
      <c r="L13" s="664">
        <v>5649963</v>
      </c>
      <c r="M13" s="664">
        <v>5374335</v>
      </c>
      <c r="N13" s="664">
        <v>-2300000</v>
      </c>
      <c r="O13" s="664">
        <v>8691535</v>
      </c>
      <c r="P13" s="665">
        <v>-68908</v>
      </c>
    </row>
    <row r="14" spans="1:16" ht="12">
      <c r="A14" s="666" t="s">
        <v>719</v>
      </c>
      <c r="B14" s="664">
        <v>6683549</v>
      </c>
      <c r="C14" s="664">
        <v>2865101</v>
      </c>
      <c r="D14" s="664">
        <v>9548650</v>
      </c>
      <c r="E14" s="664">
        <v>10201649</v>
      </c>
      <c r="F14" s="664">
        <v>11178</v>
      </c>
      <c r="G14" s="664">
        <v>10212827</v>
      </c>
      <c r="H14" s="664">
        <v>-664177</v>
      </c>
      <c r="I14" s="664">
        <v>664177</v>
      </c>
      <c r="J14" s="664">
        <v>393500</v>
      </c>
      <c r="K14" s="664">
        <v>-152323</v>
      </c>
      <c r="L14" s="664">
        <v>70515</v>
      </c>
      <c r="M14" s="664">
        <v>222838</v>
      </c>
      <c r="N14" s="664">
        <v>-25000</v>
      </c>
      <c r="O14" s="664">
        <v>448000</v>
      </c>
      <c r="P14" s="665">
        <v>0</v>
      </c>
    </row>
    <row r="15" spans="1:16" ht="12">
      <c r="A15" s="666" t="s">
        <v>720</v>
      </c>
      <c r="B15" s="664">
        <v>4398838</v>
      </c>
      <c r="C15" s="664">
        <v>2275483</v>
      </c>
      <c r="D15" s="664">
        <v>6674321</v>
      </c>
      <c r="E15" s="664">
        <v>5594740</v>
      </c>
      <c r="F15" s="664">
        <v>42855</v>
      </c>
      <c r="G15" s="664">
        <v>5637595</v>
      </c>
      <c r="H15" s="664">
        <v>1036726</v>
      </c>
      <c r="I15" s="664">
        <v>-1036726</v>
      </c>
      <c r="J15" s="664">
        <v>-550000</v>
      </c>
      <c r="K15" s="664">
        <v>-533934</v>
      </c>
      <c r="L15" s="664">
        <v>44232</v>
      </c>
      <c r="M15" s="664">
        <v>578166</v>
      </c>
      <c r="N15" s="664">
        <v>0</v>
      </c>
      <c r="O15" s="664">
        <v>47550</v>
      </c>
      <c r="P15" s="665">
        <v>-342</v>
      </c>
    </row>
    <row r="16" spans="1:16" ht="12">
      <c r="A16" s="666" t="s">
        <v>721</v>
      </c>
      <c r="B16" s="664">
        <v>5012292</v>
      </c>
      <c r="C16" s="664">
        <v>1197704</v>
      </c>
      <c r="D16" s="664">
        <v>6209996</v>
      </c>
      <c r="E16" s="664">
        <v>5954711</v>
      </c>
      <c r="F16" s="664">
        <v>219662</v>
      </c>
      <c r="G16" s="664">
        <v>6174373</v>
      </c>
      <c r="H16" s="664">
        <v>35623</v>
      </c>
      <c r="I16" s="664">
        <v>-35623</v>
      </c>
      <c r="J16" s="664">
        <v>220971</v>
      </c>
      <c r="K16" s="664">
        <v>-256594</v>
      </c>
      <c r="L16" s="664">
        <v>51094</v>
      </c>
      <c r="M16" s="664">
        <v>307688</v>
      </c>
      <c r="N16" s="664">
        <v>0</v>
      </c>
      <c r="O16" s="664">
        <v>0</v>
      </c>
      <c r="P16" s="665">
        <v>0</v>
      </c>
    </row>
    <row r="17" spans="1:16" ht="12">
      <c r="A17" s="666" t="s">
        <v>722</v>
      </c>
      <c r="B17" s="664">
        <v>6425006</v>
      </c>
      <c r="C17" s="664">
        <v>2656826</v>
      </c>
      <c r="D17" s="664">
        <v>9081832</v>
      </c>
      <c r="E17" s="664">
        <v>8527016</v>
      </c>
      <c r="F17" s="664">
        <v>220574</v>
      </c>
      <c r="G17" s="664">
        <v>8747590</v>
      </c>
      <c r="H17" s="664">
        <v>334242</v>
      </c>
      <c r="I17" s="664">
        <v>-334242</v>
      </c>
      <c r="J17" s="664">
        <v>0</v>
      </c>
      <c r="K17" s="664">
        <v>-381337</v>
      </c>
      <c r="L17" s="664">
        <v>415621</v>
      </c>
      <c r="M17" s="664">
        <v>796958</v>
      </c>
      <c r="N17" s="664">
        <v>0</v>
      </c>
      <c r="O17" s="664">
        <v>47095</v>
      </c>
      <c r="P17" s="665">
        <v>0</v>
      </c>
    </row>
    <row r="18" spans="1:16" ht="12">
      <c r="A18" s="666" t="s">
        <v>723</v>
      </c>
      <c r="B18" s="664">
        <v>2259522</v>
      </c>
      <c r="C18" s="664">
        <v>1202052</v>
      </c>
      <c r="D18" s="664">
        <v>3461574</v>
      </c>
      <c r="E18" s="664">
        <v>3380599</v>
      </c>
      <c r="F18" s="664">
        <v>8106</v>
      </c>
      <c r="G18" s="664">
        <v>3388705</v>
      </c>
      <c r="H18" s="664">
        <v>72869</v>
      </c>
      <c r="I18" s="664">
        <v>-72869</v>
      </c>
      <c r="J18" s="664">
        <v>0</v>
      </c>
      <c r="K18" s="664">
        <v>-72869</v>
      </c>
      <c r="L18" s="664">
        <v>90589</v>
      </c>
      <c r="M18" s="664">
        <v>163458</v>
      </c>
      <c r="N18" s="664">
        <v>0</v>
      </c>
      <c r="O18" s="664">
        <v>0</v>
      </c>
      <c r="P18" s="665">
        <v>0</v>
      </c>
    </row>
    <row r="19" spans="1:16" ht="12">
      <c r="A19" s="666" t="s">
        <v>724</v>
      </c>
      <c r="B19" s="664">
        <v>7116658</v>
      </c>
      <c r="C19" s="664">
        <v>975158</v>
      </c>
      <c r="D19" s="664">
        <v>8091816</v>
      </c>
      <c r="E19" s="664">
        <v>5926304</v>
      </c>
      <c r="F19" s="664">
        <v>1732173</v>
      </c>
      <c r="G19" s="664">
        <v>7658477</v>
      </c>
      <c r="H19" s="664">
        <v>433339</v>
      </c>
      <c r="I19" s="664">
        <v>-433339</v>
      </c>
      <c r="J19" s="664">
        <v>0</v>
      </c>
      <c r="K19" s="664">
        <v>-433339</v>
      </c>
      <c r="L19" s="664">
        <v>972974</v>
      </c>
      <c r="M19" s="664">
        <v>1406313</v>
      </c>
      <c r="N19" s="664">
        <v>0</v>
      </c>
      <c r="O19" s="664">
        <v>0</v>
      </c>
      <c r="P19" s="665">
        <v>0</v>
      </c>
    </row>
    <row r="20" spans="1:16" ht="12.75">
      <c r="A20" s="661" t="s">
        <v>725</v>
      </c>
      <c r="B20" s="664">
        <f aca="true" t="shared" si="0" ref="B20:P20">SUM(B13:B19)</f>
        <v>107704051</v>
      </c>
      <c r="C20" s="664">
        <f t="shared" si="0"/>
        <v>26919702</v>
      </c>
      <c r="D20" s="664">
        <f t="shared" si="0"/>
        <v>134623753</v>
      </c>
      <c r="E20" s="664">
        <f t="shared" si="0"/>
        <v>124355817</v>
      </c>
      <c r="F20" s="664">
        <f t="shared" si="0"/>
        <v>14117569</v>
      </c>
      <c r="G20" s="664">
        <f t="shared" si="0"/>
        <v>138473386</v>
      </c>
      <c r="H20" s="664">
        <f t="shared" si="0"/>
        <v>-3849633</v>
      </c>
      <c r="I20" s="664">
        <f t="shared" si="0"/>
        <v>3849633</v>
      </c>
      <c r="J20" s="664">
        <f t="shared" si="0"/>
        <v>-1435529</v>
      </c>
      <c r="K20" s="664">
        <f t="shared" si="0"/>
        <v>-1554768</v>
      </c>
      <c r="L20" s="664">
        <f t="shared" si="0"/>
        <v>7294988</v>
      </c>
      <c r="M20" s="664">
        <f t="shared" si="0"/>
        <v>8849756</v>
      </c>
      <c r="N20" s="664">
        <f t="shared" si="0"/>
        <v>-2325000</v>
      </c>
      <c r="O20" s="664">
        <f t="shared" si="0"/>
        <v>9234180</v>
      </c>
      <c r="P20" s="665">
        <f t="shared" si="0"/>
        <v>-69250</v>
      </c>
    </row>
    <row r="21" spans="1:16" s="667" customFormat="1" ht="12.75">
      <c r="A21" s="661" t="s">
        <v>726</v>
      </c>
      <c r="B21" s="664"/>
      <c r="C21" s="664"/>
      <c r="D21" s="664"/>
      <c r="E21" s="664"/>
      <c r="F21" s="664"/>
      <c r="G21" s="664"/>
      <c r="H21" s="664"/>
      <c r="I21" s="664"/>
      <c r="J21" s="664">
        <v>0</v>
      </c>
      <c r="K21" s="664">
        <v>0</v>
      </c>
      <c r="L21" s="664">
        <v>0</v>
      </c>
      <c r="M21" s="664"/>
      <c r="N21" s="664"/>
      <c r="O21" s="664"/>
      <c r="P21" s="665"/>
    </row>
    <row r="22" spans="1:16" ht="12">
      <c r="A22" s="666" t="s">
        <v>727</v>
      </c>
      <c r="B22" s="664">
        <v>2514777</v>
      </c>
      <c r="C22" s="664">
        <v>2423578</v>
      </c>
      <c r="D22" s="664">
        <v>4938355</v>
      </c>
      <c r="E22" s="664">
        <v>4780468</v>
      </c>
      <c r="F22" s="664">
        <v>283426</v>
      </c>
      <c r="G22" s="664">
        <v>5063894</v>
      </c>
      <c r="H22" s="664">
        <v>-125539</v>
      </c>
      <c r="I22" s="664">
        <v>125539</v>
      </c>
      <c r="J22" s="664">
        <v>47440</v>
      </c>
      <c r="K22" s="664">
        <v>-16210</v>
      </c>
      <c r="L22" s="664">
        <v>517917</v>
      </c>
      <c r="M22" s="664">
        <v>534127</v>
      </c>
      <c r="N22" s="664">
        <v>-12526</v>
      </c>
      <c r="O22" s="664">
        <v>-10425</v>
      </c>
      <c r="P22" s="665">
        <v>117260</v>
      </c>
    </row>
    <row r="23" spans="1:16" ht="12">
      <c r="A23" s="666" t="s">
        <v>728</v>
      </c>
      <c r="B23" s="664">
        <v>1284133</v>
      </c>
      <c r="C23" s="664">
        <v>1755047</v>
      </c>
      <c r="D23" s="664">
        <v>3039180</v>
      </c>
      <c r="E23" s="664">
        <v>2818376</v>
      </c>
      <c r="F23" s="664">
        <v>77822</v>
      </c>
      <c r="G23" s="664">
        <v>2896198</v>
      </c>
      <c r="H23" s="664">
        <v>142982</v>
      </c>
      <c r="I23" s="664">
        <v>-142982</v>
      </c>
      <c r="J23" s="664">
        <v>51545</v>
      </c>
      <c r="K23" s="664">
        <v>-197183</v>
      </c>
      <c r="L23" s="664">
        <v>80951</v>
      </c>
      <c r="M23" s="664">
        <v>278134</v>
      </c>
      <c r="N23" s="664">
        <v>0</v>
      </c>
      <c r="O23" s="664">
        <v>-4683</v>
      </c>
      <c r="P23" s="665">
        <v>7339</v>
      </c>
    </row>
    <row r="24" spans="1:16" ht="12">
      <c r="A24" s="666" t="s">
        <v>729</v>
      </c>
      <c r="B24" s="664">
        <v>1156803</v>
      </c>
      <c r="C24" s="664">
        <v>2211466</v>
      </c>
      <c r="D24" s="664">
        <v>3368269</v>
      </c>
      <c r="E24" s="664">
        <v>3114459</v>
      </c>
      <c r="F24" s="664">
        <v>83584</v>
      </c>
      <c r="G24" s="664">
        <v>3198043</v>
      </c>
      <c r="H24" s="664">
        <v>170226</v>
      </c>
      <c r="I24" s="664">
        <v>-170226</v>
      </c>
      <c r="J24" s="664">
        <v>19122</v>
      </c>
      <c r="K24" s="664">
        <v>-186319</v>
      </c>
      <c r="L24" s="664">
        <v>98384</v>
      </c>
      <c r="M24" s="664">
        <v>284703</v>
      </c>
      <c r="N24" s="664">
        <v>0</v>
      </c>
      <c r="O24" s="664">
        <v>-3029</v>
      </c>
      <c r="P24" s="665">
        <v>0</v>
      </c>
    </row>
    <row r="25" spans="1:16" ht="12">
      <c r="A25" s="666" t="s">
        <v>730</v>
      </c>
      <c r="B25" s="664">
        <v>2616764</v>
      </c>
      <c r="C25" s="664">
        <v>3054086</v>
      </c>
      <c r="D25" s="664">
        <v>5670850</v>
      </c>
      <c r="E25" s="664">
        <v>5142492</v>
      </c>
      <c r="F25" s="664">
        <v>321774</v>
      </c>
      <c r="G25" s="664">
        <v>5464266</v>
      </c>
      <c r="H25" s="664">
        <v>206584</v>
      </c>
      <c r="I25" s="664">
        <v>-206584</v>
      </c>
      <c r="J25" s="664">
        <v>26473</v>
      </c>
      <c r="K25" s="664">
        <v>-254920</v>
      </c>
      <c r="L25" s="664">
        <v>242342</v>
      </c>
      <c r="M25" s="664">
        <v>497262</v>
      </c>
      <c r="N25" s="664">
        <v>34145</v>
      </c>
      <c r="O25" s="664">
        <v>-1245</v>
      </c>
      <c r="P25" s="665">
        <v>-11037</v>
      </c>
    </row>
    <row r="26" spans="1:16" ht="12">
      <c r="A26" s="666" t="s">
        <v>731</v>
      </c>
      <c r="B26" s="664">
        <v>3945412</v>
      </c>
      <c r="C26" s="664">
        <v>3805878</v>
      </c>
      <c r="D26" s="664">
        <v>7751290</v>
      </c>
      <c r="E26" s="664">
        <v>7374183</v>
      </c>
      <c r="F26" s="664">
        <v>359097</v>
      </c>
      <c r="G26" s="664">
        <v>7735000</v>
      </c>
      <c r="H26" s="664">
        <v>18010</v>
      </c>
      <c r="I26" s="664">
        <v>-18010</v>
      </c>
      <c r="J26" s="664">
        <v>165150</v>
      </c>
      <c r="K26" s="664">
        <v>-237684</v>
      </c>
      <c r="L26" s="664">
        <v>184737</v>
      </c>
      <c r="M26" s="664">
        <v>422421</v>
      </c>
      <c r="N26" s="664">
        <v>-1709</v>
      </c>
      <c r="O26" s="664">
        <v>0</v>
      </c>
      <c r="P26" s="665">
        <v>56233</v>
      </c>
    </row>
    <row r="27" spans="1:16" ht="12">
      <c r="A27" s="666" t="s">
        <v>732</v>
      </c>
      <c r="B27" s="664">
        <v>1947633</v>
      </c>
      <c r="C27" s="664">
        <v>2758542</v>
      </c>
      <c r="D27" s="664">
        <v>4706175</v>
      </c>
      <c r="E27" s="664">
        <v>4319946</v>
      </c>
      <c r="F27" s="664">
        <v>237298</v>
      </c>
      <c r="G27" s="664">
        <v>4557244</v>
      </c>
      <c r="H27" s="664">
        <v>148931</v>
      </c>
      <c r="I27" s="664">
        <v>-148931</v>
      </c>
      <c r="J27" s="664">
        <v>190166</v>
      </c>
      <c r="K27" s="664">
        <v>-349532</v>
      </c>
      <c r="L27" s="664">
        <v>220219</v>
      </c>
      <c r="M27" s="664">
        <v>569751</v>
      </c>
      <c r="N27" s="664">
        <v>-1336</v>
      </c>
      <c r="O27" s="664">
        <v>0</v>
      </c>
      <c r="P27" s="665">
        <v>11771</v>
      </c>
    </row>
    <row r="28" spans="1:16" ht="12">
      <c r="A28" s="666" t="s">
        <v>733</v>
      </c>
      <c r="B28" s="664">
        <v>2216582</v>
      </c>
      <c r="C28" s="664">
        <v>2345786</v>
      </c>
      <c r="D28" s="664">
        <v>4562368</v>
      </c>
      <c r="E28" s="664">
        <v>4095903</v>
      </c>
      <c r="F28" s="664">
        <v>273246</v>
      </c>
      <c r="G28" s="664">
        <v>4369149</v>
      </c>
      <c r="H28" s="664">
        <v>193219</v>
      </c>
      <c r="I28" s="664">
        <v>-193219</v>
      </c>
      <c r="J28" s="664">
        <v>8848</v>
      </c>
      <c r="K28" s="664">
        <v>-217141</v>
      </c>
      <c r="L28" s="664">
        <v>161601</v>
      </c>
      <c r="M28" s="664">
        <v>378742</v>
      </c>
      <c r="N28" s="664">
        <v>0</v>
      </c>
      <c r="O28" s="664">
        <v>0</v>
      </c>
      <c r="P28" s="665">
        <v>15074</v>
      </c>
    </row>
    <row r="29" spans="1:16" ht="12">
      <c r="A29" s="666" t="s">
        <v>734</v>
      </c>
      <c r="B29" s="664">
        <v>1443943</v>
      </c>
      <c r="C29" s="664">
        <v>1712114</v>
      </c>
      <c r="D29" s="664">
        <v>3156057</v>
      </c>
      <c r="E29" s="664">
        <v>2810639</v>
      </c>
      <c r="F29" s="664">
        <v>100585</v>
      </c>
      <c r="G29" s="664">
        <v>2911224</v>
      </c>
      <c r="H29" s="664">
        <v>244833</v>
      </c>
      <c r="I29" s="664">
        <v>-244833</v>
      </c>
      <c r="J29" s="664">
        <v>29768</v>
      </c>
      <c r="K29" s="664">
        <v>-235661</v>
      </c>
      <c r="L29" s="664">
        <v>286223</v>
      </c>
      <c r="M29" s="664">
        <v>521884</v>
      </c>
      <c r="N29" s="664">
        <v>0</v>
      </c>
      <c r="O29" s="664">
        <v>0</v>
      </c>
      <c r="P29" s="665">
        <v>-38940</v>
      </c>
    </row>
    <row r="30" spans="1:16" ht="12">
      <c r="A30" s="666" t="s">
        <v>735</v>
      </c>
      <c r="B30" s="664">
        <v>1928057</v>
      </c>
      <c r="C30" s="664">
        <v>1905226</v>
      </c>
      <c r="D30" s="664">
        <v>3833283</v>
      </c>
      <c r="E30" s="664">
        <v>3627834</v>
      </c>
      <c r="F30" s="664">
        <v>233415</v>
      </c>
      <c r="G30" s="664">
        <v>3861249</v>
      </c>
      <c r="H30" s="664">
        <v>-27966</v>
      </c>
      <c r="I30" s="664">
        <v>27966</v>
      </c>
      <c r="J30" s="664">
        <v>222891</v>
      </c>
      <c r="K30" s="664">
        <v>-76275</v>
      </c>
      <c r="L30" s="664">
        <v>80112</v>
      </c>
      <c r="M30" s="664">
        <v>156387</v>
      </c>
      <c r="N30" s="664">
        <v>-118600</v>
      </c>
      <c r="O30" s="664">
        <v>-50</v>
      </c>
      <c r="P30" s="665">
        <v>0</v>
      </c>
    </row>
    <row r="31" spans="1:16" ht="12">
      <c r="A31" s="666" t="s">
        <v>736</v>
      </c>
      <c r="B31" s="664">
        <v>2543760</v>
      </c>
      <c r="C31" s="664">
        <v>3046895</v>
      </c>
      <c r="D31" s="664">
        <v>5590655</v>
      </c>
      <c r="E31" s="664">
        <v>5496596</v>
      </c>
      <c r="F31" s="664">
        <v>137557</v>
      </c>
      <c r="G31" s="664">
        <v>5634153</v>
      </c>
      <c r="H31" s="664">
        <v>-43498</v>
      </c>
      <c r="I31" s="664">
        <v>43498</v>
      </c>
      <c r="J31" s="664">
        <v>-3062</v>
      </c>
      <c r="K31" s="664">
        <v>36770</v>
      </c>
      <c r="L31" s="664">
        <v>518900</v>
      </c>
      <c r="M31" s="664">
        <v>482130</v>
      </c>
      <c r="N31" s="664">
        <v>0</v>
      </c>
      <c r="O31" s="664">
        <v>-2721</v>
      </c>
      <c r="P31" s="665">
        <v>12511</v>
      </c>
    </row>
    <row r="32" spans="1:16" ht="12">
      <c r="A32" s="666" t="s">
        <v>737</v>
      </c>
      <c r="B32" s="664">
        <v>1292210</v>
      </c>
      <c r="C32" s="664">
        <v>2229692</v>
      </c>
      <c r="D32" s="664">
        <v>3521902</v>
      </c>
      <c r="E32" s="664">
        <v>3230346</v>
      </c>
      <c r="F32" s="664">
        <v>130659</v>
      </c>
      <c r="G32" s="664">
        <v>3361005</v>
      </c>
      <c r="H32" s="664">
        <v>160897</v>
      </c>
      <c r="I32" s="664">
        <v>-160897</v>
      </c>
      <c r="J32" s="664">
        <v>74542</v>
      </c>
      <c r="K32" s="664">
        <v>-251126</v>
      </c>
      <c r="L32" s="664">
        <v>78840</v>
      </c>
      <c r="M32" s="664">
        <v>329966</v>
      </c>
      <c r="N32" s="664">
        <v>-2500</v>
      </c>
      <c r="O32" s="664">
        <v>0</v>
      </c>
      <c r="P32" s="665">
        <v>18187</v>
      </c>
    </row>
    <row r="33" spans="1:16" ht="12">
      <c r="A33" s="666" t="s">
        <v>738</v>
      </c>
      <c r="B33" s="664">
        <v>2374737</v>
      </c>
      <c r="C33" s="664">
        <v>2686200</v>
      </c>
      <c r="D33" s="664">
        <v>5060937</v>
      </c>
      <c r="E33" s="664">
        <v>4622986</v>
      </c>
      <c r="F33" s="664">
        <v>146835</v>
      </c>
      <c r="G33" s="664">
        <v>4769821</v>
      </c>
      <c r="H33" s="664">
        <v>291116</v>
      </c>
      <c r="I33" s="664">
        <v>-291116</v>
      </c>
      <c r="J33" s="664">
        <v>-14022</v>
      </c>
      <c r="K33" s="664">
        <v>-253889</v>
      </c>
      <c r="L33" s="664">
        <v>293631</v>
      </c>
      <c r="M33" s="664">
        <v>547520</v>
      </c>
      <c r="N33" s="664">
        <v>0</v>
      </c>
      <c r="O33" s="664">
        <v>0</v>
      </c>
      <c r="P33" s="665">
        <v>-23205</v>
      </c>
    </row>
    <row r="34" spans="1:16" ht="12">
      <c r="A34" s="666" t="s">
        <v>739</v>
      </c>
      <c r="B34" s="664">
        <v>2285642</v>
      </c>
      <c r="C34" s="664">
        <v>2635711</v>
      </c>
      <c r="D34" s="664">
        <v>4921353</v>
      </c>
      <c r="E34" s="664">
        <v>4796368</v>
      </c>
      <c r="F34" s="664">
        <v>137422</v>
      </c>
      <c r="G34" s="664">
        <v>4933790</v>
      </c>
      <c r="H34" s="664">
        <v>-12437</v>
      </c>
      <c r="I34" s="664">
        <v>12437</v>
      </c>
      <c r="J34" s="664">
        <v>39501</v>
      </c>
      <c r="K34" s="664">
        <v>-84567</v>
      </c>
      <c r="L34" s="664">
        <v>163151</v>
      </c>
      <c r="M34" s="664">
        <v>247718</v>
      </c>
      <c r="N34" s="664">
        <v>0</v>
      </c>
      <c r="O34" s="664">
        <v>-8712</v>
      </c>
      <c r="P34" s="665">
        <v>66215</v>
      </c>
    </row>
    <row r="35" spans="1:16" ht="12">
      <c r="A35" s="666" t="s">
        <v>740</v>
      </c>
      <c r="B35" s="664">
        <v>2390764</v>
      </c>
      <c r="C35" s="664">
        <v>2248344</v>
      </c>
      <c r="D35" s="664">
        <v>4639108</v>
      </c>
      <c r="E35" s="664">
        <v>4644319</v>
      </c>
      <c r="F35" s="664">
        <v>333680</v>
      </c>
      <c r="G35" s="664">
        <v>4977999</v>
      </c>
      <c r="H35" s="664">
        <v>-338891</v>
      </c>
      <c r="I35" s="664">
        <v>338891</v>
      </c>
      <c r="J35" s="664">
        <v>468803</v>
      </c>
      <c r="K35" s="664">
        <v>-144981</v>
      </c>
      <c r="L35" s="664">
        <v>278002</v>
      </c>
      <c r="M35" s="664">
        <v>422983</v>
      </c>
      <c r="N35" s="664">
        <v>-10992</v>
      </c>
      <c r="O35" s="664">
        <v>0</v>
      </c>
      <c r="P35" s="665">
        <v>26061</v>
      </c>
    </row>
    <row r="36" spans="1:16" ht="12">
      <c r="A36" s="666" t="s">
        <v>741</v>
      </c>
      <c r="B36" s="664">
        <v>1286032</v>
      </c>
      <c r="C36" s="664">
        <v>1964020</v>
      </c>
      <c r="D36" s="664">
        <v>3250052</v>
      </c>
      <c r="E36" s="664">
        <v>3139993</v>
      </c>
      <c r="F36" s="664">
        <v>126723</v>
      </c>
      <c r="G36" s="664">
        <v>3266716</v>
      </c>
      <c r="H36" s="664">
        <v>-16664</v>
      </c>
      <c r="I36" s="664">
        <v>16664</v>
      </c>
      <c r="J36" s="664">
        <v>164261</v>
      </c>
      <c r="K36" s="664">
        <v>-171828</v>
      </c>
      <c r="L36" s="664">
        <v>266422</v>
      </c>
      <c r="M36" s="664">
        <v>438250</v>
      </c>
      <c r="N36" s="664">
        <v>4530</v>
      </c>
      <c r="O36" s="664">
        <v>0</v>
      </c>
      <c r="P36" s="665">
        <v>19701</v>
      </c>
    </row>
    <row r="37" spans="1:16" ht="12">
      <c r="A37" s="666" t="s">
        <v>742</v>
      </c>
      <c r="B37" s="664">
        <v>2284233</v>
      </c>
      <c r="C37" s="664">
        <v>2836586</v>
      </c>
      <c r="D37" s="664">
        <v>5120819</v>
      </c>
      <c r="E37" s="664">
        <v>4904855</v>
      </c>
      <c r="F37" s="664">
        <v>249939</v>
      </c>
      <c r="G37" s="664">
        <v>5154794</v>
      </c>
      <c r="H37" s="664">
        <v>-33975</v>
      </c>
      <c r="I37" s="664">
        <v>33975</v>
      </c>
      <c r="J37" s="664">
        <v>184954</v>
      </c>
      <c r="K37" s="664">
        <v>-210672</v>
      </c>
      <c r="L37" s="664">
        <v>213638</v>
      </c>
      <c r="M37" s="664">
        <v>424310</v>
      </c>
      <c r="N37" s="664">
        <v>1471</v>
      </c>
      <c r="O37" s="664">
        <v>16819</v>
      </c>
      <c r="P37" s="665">
        <v>41403</v>
      </c>
    </row>
    <row r="38" spans="1:16" ht="12">
      <c r="A38" s="666" t="s">
        <v>743</v>
      </c>
      <c r="B38" s="664">
        <v>4068076</v>
      </c>
      <c r="C38" s="664">
        <v>2577079</v>
      </c>
      <c r="D38" s="664">
        <v>6645155</v>
      </c>
      <c r="E38" s="664">
        <v>6138876</v>
      </c>
      <c r="F38" s="664">
        <v>394785</v>
      </c>
      <c r="G38" s="664">
        <v>6533661</v>
      </c>
      <c r="H38" s="664">
        <v>111494</v>
      </c>
      <c r="I38" s="664">
        <v>-111494</v>
      </c>
      <c r="J38" s="664">
        <v>-77465</v>
      </c>
      <c r="K38" s="664">
        <v>-57541</v>
      </c>
      <c r="L38" s="664">
        <v>346403</v>
      </c>
      <c r="M38" s="664">
        <v>403944</v>
      </c>
      <c r="N38" s="664">
        <v>-5840</v>
      </c>
      <c r="O38" s="664">
        <v>-13250</v>
      </c>
      <c r="P38" s="665">
        <v>42602</v>
      </c>
    </row>
    <row r="39" spans="1:16" ht="12">
      <c r="A39" s="666" t="s">
        <v>744</v>
      </c>
      <c r="B39" s="664">
        <v>1529791</v>
      </c>
      <c r="C39" s="664">
        <v>2776375</v>
      </c>
      <c r="D39" s="664">
        <v>4306166</v>
      </c>
      <c r="E39" s="664">
        <v>3973325</v>
      </c>
      <c r="F39" s="664">
        <v>101279</v>
      </c>
      <c r="G39" s="664">
        <v>4074604</v>
      </c>
      <c r="H39" s="664">
        <v>231562</v>
      </c>
      <c r="I39" s="664">
        <v>-231562</v>
      </c>
      <c r="J39" s="664">
        <v>14770</v>
      </c>
      <c r="K39" s="664">
        <v>-284122</v>
      </c>
      <c r="L39" s="664">
        <v>131553</v>
      </c>
      <c r="M39" s="664">
        <v>415675</v>
      </c>
      <c r="N39" s="664">
        <v>-15451</v>
      </c>
      <c r="O39" s="664">
        <v>34261</v>
      </c>
      <c r="P39" s="665">
        <v>18980</v>
      </c>
    </row>
    <row r="40" spans="1:16" ht="12">
      <c r="A40" s="666" t="s">
        <v>745</v>
      </c>
      <c r="B40" s="664">
        <v>1316386</v>
      </c>
      <c r="C40" s="664">
        <v>2937590</v>
      </c>
      <c r="D40" s="664">
        <v>4253976</v>
      </c>
      <c r="E40" s="664">
        <v>4078538</v>
      </c>
      <c r="F40" s="664">
        <v>171355</v>
      </c>
      <c r="G40" s="664">
        <v>4249893</v>
      </c>
      <c r="H40" s="664">
        <v>4083</v>
      </c>
      <c r="I40" s="664">
        <v>-4083</v>
      </c>
      <c r="J40" s="664">
        <v>11456</v>
      </c>
      <c r="K40" s="664">
        <v>-39427</v>
      </c>
      <c r="L40" s="664">
        <v>154522</v>
      </c>
      <c r="M40" s="664">
        <v>193949</v>
      </c>
      <c r="N40" s="664">
        <v>-1503</v>
      </c>
      <c r="O40" s="664">
        <v>0</v>
      </c>
      <c r="P40" s="665">
        <v>25391</v>
      </c>
    </row>
    <row r="41" spans="1:16" ht="12">
      <c r="A41" s="666" t="s">
        <v>746</v>
      </c>
      <c r="B41" s="664">
        <v>12298621</v>
      </c>
      <c r="C41" s="664">
        <v>5288731</v>
      </c>
      <c r="D41" s="664">
        <v>17587352</v>
      </c>
      <c r="E41" s="664">
        <v>16138330</v>
      </c>
      <c r="F41" s="664">
        <v>2002592</v>
      </c>
      <c r="G41" s="664">
        <v>18140922</v>
      </c>
      <c r="H41" s="664">
        <v>-553570</v>
      </c>
      <c r="I41" s="664">
        <v>553570</v>
      </c>
      <c r="J41" s="664">
        <v>779873</v>
      </c>
      <c r="K41" s="664">
        <v>-589150</v>
      </c>
      <c r="L41" s="664">
        <v>1222971</v>
      </c>
      <c r="M41" s="664">
        <v>1812121</v>
      </c>
      <c r="N41" s="664">
        <v>72000</v>
      </c>
      <c r="O41" s="664">
        <v>0</v>
      </c>
      <c r="P41" s="665">
        <v>290847</v>
      </c>
    </row>
    <row r="42" spans="1:16" ht="12">
      <c r="A42" s="666" t="s">
        <v>747</v>
      </c>
      <c r="B42" s="664">
        <v>2486000</v>
      </c>
      <c r="C42" s="664">
        <v>2508827</v>
      </c>
      <c r="D42" s="664">
        <v>4994199</v>
      </c>
      <c r="E42" s="664">
        <v>4701913</v>
      </c>
      <c r="F42" s="664">
        <v>205082</v>
      </c>
      <c r="G42" s="664">
        <v>4906995</v>
      </c>
      <c r="H42" s="664">
        <v>87204</v>
      </c>
      <c r="I42" s="664">
        <v>-87204</v>
      </c>
      <c r="J42" s="664">
        <v>71277</v>
      </c>
      <c r="K42" s="664">
        <v>-129489</v>
      </c>
      <c r="L42" s="664">
        <v>177036</v>
      </c>
      <c r="M42" s="664">
        <v>306525</v>
      </c>
      <c r="N42" s="664">
        <v>0</v>
      </c>
      <c r="O42" s="664">
        <v>0</v>
      </c>
      <c r="P42" s="665">
        <v>-28992</v>
      </c>
    </row>
    <row r="43" spans="1:16" ht="12">
      <c r="A43" s="666" t="s">
        <v>748</v>
      </c>
      <c r="B43" s="664">
        <v>2729723</v>
      </c>
      <c r="C43" s="664">
        <v>2823626</v>
      </c>
      <c r="D43" s="664">
        <v>5553349</v>
      </c>
      <c r="E43" s="664">
        <v>5442534</v>
      </c>
      <c r="F43" s="664">
        <v>144559</v>
      </c>
      <c r="G43" s="664">
        <v>5587093</v>
      </c>
      <c r="H43" s="664">
        <v>-33744</v>
      </c>
      <c r="I43" s="664">
        <v>33744</v>
      </c>
      <c r="J43" s="664">
        <v>145000</v>
      </c>
      <c r="K43" s="664">
        <v>-78733</v>
      </c>
      <c r="L43" s="664">
        <v>369908</v>
      </c>
      <c r="M43" s="664">
        <v>448641</v>
      </c>
      <c r="N43" s="664">
        <v>-7715</v>
      </c>
      <c r="O43" s="664">
        <v>-6000</v>
      </c>
      <c r="P43" s="665">
        <v>-18134</v>
      </c>
    </row>
    <row r="44" spans="1:16" ht="12">
      <c r="A44" s="666" t="s">
        <v>749</v>
      </c>
      <c r="B44" s="664">
        <v>3253236</v>
      </c>
      <c r="C44" s="664">
        <v>4012000</v>
      </c>
      <c r="D44" s="664">
        <v>7265801</v>
      </c>
      <c r="E44" s="664">
        <v>6735905</v>
      </c>
      <c r="F44" s="664">
        <v>579899</v>
      </c>
      <c r="G44" s="664">
        <v>7315804</v>
      </c>
      <c r="H44" s="664">
        <v>-50003</v>
      </c>
      <c r="I44" s="664">
        <v>50003</v>
      </c>
      <c r="J44" s="664">
        <v>300414</v>
      </c>
      <c r="K44" s="664">
        <v>-282225</v>
      </c>
      <c r="L44" s="664">
        <v>380587</v>
      </c>
      <c r="M44" s="664">
        <v>662812</v>
      </c>
      <c r="N44" s="664">
        <v>-4248</v>
      </c>
      <c r="O44" s="664">
        <v>2993</v>
      </c>
      <c r="P44" s="665">
        <v>33069</v>
      </c>
    </row>
    <row r="45" spans="1:16" ht="12">
      <c r="A45" s="666" t="s">
        <v>750</v>
      </c>
      <c r="B45" s="664">
        <v>2072703</v>
      </c>
      <c r="C45" s="664">
        <v>1711144</v>
      </c>
      <c r="D45" s="664">
        <v>3783847</v>
      </c>
      <c r="E45" s="664">
        <v>3340747</v>
      </c>
      <c r="F45" s="664">
        <v>217811</v>
      </c>
      <c r="G45" s="664">
        <v>3558558</v>
      </c>
      <c r="H45" s="664">
        <v>225289</v>
      </c>
      <c r="I45" s="664">
        <v>-225289</v>
      </c>
      <c r="J45" s="664">
        <v>-25622</v>
      </c>
      <c r="K45" s="664">
        <v>-155528</v>
      </c>
      <c r="L45" s="664">
        <v>129885</v>
      </c>
      <c r="M45" s="664">
        <v>285413</v>
      </c>
      <c r="N45" s="664">
        <v>-1753</v>
      </c>
      <c r="O45" s="664">
        <v>-1279</v>
      </c>
      <c r="P45" s="665">
        <v>-41107</v>
      </c>
    </row>
    <row r="46" spans="1:16" ht="12">
      <c r="A46" s="666" t="s">
        <v>751</v>
      </c>
      <c r="B46" s="664">
        <v>5687633</v>
      </c>
      <c r="C46" s="664">
        <v>3459101</v>
      </c>
      <c r="D46" s="664">
        <v>9146734</v>
      </c>
      <c r="E46" s="664">
        <v>8565180</v>
      </c>
      <c r="F46" s="664">
        <v>468449</v>
      </c>
      <c r="G46" s="664">
        <v>9033629</v>
      </c>
      <c r="H46" s="664">
        <v>113105</v>
      </c>
      <c r="I46" s="664">
        <v>-113105</v>
      </c>
      <c r="J46" s="664">
        <v>-24953</v>
      </c>
      <c r="K46" s="664">
        <v>-290841</v>
      </c>
      <c r="L46" s="664">
        <v>198330</v>
      </c>
      <c r="M46" s="664">
        <v>489171</v>
      </c>
      <c r="N46" s="664">
        <v>118805</v>
      </c>
      <c r="O46" s="664">
        <v>40975</v>
      </c>
      <c r="P46" s="665">
        <v>42909</v>
      </c>
    </row>
    <row r="47" spans="1:16" ht="12">
      <c r="A47" s="666" t="s">
        <v>752</v>
      </c>
      <c r="B47" s="664">
        <v>968079</v>
      </c>
      <c r="C47" s="664">
        <v>716445</v>
      </c>
      <c r="D47" s="664">
        <v>1684524</v>
      </c>
      <c r="E47" s="664">
        <v>1674681</v>
      </c>
      <c r="F47" s="664">
        <v>69035</v>
      </c>
      <c r="G47" s="664">
        <v>1743716</v>
      </c>
      <c r="H47" s="664">
        <v>-59192</v>
      </c>
      <c r="I47" s="664">
        <v>59192</v>
      </c>
      <c r="J47" s="664">
        <v>143850</v>
      </c>
      <c r="K47" s="664">
        <v>-84658</v>
      </c>
      <c r="L47" s="664">
        <v>61596</v>
      </c>
      <c r="M47" s="664">
        <v>146254</v>
      </c>
      <c r="N47" s="664">
        <v>0</v>
      </c>
      <c r="O47" s="664">
        <v>0</v>
      </c>
      <c r="P47" s="665">
        <v>0</v>
      </c>
    </row>
    <row r="48" spans="1:16" ht="12.75">
      <c r="A48" s="661" t="s">
        <v>753</v>
      </c>
      <c r="B48" s="664">
        <f aca="true" t="shared" si="1" ref="B48:P48">SUM(B22:B47)</f>
        <v>69921730</v>
      </c>
      <c r="C48" s="664">
        <f t="shared" si="1"/>
        <v>68430089</v>
      </c>
      <c r="D48" s="664">
        <f t="shared" si="1"/>
        <v>138351756</v>
      </c>
      <c r="E48" s="664">
        <f t="shared" si="1"/>
        <v>129709792</v>
      </c>
      <c r="F48" s="664">
        <f t="shared" si="1"/>
        <v>7587908</v>
      </c>
      <c r="G48" s="664">
        <f t="shared" si="1"/>
        <v>137299420</v>
      </c>
      <c r="H48" s="664">
        <f t="shared" si="1"/>
        <v>1054056</v>
      </c>
      <c r="I48" s="664">
        <f t="shared" si="1"/>
        <v>-1054056</v>
      </c>
      <c r="J48" s="664">
        <f t="shared" si="1"/>
        <v>3014980</v>
      </c>
      <c r="K48" s="664">
        <f t="shared" si="1"/>
        <v>-4842932</v>
      </c>
      <c r="L48" s="664">
        <f t="shared" si="1"/>
        <v>6857861</v>
      </c>
      <c r="M48" s="664">
        <f t="shared" si="1"/>
        <v>11700793</v>
      </c>
      <c r="N48" s="664">
        <f t="shared" si="1"/>
        <v>46778</v>
      </c>
      <c r="O48" s="664">
        <f t="shared" si="1"/>
        <v>43654</v>
      </c>
      <c r="P48" s="665">
        <f t="shared" si="1"/>
        <v>684138</v>
      </c>
    </row>
    <row r="49" spans="1:16" ht="12.75">
      <c r="A49" s="668" t="s">
        <v>754</v>
      </c>
      <c r="B49" s="669">
        <f aca="true" t="shared" si="2" ref="B49:P49">B48+B20</f>
        <v>177625781</v>
      </c>
      <c r="C49" s="669">
        <f t="shared" si="2"/>
        <v>95349791</v>
      </c>
      <c r="D49" s="669">
        <f t="shared" si="2"/>
        <v>272975509</v>
      </c>
      <c r="E49" s="669">
        <f t="shared" si="2"/>
        <v>254065609</v>
      </c>
      <c r="F49" s="669">
        <f t="shared" si="2"/>
        <v>21705477</v>
      </c>
      <c r="G49" s="669">
        <f t="shared" si="2"/>
        <v>275772806</v>
      </c>
      <c r="H49" s="669">
        <f t="shared" si="2"/>
        <v>-2795577</v>
      </c>
      <c r="I49" s="669">
        <f t="shared" si="2"/>
        <v>2795577</v>
      </c>
      <c r="J49" s="669">
        <f t="shared" si="2"/>
        <v>1579451</v>
      </c>
      <c r="K49" s="669">
        <f t="shared" si="2"/>
        <v>-6397700</v>
      </c>
      <c r="L49" s="669">
        <f t="shared" si="2"/>
        <v>14152849</v>
      </c>
      <c r="M49" s="669">
        <f t="shared" si="2"/>
        <v>20550549</v>
      </c>
      <c r="N49" s="669">
        <f t="shared" si="2"/>
        <v>-2278222</v>
      </c>
      <c r="O49" s="669">
        <f t="shared" si="2"/>
        <v>9277834</v>
      </c>
      <c r="P49" s="670">
        <f t="shared" si="2"/>
        <v>614888</v>
      </c>
    </row>
    <row r="50" spans="1:7" s="672" customFormat="1" ht="12">
      <c r="A50" s="671" t="s">
        <v>755</v>
      </c>
      <c r="G50" s="672" t="s">
        <v>522</v>
      </c>
    </row>
    <row r="51" s="672" customFormat="1" ht="12">
      <c r="A51" s="671" t="s">
        <v>756</v>
      </c>
    </row>
    <row r="52" spans="1:11" s="672" customFormat="1" ht="12">
      <c r="A52" s="673"/>
      <c r="B52" s="620"/>
      <c r="C52" s="620"/>
      <c r="D52" s="620"/>
      <c r="E52" s="620"/>
      <c r="F52" s="620"/>
      <c r="G52" s="620"/>
      <c r="H52" s="620"/>
      <c r="I52" s="620"/>
      <c r="J52" s="620"/>
      <c r="K52" s="620"/>
    </row>
    <row r="53" s="672" customFormat="1" ht="12">
      <c r="A53" s="629"/>
    </row>
    <row r="54" spans="1:12" s="672" customFormat="1" ht="12">
      <c r="A54" s="674"/>
      <c r="B54" s="674"/>
      <c r="C54" s="571"/>
      <c r="D54" s="571"/>
      <c r="E54" s="571"/>
      <c r="F54" s="571"/>
      <c r="H54" s="675"/>
      <c r="I54" s="675"/>
      <c r="J54" s="675"/>
      <c r="K54" s="675"/>
      <c r="L54" s="675"/>
    </row>
    <row r="55" s="677" customFormat="1" ht="11.25">
      <c r="A55" s="676"/>
    </row>
    <row r="58" spans="1:11" s="571" customFormat="1" ht="11.25" customHeight="1">
      <c r="A58" s="678" t="s">
        <v>757</v>
      </c>
      <c r="H58" s="571" t="s">
        <v>758</v>
      </c>
      <c r="K58" s="571" t="s">
        <v>759</v>
      </c>
    </row>
    <row r="59" ht="11.25">
      <c r="A59" s="574"/>
    </row>
    <row r="67" s="537" customFormat="1" ht="11.25">
      <c r="A67" s="580" t="s">
        <v>590</v>
      </c>
    </row>
    <row r="68" ht="11.25">
      <c r="A68" s="527" t="s">
        <v>44</v>
      </c>
    </row>
  </sheetData>
  <printOptions/>
  <pageMargins left="0.25" right="0.25" top="0.6" bottom="0.86" header="0.22" footer="0"/>
  <pageSetup firstPageNumber="31" useFirstPageNumber="1" horizontalDpi="600" verticalDpi="600" orientation="landscape" paperSize="9" r:id="rId1"/>
  <headerFooter alignWithMargins="0">
    <oddFooter>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1"/>
  <dimension ref="A1:P69"/>
  <sheetViews>
    <sheetView showGridLines="0" showZeros="0" workbookViewId="0" topLeftCell="D1">
      <selection activeCell="A17" sqref="A17"/>
    </sheetView>
  </sheetViews>
  <sheetFormatPr defaultColWidth="9.140625" defaultRowHeight="12.75"/>
  <cols>
    <col min="1" max="1" width="20.421875" style="528" customWidth="1"/>
    <col min="2" max="2" width="9.7109375" style="487" customWidth="1"/>
    <col min="3" max="3" width="9.57421875" style="487" customWidth="1"/>
    <col min="4" max="4" width="14.8515625" style="487" customWidth="1"/>
    <col min="5" max="9" width="10.57421875" style="487" customWidth="1"/>
    <col min="10" max="10" width="11.8515625" style="487" customWidth="1"/>
    <col min="11" max="12" width="11.00390625" style="487" customWidth="1"/>
    <col min="13" max="16" width="7.140625" style="487" customWidth="1"/>
    <col min="17" max="16384" width="8.00390625" style="487" customWidth="1"/>
  </cols>
  <sheetData>
    <row r="1" spans="1:12" s="537" customFormat="1" ht="12.75">
      <c r="A1" s="485" t="s">
        <v>0</v>
      </c>
      <c r="B1" s="485"/>
      <c r="C1" s="485"/>
      <c r="D1" s="485"/>
      <c r="E1" s="485"/>
      <c r="F1" s="485"/>
      <c r="G1" s="485"/>
      <c r="H1" s="485"/>
      <c r="I1" s="485"/>
      <c r="J1" s="485"/>
      <c r="K1" s="577"/>
      <c r="L1" s="632" t="s">
        <v>1</v>
      </c>
    </row>
    <row r="2" spans="1:12" s="537" customFormat="1" ht="12.75">
      <c r="A2" s="485"/>
      <c r="B2" s="485"/>
      <c r="C2" s="485"/>
      <c r="D2" s="485"/>
      <c r="E2" s="485"/>
      <c r="F2" s="485"/>
      <c r="G2" s="485"/>
      <c r="H2" s="485"/>
      <c r="I2" s="485"/>
      <c r="J2" s="485"/>
      <c r="K2" s="577"/>
      <c r="L2" s="632"/>
    </row>
    <row r="3" spans="1:12" s="488" customFormat="1" ht="12.75">
      <c r="A3" s="485"/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632"/>
    </row>
    <row r="4" spans="1:16" s="637" customFormat="1" ht="15.75">
      <c r="A4" s="489" t="s">
        <v>2</v>
      </c>
      <c r="B4" s="489"/>
      <c r="C4" s="489"/>
      <c r="D4" s="533"/>
      <c r="E4" s="489"/>
      <c r="F4" s="489"/>
      <c r="G4" s="489"/>
      <c r="H4" s="489"/>
      <c r="I4" s="489"/>
      <c r="J4" s="489"/>
      <c r="K4" s="489"/>
      <c r="L4" s="489"/>
      <c r="M4" s="679"/>
      <c r="N4" s="679"/>
      <c r="O4" s="679"/>
      <c r="P4" s="679"/>
    </row>
    <row r="5" spans="1:16" s="637" customFormat="1" ht="15.75">
      <c r="A5" s="489" t="s">
        <v>47</v>
      </c>
      <c r="B5" s="489"/>
      <c r="C5" s="489"/>
      <c r="D5" s="489"/>
      <c r="E5" s="489"/>
      <c r="F5" s="489"/>
      <c r="G5" s="489"/>
      <c r="H5" s="489"/>
      <c r="I5" s="489"/>
      <c r="J5" s="489"/>
      <c r="K5" s="489"/>
      <c r="L5" s="489"/>
      <c r="M5" s="679"/>
      <c r="N5" s="679"/>
      <c r="O5" s="679"/>
      <c r="P5" s="679"/>
    </row>
    <row r="6" spans="1:16" ht="12.75">
      <c r="A6" s="680"/>
      <c r="B6" s="536"/>
      <c r="C6" s="536"/>
      <c r="D6" s="536"/>
      <c r="E6" s="536"/>
      <c r="F6" s="536"/>
      <c r="G6" s="536"/>
      <c r="H6" s="536"/>
      <c r="I6" s="536"/>
      <c r="J6" s="536"/>
      <c r="K6" s="536"/>
      <c r="L6" s="536"/>
      <c r="M6" s="536"/>
      <c r="N6" s="536"/>
      <c r="O6" s="536"/>
      <c r="P6" s="536"/>
    </row>
    <row r="7" spans="1:16" s="537" customFormat="1" ht="11.25">
      <c r="A7" s="638"/>
      <c r="B7" s="577"/>
      <c r="C7" s="577"/>
      <c r="D7" s="577"/>
      <c r="E7" s="577"/>
      <c r="F7" s="577"/>
      <c r="G7" s="577"/>
      <c r="H7" s="577"/>
      <c r="I7" s="577"/>
      <c r="J7" s="577"/>
      <c r="K7" s="577" t="s">
        <v>3</v>
      </c>
      <c r="L7" s="577"/>
      <c r="N7" s="577"/>
      <c r="O7" s="577"/>
      <c r="P7" s="577"/>
    </row>
    <row r="8" spans="1:16" s="488" customFormat="1" ht="12.75">
      <c r="A8" s="681"/>
      <c r="B8" s="682"/>
      <c r="C8" s="682"/>
      <c r="D8" s="683"/>
      <c r="E8" s="683"/>
      <c r="F8" s="684" t="s">
        <v>4</v>
      </c>
      <c r="G8" s="645"/>
      <c r="H8" s="645"/>
      <c r="I8" s="685"/>
      <c r="J8" s="645"/>
      <c r="K8" s="645"/>
      <c r="L8" s="686"/>
      <c r="N8" s="485"/>
      <c r="O8" s="485"/>
      <c r="P8" s="485"/>
    </row>
    <row r="9" spans="1:12" s="574" customFormat="1" ht="11.25">
      <c r="A9" s="687"/>
      <c r="B9" s="688"/>
      <c r="C9" s="688"/>
      <c r="D9" s="648"/>
      <c r="E9" s="648"/>
      <c r="F9" s="648"/>
      <c r="G9" s="648"/>
      <c r="H9" s="689" t="s">
        <v>702</v>
      </c>
      <c r="I9" s="690"/>
      <c r="J9" s="648"/>
      <c r="K9" s="648"/>
      <c r="L9" s="691"/>
    </row>
    <row r="10" spans="1:16" ht="45">
      <c r="A10" s="687" t="s">
        <v>5</v>
      </c>
      <c r="B10" s="692" t="s">
        <v>6</v>
      </c>
      <c r="C10" s="692" t="s">
        <v>7</v>
      </c>
      <c r="D10" s="692" t="s">
        <v>8</v>
      </c>
      <c r="E10" s="692" t="s">
        <v>9</v>
      </c>
      <c r="F10" s="692" t="s">
        <v>79</v>
      </c>
      <c r="G10" s="692" t="s">
        <v>10</v>
      </c>
      <c r="H10" s="692" t="s">
        <v>713</v>
      </c>
      <c r="I10" s="692" t="s">
        <v>714</v>
      </c>
      <c r="J10" s="692" t="s">
        <v>88</v>
      </c>
      <c r="K10" s="692" t="s">
        <v>90</v>
      </c>
      <c r="L10" s="693" t="s">
        <v>11</v>
      </c>
      <c r="M10" s="596"/>
      <c r="N10" s="536"/>
      <c r="O10" s="536"/>
      <c r="P10" s="536"/>
    </row>
    <row r="11" spans="1:16" s="537" customFormat="1" ht="11.25">
      <c r="A11" s="497">
        <v>1</v>
      </c>
      <c r="B11" s="694">
        <v>2</v>
      </c>
      <c r="C11" s="694">
        <v>3</v>
      </c>
      <c r="D11" s="694">
        <v>4</v>
      </c>
      <c r="E11" s="694">
        <v>5</v>
      </c>
      <c r="F11" s="694">
        <v>6</v>
      </c>
      <c r="G11" s="694">
        <v>7</v>
      </c>
      <c r="H11" s="694">
        <v>8</v>
      </c>
      <c r="I11" s="694">
        <v>9</v>
      </c>
      <c r="J11" s="694">
        <v>10</v>
      </c>
      <c r="K11" s="694">
        <v>11</v>
      </c>
      <c r="L11" s="695">
        <v>12</v>
      </c>
      <c r="M11" s="580"/>
      <c r="N11" s="577"/>
      <c r="O11" s="577"/>
      <c r="P11" s="577"/>
    </row>
    <row r="12" spans="1:13" ht="12">
      <c r="A12" s="696" t="s">
        <v>718</v>
      </c>
      <c r="B12" s="664">
        <v>13858209</v>
      </c>
      <c r="C12" s="664">
        <v>9411702</v>
      </c>
      <c r="D12" s="664">
        <v>4446507</v>
      </c>
      <c r="E12" s="664">
        <v>-4446507</v>
      </c>
      <c r="F12" s="664">
        <v>0</v>
      </c>
      <c r="G12" s="664">
        <v>-4446507</v>
      </c>
      <c r="H12" s="664">
        <v>5081264</v>
      </c>
      <c r="I12" s="664">
        <v>9527771</v>
      </c>
      <c r="J12" s="664">
        <v>0</v>
      </c>
      <c r="K12" s="664">
        <v>0</v>
      </c>
      <c r="L12" s="665">
        <v>0</v>
      </c>
      <c r="M12" s="697"/>
    </row>
    <row r="13" spans="1:13" ht="12">
      <c r="A13" s="696" t="s">
        <v>719</v>
      </c>
      <c r="B13" s="664">
        <v>926230</v>
      </c>
      <c r="C13" s="664">
        <v>929378</v>
      </c>
      <c r="D13" s="664">
        <v>-3148</v>
      </c>
      <c r="E13" s="664">
        <v>3148</v>
      </c>
      <c r="F13" s="664">
        <v>-18500</v>
      </c>
      <c r="G13" s="664">
        <v>21648</v>
      </c>
      <c r="H13" s="664">
        <v>74146</v>
      </c>
      <c r="I13" s="664">
        <v>52498</v>
      </c>
      <c r="J13" s="664">
        <v>0</v>
      </c>
      <c r="K13" s="664">
        <v>0</v>
      </c>
      <c r="L13" s="665">
        <v>0</v>
      </c>
      <c r="M13" s="697"/>
    </row>
    <row r="14" spans="1:13" ht="12">
      <c r="A14" s="696" t="s">
        <v>720</v>
      </c>
      <c r="B14" s="664">
        <v>564561</v>
      </c>
      <c r="C14" s="664">
        <v>446115</v>
      </c>
      <c r="D14" s="664">
        <v>118446</v>
      </c>
      <c r="E14" s="664">
        <v>-118446</v>
      </c>
      <c r="F14" s="664">
        <v>0</v>
      </c>
      <c r="G14" s="664">
        <v>-118446</v>
      </c>
      <c r="H14" s="664">
        <v>103943</v>
      </c>
      <c r="I14" s="664">
        <v>222389</v>
      </c>
      <c r="J14" s="664">
        <v>0</v>
      </c>
      <c r="K14" s="664">
        <v>0</v>
      </c>
      <c r="L14" s="665">
        <v>0</v>
      </c>
      <c r="M14" s="697">
        <v>0</v>
      </c>
    </row>
    <row r="15" spans="1:13" ht="12">
      <c r="A15" s="696" t="s">
        <v>721</v>
      </c>
      <c r="B15" s="664">
        <v>1462959</v>
      </c>
      <c r="C15" s="664">
        <v>1492268</v>
      </c>
      <c r="D15" s="664">
        <v>-29309</v>
      </c>
      <c r="E15" s="664">
        <v>29309</v>
      </c>
      <c r="F15" s="664">
        <v>0</v>
      </c>
      <c r="G15" s="664">
        <v>29309</v>
      </c>
      <c r="H15" s="664">
        <v>148982</v>
      </c>
      <c r="I15" s="664">
        <v>119673</v>
      </c>
      <c r="J15" s="664">
        <v>0</v>
      </c>
      <c r="K15" s="664">
        <v>0</v>
      </c>
      <c r="L15" s="665">
        <v>0</v>
      </c>
      <c r="M15" s="697">
        <v>0</v>
      </c>
    </row>
    <row r="16" spans="1:13" ht="12">
      <c r="A16" s="696" t="s">
        <v>722</v>
      </c>
      <c r="B16" s="664">
        <v>918525</v>
      </c>
      <c r="C16" s="664">
        <v>773496</v>
      </c>
      <c r="D16" s="664">
        <v>145029</v>
      </c>
      <c r="E16" s="664">
        <v>-145029</v>
      </c>
      <c r="F16" s="664">
        <v>0</v>
      </c>
      <c r="G16" s="664">
        <v>-145029</v>
      </c>
      <c r="H16" s="664">
        <v>311894</v>
      </c>
      <c r="I16" s="664">
        <v>456923</v>
      </c>
      <c r="J16" s="664">
        <v>0</v>
      </c>
      <c r="K16" s="664">
        <v>0</v>
      </c>
      <c r="L16" s="665">
        <v>0</v>
      </c>
      <c r="M16" s="697">
        <v>0</v>
      </c>
    </row>
    <row r="17" spans="1:13" ht="12">
      <c r="A17" s="696" t="s">
        <v>723</v>
      </c>
      <c r="B17" s="664">
        <v>208258</v>
      </c>
      <c r="C17" s="664">
        <v>214338</v>
      </c>
      <c r="D17" s="664">
        <v>-6080</v>
      </c>
      <c r="E17" s="664">
        <v>6080</v>
      </c>
      <c r="F17" s="664">
        <v>0</v>
      </c>
      <c r="G17" s="664">
        <v>6080</v>
      </c>
      <c r="H17" s="664">
        <v>56674</v>
      </c>
      <c r="I17" s="664">
        <v>50594</v>
      </c>
      <c r="J17" s="664">
        <v>0</v>
      </c>
      <c r="K17" s="664">
        <v>0</v>
      </c>
      <c r="L17" s="665">
        <v>0</v>
      </c>
      <c r="M17" s="697">
        <v>0</v>
      </c>
    </row>
    <row r="18" spans="1:13" ht="12">
      <c r="A18" s="696" t="s">
        <v>724</v>
      </c>
      <c r="B18" s="664">
        <v>5667617</v>
      </c>
      <c r="C18" s="664">
        <v>5425395</v>
      </c>
      <c r="D18" s="664">
        <v>242222</v>
      </c>
      <c r="E18" s="664">
        <v>-242222</v>
      </c>
      <c r="F18" s="664">
        <v>357000</v>
      </c>
      <c r="G18" s="664">
        <v>-599222</v>
      </c>
      <c r="H18" s="664">
        <v>1678980</v>
      </c>
      <c r="I18" s="664">
        <v>2278202</v>
      </c>
      <c r="J18" s="664">
        <v>0</v>
      </c>
      <c r="K18" s="664">
        <v>0</v>
      </c>
      <c r="L18" s="665">
        <v>0</v>
      </c>
      <c r="M18" s="677">
        <v>0</v>
      </c>
    </row>
    <row r="19" spans="1:16" s="700" customFormat="1" ht="12.75">
      <c r="A19" s="698" t="s">
        <v>725</v>
      </c>
      <c r="B19" s="664">
        <f aca="true" t="shared" si="0" ref="B19:L19">SUM(B12:B18)</f>
        <v>23606359</v>
      </c>
      <c r="C19" s="664">
        <f t="shared" si="0"/>
        <v>18692692</v>
      </c>
      <c r="D19" s="664">
        <f t="shared" si="0"/>
        <v>4913667</v>
      </c>
      <c r="E19" s="664">
        <f t="shared" si="0"/>
        <v>-4913667</v>
      </c>
      <c r="F19" s="664">
        <f t="shared" si="0"/>
        <v>338500</v>
      </c>
      <c r="G19" s="664">
        <f t="shared" si="0"/>
        <v>-5252167</v>
      </c>
      <c r="H19" s="664">
        <f t="shared" si="0"/>
        <v>7455883</v>
      </c>
      <c r="I19" s="664">
        <f t="shared" si="0"/>
        <v>12708050</v>
      </c>
      <c r="J19" s="664">
        <f t="shared" si="0"/>
        <v>0</v>
      </c>
      <c r="K19" s="664">
        <f t="shared" si="0"/>
        <v>0</v>
      </c>
      <c r="L19" s="665">
        <f t="shared" si="0"/>
        <v>0</v>
      </c>
      <c r="M19" s="699">
        <v>0</v>
      </c>
      <c r="N19" s="699"/>
      <c r="O19" s="699"/>
      <c r="P19" s="699"/>
    </row>
    <row r="20" spans="1:13" ht="12">
      <c r="A20" s="696" t="s">
        <v>727</v>
      </c>
      <c r="B20" s="664">
        <v>275593</v>
      </c>
      <c r="C20" s="664">
        <v>272106</v>
      </c>
      <c r="D20" s="664">
        <v>3487</v>
      </c>
      <c r="E20" s="664">
        <v>-3487</v>
      </c>
      <c r="F20" s="664">
        <v>1850</v>
      </c>
      <c r="G20" s="664">
        <v>-5337</v>
      </c>
      <c r="H20" s="664">
        <v>114183</v>
      </c>
      <c r="I20" s="664">
        <v>119520</v>
      </c>
      <c r="J20" s="664">
        <v>0</v>
      </c>
      <c r="K20" s="664">
        <v>0</v>
      </c>
      <c r="L20" s="665">
        <v>0</v>
      </c>
      <c r="M20" s="697">
        <v>0</v>
      </c>
    </row>
    <row r="21" spans="1:13" ht="12">
      <c r="A21" s="696" t="s">
        <v>728</v>
      </c>
      <c r="B21" s="664">
        <v>350125</v>
      </c>
      <c r="C21" s="664">
        <v>373110</v>
      </c>
      <c r="D21" s="664">
        <v>-22985</v>
      </c>
      <c r="E21" s="664">
        <v>22985</v>
      </c>
      <c r="F21" s="664">
        <v>-4787</v>
      </c>
      <c r="G21" s="664">
        <v>27772</v>
      </c>
      <c r="H21" s="664">
        <v>150094</v>
      </c>
      <c r="I21" s="664">
        <v>122322</v>
      </c>
      <c r="J21" s="664">
        <v>0</v>
      </c>
      <c r="K21" s="664">
        <v>0</v>
      </c>
      <c r="L21" s="665">
        <v>0</v>
      </c>
      <c r="M21" s="697"/>
    </row>
    <row r="22" spans="1:13" ht="12">
      <c r="A22" s="696" t="s">
        <v>729</v>
      </c>
      <c r="B22" s="664">
        <v>313821</v>
      </c>
      <c r="C22" s="664">
        <v>301751</v>
      </c>
      <c r="D22" s="664">
        <v>12070</v>
      </c>
      <c r="E22" s="664">
        <v>-12070</v>
      </c>
      <c r="F22" s="664">
        <v>-2950</v>
      </c>
      <c r="G22" s="664">
        <v>-9120</v>
      </c>
      <c r="H22" s="664">
        <v>71508</v>
      </c>
      <c r="I22" s="664">
        <v>80628</v>
      </c>
      <c r="J22" s="664">
        <v>0</v>
      </c>
      <c r="K22" s="664">
        <v>0</v>
      </c>
      <c r="L22" s="665">
        <v>0</v>
      </c>
      <c r="M22" s="697"/>
    </row>
    <row r="23" spans="1:13" ht="12">
      <c r="A23" s="696" t="s">
        <v>730</v>
      </c>
      <c r="B23" s="664">
        <v>493782</v>
      </c>
      <c r="C23" s="664">
        <v>409085</v>
      </c>
      <c r="D23" s="664">
        <v>84697</v>
      </c>
      <c r="E23" s="664">
        <v>-84697</v>
      </c>
      <c r="F23" s="664">
        <v>0</v>
      </c>
      <c r="G23" s="664">
        <v>-84697</v>
      </c>
      <c r="H23" s="664">
        <v>99663</v>
      </c>
      <c r="I23" s="664">
        <v>184360</v>
      </c>
      <c r="J23" s="664">
        <v>0</v>
      </c>
      <c r="K23" s="664">
        <v>0</v>
      </c>
      <c r="L23" s="665">
        <v>0</v>
      </c>
      <c r="M23" s="697"/>
    </row>
    <row r="24" spans="1:13" ht="12">
      <c r="A24" s="696" t="s">
        <v>731</v>
      </c>
      <c r="B24" s="664">
        <v>589923</v>
      </c>
      <c r="C24" s="664">
        <v>584802</v>
      </c>
      <c r="D24" s="664">
        <v>5121</v>
      </c>
      <c r="E24" s="664">
        <v>-5121</v>
      </c>
      <c r="F24" s="664">
        <v>-3525</v>
      </c>
      <c r="G24" s="664">
        <v>-1596</v>
      </c>
      <c r="H24" s="664">
        <v>125613</v>
      </c>
      <c r="I24" s="664">
        <v>127209</v>
      </c>
      <c r="J24" s="664">
        <v>0</v>
      </c>
      <c r="K24" s="664">
        <v>0</v>
      </c>
      <c r="L24" s="665">
        <v>0</v>
      </c>
      <c r="M24" s="697"/>
    </row>
    <row r="25" spans="1:13" ht="12">
      <c r="A25" s="696" t="s">
        <v>732</v>
      </c>
      <c r="B25" s="664">
        <v>472162</v>
      </c>
      <c r="C25" s="664">
        <v>469903</v>
      </c>
      <c r="D25" s="664">
        <v>2259</v>
      </c>
      <c r="E25" s="664">
        <v>-2259</v>
      </c>
      <c r="F25" s="664">
        <v>0</v>
      </c>
      <c r="G25" s="664">
        <v>-2259</v>
      </c>
      <c r="H25" s="664">
        <v>79454</v>
      </c>
      <c r="I25" s="664">
        <v>81713</v>
      </c>
      <c r="J25" s="664">
        <v>0</v>
      </c>
      <c r="K25" s="664">
        <v>0</v>
      </c>
      <c r="L25" s="665">
        <v>0</v>
      </c>
      <c r="M25" s="697"/>
    </row>
    <row r="26" spans="1:13" ht="12">
      <c r="A26" s="696" t="s">
        <v>733</v>
      </c>
      <c r="B26" s="664">
        <v>652022</v>
      </c>
      <c r="C26" s="664">
        <v>576221</v>
      </c>
      <c r="D26" s="664">
        <v>75801</v>
      </c>
      <c r="E26" s="664">
        <v>-75801</v>
      </c>
      <c r="F26" s="664">
        <v>0</v>
      </c>
      <c r="G26" s="664">
        <v>-75801</v>
      </c>
      <c r="H26" s="664">
        <v>60260</v>
      </c>
      <c r="I26" s="664">
        <v>136061</v>
      </c>
      <c r="J26" s="664">
        <v>0</v>
      </c>
      <c r="K26" s="664">
        <v>0</v>
      </c>
      <c r="L26" s="665">
        <v>0</v>
      </c>
      <c r="M26" s="697"/>
    </row>
    <row r="27" spans="1:13" ht="12">
      <c r="A27" s="696" t="s">
        <v>734</v>
      </c>
      <c r="B27" s="664">
        <v>274911</v>
      </c>
      <c r="C27" s="664">
        <v>271330</v>
      </c>
      <c r="D27" s="664">
        <v>3581</v>
      </c>
      <c r="E27" s="664">
        <v>-3581</v>
      </c>
      <c r="F27" s="664">
        <v>1728</v>
      </c>
      <c r="G27" s="664">
        <v>-5309</v>
      </c>
      <c r="H27" s="664">
        <v>68808</v>
      </c>
      <c r="I27" s="664">
        <v>74117</v>
      </c>
      <c r="J27" s="664">
        <v>0</v>
      </c>
      <c r="K27" s="664">
        <v>0</v>
      </c>
      <c r="L27" s="665">
        <v>0</v>
      </c>
      <c r="M27" s="697"/>
    </row>
    <row r="28" spans="1:13" ht="12">
      <c r="A28" s="696" t="s">
        <v>735</v>
      </c>
      <c r="B28" s="664">
        <v>525621</v>
      </c>
      <c r="C28" s="664">
        <v>495392</v>
      </c>
      <c r="D28" s="664">
        <v>30229</v>
      </c>
      <c r="E28" s="664">
        <v>-30229</v>
      </c>
      <c r="F28" s="664">
        <v>0</v>
      </c>
      <c r="G28" s="664">
        <v>-3627</v>
      </c>
      <c r="H28" s="664">
        <v>110754</v>
      </c>
      <c r="I28" s="664">
        <v>114381</v>
      </c>
      <c r="J28" s="664">
        <v>-26602</v>
      </c>
      <c r="K28" s="664">
        <v>0</v>
      </c>
      <c r="L28" s="665">
        <v>0</v>
      </c>
      <c r="M28" s="697"/>
    </row>
    <row r="29" spans="1:13" ht="12">
      <c r="A29" s="696" t="s">
        <v>736</v>
      </c>
      <c r="B29" s="664">
        <v>707678</v>
      </c>
      <c r="C29" s="664">
        <v>613794</v>
      </c>
      <c r="D29" s="664">
        <v>93884</v>
      </c>
      <c r="E29" s="664">
        <v>-93884</v>
      </c>
      <c r="F29" s="664">
        <v>800</v>
      </c>
      <c r="G29" s="664">
        <v>-94684</v>
      </c>
      <c r="H29" s="664">
        <v>101304</v>
      </c>
      <c r="I29" s="664">
        <v>195988</v>
      </c>
      <c r="J29" s="664">
        <v>0</v>
      </c>
      <c r="K29" s="664">
        <v>0</v>
      </c>
      <c r="L29" s="665">
        <v>0</v>
      </c>
      <c r="M29" s="697"/>
    </row>
    <row r="30" spans="1:13" ht="12">
      <c r="A30" s="696" t="s">
        <v>737</v>
      </c>
      <c r="B30" s="664">
        <v>448873</v>
      </c>
      <c r="C30" s="664">
        <v>427600</v>
      </c>
      <c r="D30" s="664">
        <v>21273</v>
      </c>
      <c r="E30" s="664">
        <v>-21273</v>
      </c>
      <c r="F30" s="664">
        <v>7200</v>
      </c>
      <c r="G30" s="664">
        <v>-29000</v>
      </c>
      <c r="H30" s="664">
        <v>96161</v>
      </c>
      <c r="I30" s="664">
        <v>124634</v>
      </c>
      <c r="J30" s="664">
        <v>0</v>
      </c>
      <c r="K30" s="664">
        <v>0</v>
      </c>
      <c r="L30" s="665">
        <v>0</v>
      </c>
      <c r="M30" s="697"/>
    </row>
    <row r="31" spans="1:13" ht="12">
      <c r="A31" s="696" t="s">
        <v>738</v>
      </c>
      <c r="B31" s="664">
        <v>668669</v>
      </c>
      <c r="C31" s="664">
        <v>592422</v>
      </c>
      <c r="D31" s="664">
        <v>76247</v>
      </c>
      <c r="E31" s="664">
        <v>-76247</v>
      </c>
      <c r="F31" s="664">
        <v>0</v>
      </c>
      <c r="G31" s="664">
        <v>-76247</v>
      </c>
      <c r="H31" s="664">
        <v>138343</v>
      </c>
      <c r="I31" s="664">
        <v>214590</v>
      </c>
      <c r="J31" s="664">
        <v>0</v>
      </c>
      <c r="K31" s="664">
        <v>0</v>
      </c>
      <c r="L31" s="665">
        <v>0</v>
      </c>
      <c r="M31" s="697"/>
    </row>
    <row r="32" spans="1:13" ht="12">
      <c r="A32" s="696" t="s">
        <v>739</v>
      </c>
      <c r="B32" s="664">
        <v>726554</v>
      </c>
      <c r="C32" s="664">
        <v>713169</v>
      </c>
      <c r="D32" s="664">
        <v>13385</v>
      </c>
      <c r="E32" s="664">
        <v>-13385</v>
      </c>
      <c r="F32" s="664">
        <v>-2900</v>
      </c>
      <c r="G32" s="664">
        <v>-42216</v>
      </c>
      <c r="H32" s="664">
        <v>147994</v>
      </c>
      <c r="I32" s="664">
        <v>190210</v>
      </c>
      <c r="J32" s="664">
        <v>29731</v>
      </c>
      <c r="K32" s="664">
        <v>2000</v>
      </c>
      <c r="L32" s="665">
        <v>0</v>
      </c>
      <c r="M32" s="697"/>
    </row>
    <row r="33" spans="1:13" ht="12">
      <c r="A33" s="696" t="s">
        <v>740</v>
      </c>
      <c r="B33" s="664">
        <v>496940</v>
      </c>
      <c r="C33" s="664">
        <v>461044</v>
      </c>
      <c r="D33" s="664">
        <v>35896</v>
      </c>
      <c r="E33" s="664">
        <v>-35896</v>
      </c>
      <c r="F33" s="664">
        <v>0</v>
      </c>
      <c r="G33" s="664">
        <v>-35896</v>
      </c>
      <c r="H33" s="664">
        <v>125828</v>
      </c>
      <c r="I33" s="664">
        <v>161724</v>
      </c>
      <c r="J33" s="664">
        <v>0</v>
      </c>
      <c r="K33" s="664">
        <v>0</v>
      </c>
      <c r="L33" s="665">
        <v>0</v>
      </c>
      <c r="M33" s="697"/>
    </row>
    <row r="34" spans="1:13" ht="12">
      <c r="A34" s="696" t="s">
        <v>741</v>
      </c>
      <c r="B34" s="664">
        <v>368157</v>
      </c>
      <c r="C34" s="664">
        <v>366352</v>
      </c>
      <c r="D34" s="664">
        <v>1805</v>
      </c>
      <c r="E34" s="664">
        <v>-1805</v>
      </c>
      <c r="F34" s="664">
        <v>83</v>
      </c>
      <c r="G34" s="664">
        <v>-1888</v>
      </c>
      <c r="H34" s="664">
        <v>151361</v>
      </c>
      <c r="I34" s="664">
        <v>153249</v>
      </c>
      <c r="J34" s="664">
        <v>0</v>
      </c>
      <c r="K34" s="664">
        <v>0</v>
      </c>
      <c r="L34" s="665">
        <v>0</v>
      </c>
      <c r="M34" s="697"/>
    </row>
    <row r="35" spans="1:13" ht="12">
      <c r="A35" s="696" t="s">
        <v>742</v>
      </c>
      <c r="B35" s="664">
        <v>467000</v>
      </c>
      <c r="C35" s="664">
        <v>483820</v>
      </c>
      <c r="D35" s="664">
        <v>-17573</v>
      </c>
      <c r="E35" s="664">
        <v>17573</v>
      </c>
      <c r="F35" s="664">
        <v>-2500</v>
      </c>
      <c r="G35" s="664">
        <v>20073</v>
      </c>
      <c r="H35" s="664">
        <v>150132</v>
      </c>
      <c r="I35" s="664">
        <v>130059</v>
      </c>
      <c r="J35" s="664">
        <v>0</v>
      </c>
      <c r="K35" s="664">
        <v>0</v>
      </c>
      <c r="L35" s="665">
        <v>0</v>
      </c>
      <c r="M35" s="697"/>
    </row>
    <row r="36" spans="1:13" ht="12">
      <c r="A36" s="696" t="s">
        <v>743</v>
      </c>
      <c r="B36" s="664">
        <v>541107</v>
      </c>
      <c r="C36" s="664">
        <v>532589</v>
      </c>
      <c r="D36" s="664">
        <v>8518</v>
      </c>
      <c r="E36" s="664">
        <v>-8518</v>
      </c>
      <c r="F36" s="664">
        <v>0</v>
      </c>
      <c r="G36" s="664">
        <v>-21768</v>
      </c>
      <c r="H36" s="664">
        <v>191208</v>
      </c>
      <c r="I36" s="664">
        <v>212976</v>
      </c>
      <c r="J36" s="664">
        <v>0</v>
      </c>
      <c r="K36" s="664">
        <v>13250</v>
      </c>
      <c r="L36" s="665">
        <v>0</v>
      </c>
      <c r="M36" s="697"/>
    </row>
    <row r="37" spans="1:13" ht="12">
      <c r="A37" s="696" t="s">
        <v>744</v>
      </c>
      <c r="B37" s="664">
        <v>607745</v>
      </c>
      <c r="C37" s="664">
        <v>613527</v>
      </c>
      <c r="D37" s="664">
        <v>-5782</v>
      </c>
      <c r="E37" s="664">
        <v>5782</v>
      </c>
      <c r="F37" s="664">
        <v>91450</v>
      </c>
      <c r="G37" s="664">
        <v>-85668</v>
      </c>
      <c r="H37" s="664">
        <v>75076</v>
      </c>
      <c r="I37" s="664">
        <v>160744</v>
      </c>
      <c r="J37" s="664">
        <v>0</v>
      </c>
      <c r="K37" s="664">
        <v>0</v>
      </c>
      <c r="L37" s="665">
        <v>0</v>
      </c>
      <c r="M37" s="697"/>
    </row>
    <row r="38" spans="1:13" ht="12">
      <c r="A38" s="696" t="s">
        <v>745</v>
      </c>
      <c r="B38" s="664">
        <v>285101</v>
      </c>
      <c r="C38" s="664">
        <v>282624</v>
      </c>
      <c r="D38" s="664">
        <v>2477</v>
      </c>
      <c r="E38" s="664">
        <v>-2477</v>
      </c>
      <c r="F38" s="664">
        <v>0</v>
      </c>
      <c r="G38" s="664">
        <v>-2477</v>
      </c>
      <c r="H38" s="664">
        <v>125828</v>
      </c>
      <c r="I38" s="664">
        <v>128305</v>
      </c>
      <c r="J38" s="664">
        <v>0</v>
      </c>
      <c r="K38" s="664">
        <v>0</v>
      </c>
      <c r="L38" s="665">
        <v>0</v>
      </c>
      <c r="M38" s="697"/>
    </row>
    <row r="39" spans="1:13" ht="12">
      <c r="A39" s="696" t="s">
        <v>746</v>
      </c>
      <c r="B39" s="664">
        <v>1279716</v>
      </c>
      <c r="C39" s="664">
        <v>1198865</v>
      </c>
      <c r="D39" s="664">
        <v>80851</v>
      </c>
      <c r="E39" s="664">
        <v>-80851</v>
      </c>
      <c r="F39" s="664">
        <v>0</v>
      </c>
      <c r="G39" s="664">
        <v>-80851</v>
      </c>
      <c r="H39" s="664">
        <v>364045</v>
      </c>
      <c r="I39" s="664">
        <v>444896</v>
      </c>
      <c r="J39" s="664">
        <v>0</v>
      </c>
      <c r="K39" s="664">
        <v>0</v>
      </c>
      <c r="L39" s="665">
        <v>0</v>
      </c>
      <c r="M39" s="697"/>
    </row>
    <row r="40" spans="1:13" ht="12">
      <c r="A40" s="696" t="s">
        <v>747</v>
      </c>
      <c r="B40" s="664">
        <v>303676</v>
      </c>
      <c r="C40" s="664">
        <v>361014</v>
      </c>
      <c r="D40" s="664">
        <v>-57338</v>
      </c>
      <c r="E40" s="664">
        <v>57338</v>
      </c>
      <c r="F40" s="664">
        <v>-2100</v>
      </c>
      <c r="G40" s="664">
        <v>59438</v>
      </c>
      <c r="H40" s="664">
        <v>193711</v>
      </c>
      <c r="I40" s="664">
        <v>134273</v>
      </c>
      <c r="J40" s="664">
        <v>0</v>
      </c>
      <c r="K40" s="664">
        <v>0</v>
      </c>
      <c r="L40" s="665">
        <v>0</v>
      </c>
      <c r="M40" s="697"/>
    </row>
    <row r="41" spans="1:13" ht="12">
      <c r="A41" s="696" t="s">
        <v>748</v>
      </c>
      <c r="B41" s="664">
        <v>377114</v>
      </c>
      <c r="C41" s="664">
        <v>401444</v>
      </c>
      <c r="D41" s="664">
        <v>-24330</v>
      </c>
      <c r="E41" s="664">
        <v>24330</v>
      </c>
      <c r="F41" s="664">
        <v>0</v>
      </c>
      <c r="G41" s="664">
        <v>24330</v>
      </c>
      <c r="H41" s="664">
        <v>180663</v>
      </c>
      <c r="I41" s="664">
        <v>156333</v>
      </c>
      <c r="J41" s="664">
        <v>0</v>
      </c>
      <c r="K41" s="664">
        <v>0</v>
      </c>
      <c r="L41" s="665">
        <v>0</v>
      </c>
      <c r="M41" s="697"/>
    </row>
    <row r="42" spans="1:13" ht="12">
      <c r="A42" s="696" t="s">
        <v>749</v>
      </c>
      <c r="B42" s="664">
        <v>600172</v>
      </c>
      <c r="C42" s="664">
        <v>631124</v>
      </c>
      <c r="D42" s="664">
        <v>-30952</v>
      </c>
      <c r="E42" s="664">
        <v>30952</v>
      </c>
      <c r="F42" s="664">
        <v>0</v>
      </c>
      <c r="G42" s="664">
        <v>31125</v>
      </c>
      <c r="H42" s="664">
        <v>329438</v>
      </c>
      <c r="I42" s="664">
        <v>298313</v>
      </c>
      <c r="J42" s="664">
        <v>0</v>
      </c>
      <c r="K42" s="664">
        <v>-173</v>
      </c>
      <c r="L42" s="665">
        <v>0</v>
      </c>
      <c r="M42" s="697"/>
    </row>
    <row r="43" spans="1:13" ht="12">
      <c r="A43" s="696" t="s">
        <v>750</v>
      </c>
      <c r="B43" s="664">
        <v>293561</v>
      </c>
      <c r="C43" s="664">
        <v>266047</v>
      </c>
      <c r="D43" s="664">
        <v>27514</v>
      </c>
      <c r="E43" s="664">
        <v>-27514</v>
      </c>
      <c r="F43" s="664">
        <v>-945</v>
      </c>
      <c r="G43" s="664">
        <v>-26569</v>
      </c>
      <c r="H43" s="664">
        <v>93591</v>
      </c>
      <c r="I43" s="664">
        <v>120160</v>
      </c>
      <c r="J43" s="664">
        <v>0</v>
      </c>
      <c r="K43" s="664">
        <v>0</v>
      </c>
      <c r="L43" s="665">
        <v>0</v>
      </c>
      <c r="M43" s="697"/>
    </row>
    <row r="44" spans="1:13" ht="12">
      <c r="A44" s="696" t="s">
        <v>751</v>
      </c>
      <c r="B44" s="664">
        <v>501901</v>
      </c>
      <c r="C44" s="664">
        <v>469886</v>
      </c>
      <c r="D44" s="664">
        <v>32015</v>
      </c>
      <c r="E44" s="664">
        <v>-32015</v>
      </c>
      <c r="F44" s="664">
        <v>0</v>
      </c>
      <c r="G44" s="664">
        <v>-32015</v>
      </c>
      <c r="H44" s="664">
        <v>158959</v>
      </c>
      <c r="I44" s="664">
        <v>190974</v>
      </c>
      <c r="J44" s="664">
        <v>0</v>
      </c>
      <c r="K44" s="664">
        <v>0</v>
      </c>
      <c r="L44" s="665">
        <v>0</v>
      </c>
      <c r="M44" s="697"/>
    </row>
    <row r="45" spans="1:13" ht="12">
      <c r="A45" s="696" t="s">
        <v>752</v>
      </c>
      <c r="B45" s="664">
        <v>303005</v>
      </c>
      <c r="C45" s="664">
        <v>318305</v>
      </c>
      <c r="D45" s="664">
        <v>-15300</v>
      </c>
      <c r="E45" s="664">
        <v>15300</v>
      </c>
      <c r="F45" s="664">
        <v>0</v>
      </c>
      <c r="G45" s="664">
        <v>15300</v>
      </c>
      <c r="H45" s="664">
        <v>142100</v>
      </c>
      <c r="I45" s="664">
        <v>126800</v>
      </c>
      <c r="J45" s="664">
        <v>0</v>
      </c>
      <c r="K45" s="664">
        <v>0</v>
      </c>
      <c r="L45" s="665">
        <v>0</v>
      </c>
      <c r="M45" s="697"/>
    </row>
    <row r="46" spans="1:12" ht="12.75">
      <c r="A46" s="698" t="s">
        <v>753</v>
      </c>
      <c r="B46" s="664">
        <f aca="true" t="shared" si="1" ref="B46:L46">SUM(B20:B45)</f>
        <v>12924929</v>
      </c>
      <c r="C46" s="664">
        <f t="shared" si="1"/>
        <v>12487326</v>
      </c>
      <c r="D46" s="664">
        <f t="shared" si="1"/>
        <v>436850</v>
      </c>
      <c r="E46" s="664">
        <f t="shared" si="1"/>
        <v>-436850</v>
      </c>
      <c r="F46" s="664">
        <f t="shared" si="1"/>
        <v>83404</v>
      </c>
      <c r="G46" s="664">
        <f t="shared" si="1"/>
        <v>-538987</v>
      </c>
      <c r="H46" s="664">
        <f t="shared" si="1"/>
        <v>3646079</v>
      </c>
      <c r="I46" s="664">
        <f t="shared" si="1"/>
        <v>4184539</v>
      </c>
      <c r="J46" s="664">
        <f t="shared" si="1"/>
        <v>3129</v>
      </c>
      <c r="K46" s="664">
        <f t="shared" si="1"/>
        <v>15077</v>
      </c>
      <c r="L46" s="665">
        <f t="shared" si="1"/>
        <v>0</v>
      </c>
    </row>
    <row r="47" spans="1:12" ht="12.75">
      <c r="A47" s="701" t="s">
        <v>754</v>
      </c>
      <c r="B47" s="669">
        <f aca="true" t="shared" si="2" ref="B47:L47">SUM(B46,B19)</f>
        <v>36531288</v>
      </c>
      <c r="C47" s="669">
        <f t="shared" si="2"/>
        <v>31180018</v>
      </c>
      <c r="D47" s="669">
        <f t="shared" si="2"/>
        <v>5350517</v>
      </c>
      <c r="E47" s="669">
        <f t="shared" si="2"/>
        <v>-5350517</v>
      </c>
      <c r="F47" s="669">
        <f t="shared" si="2"/>
        <v>421904</v>
      </c>
      <c r="G47" s="669">
        <f t="shared" si="2"/>
        <v>-5791154</v>
      </c>
      <c r="H47" s="669">
        <f t="shared" si="2"/>
        <v>11101962</v>
      </c>
      <c r="I47" s="669">
        <f t="shared" si="2"/>
        <v>16892589</v>
      </c>
      <c r="J47" s="669">
        <f t="shared" si="2"/>
        <v>3129</v>
      </c>
      <c r="K47" s="669">
        <f t="shared" si="2"/>
        <v>15077</v>
      </c>
      <c r="L47" s="670">
        <f t="shared" si="2"/>
        <v>0</v>
      </c>
    </row>
    <row r="48" spans="1:12" ht="12.75">
      <c r="A48" s="702"/>
      <c r="B48" s="703"/>
      <c r="C48" s="703"/>
      <c r="D48" s="703"/>
      <c r="E48" s="703"/>
      <c r="F48" s="703"/>
      <c r="G48" s="703"/>
      <c r="H48" s="703"/>
      <c r="I48" s="703"/>
      <c r="J48" s="703"/>
      <c r="K48" s="703"/>
      <c r="L48" s="703"/>
    </row>
    <row r="49" s="672" customFormat="1" ht="12">
      <c r="A49" s="671" t="s">
        <v>12</v>
      </c>
    </row>
    <row r="54" spans="1:11" s="571" customFormat="1" ht="11.25" customHeight="1">
      <c r="A54" s="678" t="s">
        <v>628</v>
      </c>
      <c r="H54" s="571" t="s">
        <v>758</v>
      </c>
      <c r="K54" s="571" t="s">
        <v>589</v>
      </c>
    </row>
    <row r="55" spans="1:16" s="672" customFormat="1" ht="12">
      <c r="A55" s="704"/>
      <c r="B55" s="592"/>
      <c r="C55" s="571"/>
      <c r="D55" s="592"/>
      <c r="E55" s="592"/>
      <c r="F55" s="592"/>
      <c r="G55" s="571"/>
      <c r="H55" s="675"/>
      <c r="I55" s="592"/>
      <c r="J55" s="592"/>
      <c r="K55" s="592"/>
      <c r="L55" s="592"/>
      <c r="M55" s="592"/>
      <c r="N55" s="592"/>
      <c r="O55" s="592"/>
      <c r="P55" s="592"/>
    </row>
    <row r="56" spans="1:8" s="708" customFormat="1" ht="11.25">
      <c r="A56" s="705"/>
      <c r="B56" s="706"/>
      <c r="C56" s="487"/>
      <c r="D56" s="707"/>
      <c r="E56" s="487"/>
      <c r="F56" s="707"/>
      <c r="G56" s="707"/>
      <c r="H56" s="487"/>
    </row>
    <row r="57" spans="1:9" s="677" customFormat="1" ht="12.75">
      <c r="A57" s="629"/>
      <c r="B57" s="709"/>
      <c r="C57" s="487"/>
      <c r="D57" s="710"/>
      <c r="E57" s="710"/>
      <c r="G57" s="711"/>
      <c r="I57" s="672"/>
    </row>
    <row r="58" spans="1:16" s="672" customFormat="1" ht="12">
      <c r="A58" s="704"/>
      <c r="B58" s="592"/>
      <c r="C58" s="571"/>
      <c r="D58" s="592"/>
      <c r="E58" s="592"/>
      <c r="F58" s="592"/>
      <c r="G58" s="571"/>
      <c r="H58" s="675"/>
      <c r="I58" s="592"/>
      <c r="J58" s="592"/>
      <c r="K58" s="592"/>
      <c r="L58" s="592"/>
      <c r="M58" s="592"/>
      <c r="N58" s="592"/>
      <c r="O58" s="592"/>
      <c r="P58" s="592"/>
    </row>
    <row r="59" s="677" customFormat="1" ht="11.25">
      <c r="A59" s="676"/>
    </row>
    <row r="60" spans="1:6" s="677" customFormat="1" ht="11.25">
      <c r="A60" s="676"/>
      <c r="B60" s="487"/>
      <c r="C60" s="487"/>
      <c r="D60" s="487"/>
      <c r="E60" s="487"/>
      <c r="F60" s="487"/>
    </row>
    <row r="67" ht="11.25">
      <c r="A67" s="580" t="s">
        <v>590</v>
      </c>
    </row>
    <row r="68" s="580" customFormat="1" ht="11.25">
      <c r="A68" s="527" t="s">
        <v>44</v>
      </c>
    </row>
    <row r="69" ht="11.25">
      <c r="A69" s="527"/>
    </row>
  </sheetData>
  <printOptions/>
  <pageMargins left="0.7" right="0.2362204724409449" top="0.78" bottom="0.75" header="0.18" footer="0"/>
  <pageSetup firstPageNumber="33" useFirstPageNumber="1" horizontalDpi="600" verticalDpi="60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L81"/>
  <sheetViews>
    <sheetView workbookViewId="0" topLeftCell="F1">
      <selection activeCell="F5" sqref="F5"/>
    </sheetView>
  </sheetViews>
  <sheetFormatPr defaultColWidth="9.140625" defaultRowHeight="12.75"/>
  <cols>
    <col min="1" max="1" width="47.421875" style="43" hidden="1" customWidth="1"/>
    <col min="2" max="2" width="13.28125" style="44" hidden="1" customWidth="1"/>
    <col min="3" max="3" width="12.7109375" style="43" hidden="1" customWidth="1"/>
    <col min="4" max="4" width="7.57421875" style="43" hidden="1" customWidth="1"/>
    <col min="5" max="5" width="3.8515625" style="43" hidden="1" customWidth="1"/>
    <col min="6" max="6" width="50.00390625" style="0" customWidth="1"/>
    <col min="7" max="7" width="10.7109375" style="0" customWidth="1"/>
    <col min="8" max="8" width="10.57421875" style="0" customWidth="1"/>
    <col min="9" max="9" width="9.00390625" style="0" customWidth="1"/>
    <col min="10" max="10" width="9.421875" style="0" customWidth="1"/>
    <col min="11" max="12" width="0" style="0" hidden="1" customWidth="1"/>
    <col min="143" max="16384" width="9.140625" style="43" customWidth="1"/>
  </cols>
  <sheetData>
    <row r="1" spans="5:10" ht="12.75">
      <c r="E1" s="43" t="s">
        <v>97</v>
      </c>
      <c r="F1" s="43"/>
      <c r="G1" s="44"/>
      <c r="H1" s="43"/>
      <c r="I1" s="43"/>
      <c r="J1" s="43" t="s">
        <v>97</v>
      </c>
    </row>
    <row r="2" spans="1:10" ht="18" customHeight="1">
      <c r="A2" s="32" t="s">
        <v>98</v>
      </c>
      <c r="B2" s="45"/>
      <c r="C2" s="32"/>
      <c r="D2" s="32"/>
      <c r="E2" s="32"/>
      <c r="F2" s="32" t="s">
        <v>98</v>
      </c>
      <c r="G2" s="45"/>
      <c r="H2" s="32"/>
      <c r="I2" s="32"/>
      <c r="J2" s="32"/>
    </row>
    <row r="3" spans="6:10" ht="20.25" customHeight="1">
      <c r="F3" s="43"/>
      <c r="G3" s="44"/>
      <c r="H3" s="43"/>
      <c r="I3" s="43"/>
      <c r="J3" s="43"/>
    </row>
    <row r="4" spans="1:10" ht="18.75" customHeight="1">
      <c r="A4" s="759" t="s">
        <v>99</v>
      </c>
      <c r="B4" s="759"/>
      <c r="C4" s="759"/>
      <c r="D4" s="759"/>
      <c r="E4" s="759"/>
      <c r="F4" s="759" t="s">
        <v>100</v>
      </c>
      <c r="G4" s="759"/>
      <c r="H4" s="759"/>
      <c r="I4" s="759"/>
      <c r="J4" s="759"/>
    </row>
    <row r="5" spans="1:10" ht="18.75" customHeight="1">
      <c r="A5" s="46"/>
      <c r="B5" s="46"/>
      <c r="C5" s="46"/>
      <c r="D5" s="46"/>
      <c r="E5" s="46"/>
      <c r="F5" s="46"/>
      <c r="G5" s="46"/>
      <c r="H5" s="46"/>
      <c r="I5" s="46"/>
      <c r="J5" s="46"/>
    </row>
    <row r="6" spans="1:10" ht="15.75" customHeight="1">
      <c r="A6" s="47"/>
      <c r="B6" s="45"/>
      <c r="C6" s="32"/>
      <c r="D6" s="39"/>
      <c r="E6" s="39"/>
      <c r="F6" s="47"/>
      <c r="G6" s="45"/>
      <c r="H6" s="32"/>
      <c r="I6" s="39"/>
      <c r="J6" s="39" t="s">
        <v>101</v>
      </c>
    </row>
    <row r="7" spans="1:10" ht="56.25">
      <c r="A7" s="5" t="s">
        <v>54</v>
      </c>
      <c r="B7" s="48" t="s">
        <v>102</v>
      </c>
      <c r="C7" s="5" t="s">
        <v>103</v>
      </c>
      <c r="D7" s="5" t="s">
        <v>104</v>
      </c>
      <c r="E7" s="5" t="s">
        <v>105</v>
      </c>
      <c r="F7" s="5" t="s">
        <v>54</v>
      </c>
      <c r="G7" s="48" t="s">
        <v>102</v>
      </c>
      <c r="H7" s="5" t="s">
        <v>103</v>
      </c>
      <c r="I7" s="5" t="s">
        <v>104</v>
      </c>
      <c r="J7" s="5" t="s">
        <v>106</v>
      </c>
    </row>
    <row r="8" spans="1:10" ht="12.75">
      <c r="A8" s="5">
        <v>1</v>
      </c>
      <c r="B8" s="48">
        <v>2</v>
      </c>
      <c r="C8" s="5">
        <v>3</v>
      </c>
      <c r="D8" s="5">
        <v>4</v>
      </c>
      <c r="E8" s="5">
        <v>5</v>
      </c>
      <c r="F8" s="5">
        <v>1</v>
      </c>
      <c r="G8" s="48">
        <v>2</v>
      </c>
      <c r="H8" s="5">
        <v>3</v>
      </c>
      <c r="I8" s="5">
        <v>4</v>
      </c>
      <c r="J8" s="5">
        <v>5</v>
      </c>
    </row>
    <row r="9" spans="1:10" ht="25.5" customHeight="1">
      <c r="A9" s="26" t="s">
        <v>107</v>
      </c>
      <c r="B9" s="49">
        <f>SUM(B23,B32)</f>
        <v>1373743104</v>
      </c>
      <c r="C9" s="49">
        <f>SUM(C23,C32)</f>
        <v>0</v>
      </c>
      <c r="D9" s="50">
        <f>IF(ISERROR(C9/B9)," ",(C9/B9))</f>
        <v>0</v>
      </c>
      <c r="E9" s="49">
        <f>C9</f>
        <v>0</v>
      </c>
      <c r="F9" s="26" t="s">
        <v>107</v>
      </c>
      <c r="G9" s="51">
        <f>SUM(G23,G32)</f>
        <v>1373743</v>
      </c>
      <c r="H9" s="51">
        <f>SUM(H23,H32)</f>
        <v>848609</v>
      </c>
      <c r="I9" s="52">
        <f>IF(ISERROR(H9/G9)," ",(H9/G9))*100</f>
        <v>61.77349038357247</v>
      </c>
      <c r="J9" s="51">
        <f>H9-'[2]Julijs'!H9</f>
        <v>106313</v>
      </c>
    </row>
    <row r="10" spans="1:10" ht="25.5" customHeight="1">
      <c r="A10" s="53" t="s">
        <v>108</v>
      </c>
      <c r="B10" s="49">
        <f>SUM(B11,B19,B20,B21)</f>
        <v>737531269</v>
      </c>
      <c r="C10" s="49">
        <f>SUM(C11,C19,C20)</f>
        <v>0</v>
      </c>
      <c r="D10" s="50">
        <f aca="true" t="shared" si="0" ref="D10:D69">IF(ISERROR(C10/B10)," ",(C10/B10))</f>
        <v>0</v>
      </c>
      <c r="E10" s="49">
        <f aca="true" t="shared" si="1" ref="E10:E69">C10</f>
        <v>0</v>
      </c>
      <c r="F10" s="53" t="s">
        <v>108</v>
      </c>
      <c r="G10" s="51">
        <f>SUM(G11,G19,G20,G21)</f>
        <v>737531</v>
      </c>
      <c r="H10" s="51">
        <f>SUM(H11,H19,H20,H21)</f>
        <v>442689</v>
      </c>
      <c r="I10" s="52">
        <f>IF(ISERROR(H10/G10)," ",(H10/G10))*100</f>
        <v>60.023104113589795</v>
      </c>
      <c r="J10" s="51">
        <f>H10-'[2]Julijs'!H10</f>
        <v>53847</v>
      </c>
    </row>
    <row r="11" spans="1:10" ht="19.5" customHeight="1">
      <c r="A11" s="54" t="s">
        <v>109</v>
      </c>
      <c r="B11" s="55">
        <f>SUM(B12,B14,B18)</f>
        <v>587500000</v>
      </c>
      <c r="C11" s="55">
        <f>SUM(C12,C14,C18)</f>
        <v>0</v>
      </c>
      <c r="D11" s="56">
        <f t="shared" si="0"/>
        <v>0</v>
      </c>
      <c r="E11" s="49">
        <f t="shared" si="1"/>
        <v>0</v>
      </c>
      <c r="F11" s="54" t="s">
        <v>109</v>
      </c>
      <c r="G11" s="57">
        <f>SUM(G12,G14,G18)</f>
        <v>587500</v>
      </c>
      <c r="H11" s="57">
        <f>SUM(H12,H14,H18)</f>
        <v>362154</v>
      </c>
      <c r="I11" s="58">
        <f aca="true" t="shared" si="2" ref="I11:I72">IF(ISERROR(H11/G11)," ",(H11/G11))*100</f>
        <v>61.643234042553196</v>
      </c>
      <c r="J11" s="57">
        <f>H11-'[2]Julijs'!H11</f>
        <v>43981</v>
      </c>
    </row>
    <row r="12" spans="1:10" ht="15.75" customHeight="1">
      <c r="A12" s="59" t="s">
        <v>110</v>
      </c>
      <c r="B12" s="55">
        <f>SUM(B13)</f>
        <v>95100000</v>
      </c>
      <c r="C12" s="55">
        <f>SUM(C13)</f>
        <v>0</v>
      </c>
      <c r="D12" s="56">
        <f t="shared" si="0"/>
        <v>0</v>
      </c>
      <c r="E12" s="49">
        <f t="shared" si="1"/>
        <v>0</v>
      </c>
      <c r="F12" s="59" t="s">
        <v>110</v>
      </c>
      <c r="G12" s="55">
        <f>SUM(G13)</f>
        <v>95100</v>
      </c>
      <c r="H12" s="55">
        <f>SUM(H13)</f>
        <v>52990</v>
      </c>
      <c r="I12" s="58">
        <f t="shared" si="2"/>
        <v>55.72029442691904</v>
      </c>
      <c r="J12" s="55">
        <f>H12-'[2]Julijs'!H12</f>
        <v>3626</v>
      </c>
    </row>
    <row r="13" spans="1:10" ht="15.75" customHeight="1">
      <c r="A13" s="60" t="s">
        <v>111</v>
      </c>
      <c r="B13" s="55">
        <v>95100000</v>
      </c>
      <c r="C13" s="55"/>
      <c r="D13" s="56">
        <f t="shared" si="0"/>
        <v>0</v>
      </c>
      <c r="E13" s="49">
        <f t="shared" si="1"/>
        <v>0</v>
      </c>
      <c r="F13" s="60" t="s">
        <v>111</v>
      </c>
      <c r="G13" s="57">
        <f>ROUND(B13/1000,0)</f>
        <v>95100</v>
      </c>
      <c r="H13" s="57">
        <v>52990</v>
      </c>
      <c r="I13" s="58">
        <f t="shared" si="2"/>
        <v>55.72029442691904</v>
      </c>
      <c r="J13" s="57">
        <f>H13-'[2]Julijs'!H13</f>
        <v>3626</v>
      </c>
    </row>
    <row r="14" spans="1:10" ht="16.5" customHeight="1">
      <c r="A14" s="59" t="s">
        <v>112</v>
      </c>
      <c r="B14" s="55">
        <f>SUM(B15:B17)</f>
        <v>492400000</v>
      </c>
      <c r="C14" s="55">
        <f>SUM(C15:C17)</f>
        <v>0</v>
      </c>
      <c r="D14" s="56">
        <f t="shared" si="0"/>
        <v>0</v>
      </c>
      <c r="E14" s="49">
        <f t="shared" si="1"/>
        <v>0</v>
      </c>
      <c r="F14" s="59" t="s">
        <v>112</v>
      </c>
      <c r="G14" s="55">
        <f>SUM(G15:G17)</f>
        <v>492400</v>
      </c>
      <c r="H14" s="55">
        <f>SUM(H15:H17)</f>
        <v>306121</v>
      </c>
      <c r="I14" s="58">
        <f t="shared" si="2"/>
        <v>62.16917140536149</v>
      </c>
      <c r="J14" s="55">
        <f>H14-'[2]Julijs'!H14</f>
        <v>40545</v>
      </c>
    </row>
    <row r="15" spans="1:10" ht="17.25" customHeight="1">
      <c r="A15" s="61" t="s">
        <v>113</v>
      </c>
      <c r="B15" s="55">
        <v>346096000</v>
      </c>
      <c r="C15" s="55"/>
      <c r="D15" s="56">
        <f t="shared" si="0"/>
        <v>0</v>
      </c>
      <c r="E15" s="49">
        <f t="shared" si="1"/>
        <v>0</v>
      </c>
      <c r="F15" s="61" t="s">
        <v>113</v>
      </c>
      <c r="G15" s="57">
        <f aca="true" t="shared" si="3" ref="G15:G22">ROUND(B15/1000,0)</f>
        <v>346096</v>
      </c>
      <c r="H15" s="57">
        <v>220157</v>
      </c>
      <c r="I15" s="58">
        <f t="shared" si="2"/>
        <v>63.61154130645832</v>
      </c>
      <c r="J15" s="57">
        <f>H15-'[2]Julijs'!H15</f>
        <v>29286</v>
      </c>
    </row>
    <row r="16" spans="1:10" ht="17.25" customHeight="1">
      <c r="A16" s="60" t="s">
        <v>114</v>
      </c>
      <c r="B16" s="55">
        <v>133504000</v>
      </c>
      <c r="C16" s="55"/>
      <c r="D16" s="56">
        <f t="shared" si="0"/>
        <v>0</v>
      </c>
      <c r="E16" s="49">
        <f t="shared" si="1"/>
        <v>0</v>
      </c>
      <c r="F16" s="60" t="s">
        <v>114</v>
      </c>
      <c r="G16" s="57">
        <f t="shared" si="3"/>
        <v>133504</v>
      </c>
      <c r="H16" s="57">
        <v>76432</v>
      </c>
      <c r="I16" s="58">
        <f t="shared" si="2"/>
        <v>57.25071907957814</v>
      </c>
      <c r="J16" s="57">
        <f>H16-'[2]Julijs'!H16</f>
        <v>10013</v>
      </c>
    </row>
    <row r="17" spans="1:10" ht="16.5" customHeight="1">
      <c r="A17" s="60" t="s">
        <v>115</v>
      </c>
      <c r="B17" s="55">
        <v>12800000</v>
      </c>
      <c r="C17" s="55"/>
      <c r="D17" s="56">
        <f t="shared" si="0"/>
        <v>0</v>
      </c>
      <c r="E17" s="49">
        <f t="shared" si="1"/>
        <v>0</v>
      </c>
      <c r="F17" s="60" t="s">
        <v>115</v>
      </c>
      <c r="G17" s="57">
        <f t="shared" si="3"/>
        <v>12800</v>
      </c>
      <c r="H17" s="57">
        <v>9532</v>
      </c>
      <c r="I17" s="58">
        <f t="shared" si="2"/>
        <v>74.46875</v>
      </c>
      <c r="J17" s="57">
        <f>H17-'[2]Julijs'!H17</f>
        <v>1246</v>
      </c>
    </row>
    <row r="18" spans="1:10" ht="12.75">
      <c r="A18" s="59" t="s">
        <v>116</v>
      </c>
      <c r="B18" s="55"/>
      <c r="C18" s="55"/>
      <c r="D18" s="56" t="str">
        <f t="shared" si="0"/>
        <v> </v>
      </c>
      <c r="E18" s="49">
        <f t="shared" si="1"/>
        <v>0</v>
      </c>
      <c r="F18" s="59" t="s">
        <v>116</v>
      </c>
      <c r="G18" s="55">
        <f t="shared" si="3"/>
        <v>0</v>
      </c>
      <c r="H18" s="55">
        <v>3043</v>
      </c>
      <c r="I18" s="58"/>
      <c r="J18" s="55">
        <f>H18-'[2]Julijs'!H18</f>
        <v>-190</v>
      </c>
    </row>
    <row r="19" spans="1:10" ht="13.5" customHeight="1">
      <c r="A19" s="54" t="s">
        <v>117</v>
      </c>
      <c r="B19" s="55">
        <v>59128087</v>
      </c>
      <c r="C19" s="55"/>
      <c r="D19" s="56">
        <f t="shared" si="0"/>
        <v>0</v>
      </c>
      <c r="E19" s="49">
        <f t="shared" si="1"/>
        <v>0</v>
      </c>
      <c r="F19" s="54" t="s">
        <v>117</v>
      </c>
      <c r="G19" s="57">
        <f t="shared" si="3"/>
        <v>59128</v>
      </c>
      <c r="H19" s="57">
        <v>42460</v>
      </c>
      <c r="I19" s="58">
        <f t="shared" si="2"/>
        <v>71.81030983628737</v>
      </c>
      <c r="J19" s="57">
        <f>H19-'[2]Julijs'!H19</f>
        <v>4980</v>
      </c>
    </row>
    <row r="20" spans="1:10" ht="13.5" customHeight="1">
      <c r="A20" s="62" t="s">
        <v>118</v>
      </c>
      <c r="B20" s="55">
        <v>59260125</v>
      </c>
      <c r="C20" s="55"/>
      <c r="D20" s="56">
        <f t="shared" si="0"/>
        <v>0</v>
      </c>
      <c r="E20" s="49">
        <f t="shared" si="1"/>
        <v>0</v>
      </c>
      <c r="F20" s="62" t="s">
        <v>118</v>
      </c>
      <c r="G20" s="57">
        <f t="shared" si="3"/>
        <v>59260</v>
      </c>
      <c r="H20" s="57">
        <v>35548</v>
      </c>
      <c r="I20" s="58">
        <f t="shared" si="2"/>
        <v>59.986500168747895</v>
      </c>
      <c r="J20" s="57">
        <f>H20-'[2]Julijs'!H20</f>
        <v>4578</v>
      </c>
    </row>
    <row r="21" spans="1:10" ht="13.5" customHeight="1">
      <c r="A21" s="62" t="s">
        <v>119</v>
      </c>
      <c r="B21" s="55">
        <v>31643057</v>
      </c>
      <c r="C21" s="55"/>
      <c r="D21" s="56"/>
      <c r="E21" s="49"/>
      <c r="F21" s="62" t="s">
        <v>119</v>
      </c>
      <c r="G21" s="57">
        <f t="shared" si="3"/>
        <v>31643</v>
      </c>
      <c r="H21" s="57">
        <v>2527</v>
      </c>
      <c r="I21" s="58">
        <f t="shared" si="2"/>
        <v>7.985968460639004</v>
      </c>
      <c r="J21" s="57">
        <f>H21-'[2]Julijs'!H21</f>
        <v>308</v>
      </c>
    </row>
    <row r="22" spans="1:10" ht="12.75" customHeight="1">
      <c r="A22" s="63" t="s">
        <v>120</v>
      </c>
      <c r="B22" s="55">
        <v>1201200</v>
      </c>
      <c r="C22" s="55"/>
      <c r="D22" s="56">
        <f t="shared" si="0"/>
        <v>0</v>
      </c>
      <c r="E22" s="49">
        <f t="shared" si="1"/>
        <v>0</v>
      </c>
      <c r="F22" s="63" t="s">
        <v>120</v>
      </c>
      <c r="G22" s="64">
        <f t="shared" si="3"/>
        <v>1201</v>
      </c>
      <c r="H22" s="65">
        <v>801</v>
      </c>
      <c r="I22" s="66">
        <f t="shared" si="2"/>
        <v>66.69442131557037</v>
      </c>
      <c r="J22" s="64">
        <f>H22-'[2]Julijs'!H22</f>
        <v>100</v>
      </c>
    </row>
    <row r="23" spans="1:10" ht="19.5" customHeight="1">
      <c r="A23" s="53" t="s">
        <v>121</v>
      </c>
      <c r="B23" s="49">
        <f>SUM(B10-B22)</f>
        <v>736330069</v>
      </c>
      <c r="C23" s="49">
        <f>SUM(C10-C22)</f>
        <v>0</v>
      </c>
      <c r="D23" s="50">
        <f t="shared" si="0"/>
        <v>0</v>
      </c>
      <c r="E23" s="49">
        <f t="shared" si="1"/>
        <v>0</v>
      </c>
      <c r="F23" s="53" t="s">
        <v>121</v>
      </c>
      <c r="G23" s="51">
        <f>SUM(G10-G22)</f>
        <v>736330</v>
      </c>
      <c r="H23" s="51">
        <f>SUM(H10-H22)</f>
        <v>441888</v>
      </c>
      <c r="I23" s="52">
        <f t="shared" si="2"/>
        <v>60.012222780546765</v>
      </c>
      <c r="J23" s="51">
        <f>H23-'[2]Julijs'!H23</f>
        <v>53747</v>
      </c>
    </row>
    <row r="24" spans="1:10" ht="20.25" customHeight="1">
      <c r="A24" s="67" t="s">
        <v>122</v>
      </c>
      <c r="B24" s="49">
        <f>SUM(B25)</f>
        <v>699762222</v>
      </c>
      <c r="C24" s="49">
        <f>SUM(C25)</f>
        <v>0</v>
      </c>
      <c r="D24" s="50">
        <f t="shared" si="0"/>
        <v>0</v>
      </c>
      <c r="E24" s="49">
        <f t="shared" si="1"/>
        <v>0</v>
      </c>
      <c r="F24" s="67" t="s">
        <v>122</v>
      </c>
      <c r="G24" s="51">
        <f>SUM(G25)</f>
        <v>699762</v>
      </c>
      <c r="H24" s="51">
        <f>SUM(H25)</f>
        <v>449670</v>
      </c>
      <c r="I24" s="52">
        <f t="shared" si="2"/>
        <v>64.2604199713617</v>
      </c>
      <c r="J24" s="51">
        <f>H24-'[2]Julijs'!H24</f>
        <v>57663</v>
      </c>
    </row>
    <row r="25" spans="1:10" ht="12.75">
      <c r="A25" s="54" t="s">
        <v>123</v>
      </c>
      <c r="B25" s="55">
        <f>SUM(B26:B30)</f>
        <v>699762222</v>
      </c>
      <c r="C25" s="55">
        <f>SUM(C26:C30)</f>
        <v>0</v>
      </c>
      <c r="D25" s="56">
        <f t="shared" si="0"/>
        <v>0</v>
      </c>
      <c r="E25" s="49">
        <f t="shared" si="1"/>
        <v>0</v>
      </c>
      <c r="F25" s="54" t="s">
        <v>123</v>
      </c>
      <c r="G25" s="57">
        <f>SUM(G26:G30)</f>
        <v>699762</v>
      </c>
      <c r="H25" s="57">
        <f>SUM(H26:H30)</f>
        <v>449670</v>
      </c>
      <c r="I25" s="58">
        <f t="shared" si="2"/>
        <v>64.2604199713617</v>
      </c>
      <c r="J25" s="57">
        <f>H25-'[2]Julijs'!H25</f>
        <v>57663</v>
      </c>
    </row>
    <row r="26" spans="1:142" s="2" customFormat="1" ht="12.75">
      <c r="A26" s="60" t="s">
        <v>124</v>
      </c>
      <c r="B26" s="55">
        <v>473580496</v>
      </c>
      <c r="C26" s="55"/>
      <c r="D26" s="56">
        <f t="shared" si="0"/>
        <v>0</v>
      </c>
      <c r="E26" s="49">
        <f t="shared" si="1"/>
        <v>0</v>
      </c>
      <c r="F26" s="60" t="s">
        <v>124</v>
      </c>
      <c r="G26" s="57">
        <f>ROUND(B26/1000,0)+1</f>
        <v>473581</v>
      </c>
      <c r="H26" s="57">
        <v>306881</v>
      </c>
      <c r="I26" s="58">
        <f t="shared" si="2"/>
        <v>64.80010811244539</v>
      </c>
      <c r="J26" s="57">
        <f>H26-'[2]Julijs'!H26</f>
        <v>39652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</row>
    <row r="27" spans="1:142" s="2" customFormat="1" ht="12.75">
      <c r="A27" s="68" t="s">
        <v>125</v>
      </c>
      <c r="B27" s="55">
        <v>56546000</v>
      </c>
      <c r="C27" s="55"/>
      <c r="D27" s="56">
        <f t="shared" si="0"/>
        <v>0</v>
      </c>
      <c r="E27" s="49">
        <f t="shared" si="1"/>
        <v>0</v>
      </c>
      <c r="F27" s="68" t="s">
        <v>125</v>
      </c>
      <c r="G27" s="57">
        <f>ROUND(B27/1000,0)</f>
        <v>56546</v>
      </c>
      <c r="H27" s="57">
        <v>29774</v>
      </c>
      <c r="I27" s="58">
        <f t="shared" si="2"/>
        <v>52.654476001839214</v>
      </c>
      <c r="J27" s="57">
        <f>H27-'[2]Julijs'!H27</f>
        <v>4025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</row>
    <row r="28" spans="1:142" s="2" customFormat="1" ht="12.75">
      <c r="A28" s="68" t="s">
        <v>126</v>
      </c>
      <c r="B28" s="55">
        <v>74152400</v>
      </c>
      <c r="C28" s="55"/>
      <c r="D28" s="56">
        <f t="shared" si="0"/>
        <v>0</v>
      </c>
      <c r="E28" s="49">
        <f t="shared" si="1"/>
        <v>0</v>
      </c>
      <c r="F28" s="68" t="s">
        <v>126</v>
      </c>
      <c r="G28" s="57">
        <f>ROUND(B28/1000,0)</f>
        <v>74152</v>
      </c>
      <c r="H28" s="57">
        <v>47834</v>
      </c>
      <c r="I28" s="58">
        <f t="shared" si="2"/>
        <v>64.50803754450318</v>
      </c>
      <c r="J28" s="57">
        <f>H28-'[2]Julijs'!H28</f>
        <v>6423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</row>
    <row r="29" spans="1:142" s="2" customFormat="1" ht="12.75">
      <c r="A29" s="62" t="s">
        <v>127</v>
      </c>
      <c r="B29" s="55">
        <v>3371252</v>
      </c>
      <c r="C29" s="55"/>
      <c r="D29" s="56">
        <f t="shared" si="0"/>
        <v>0</v>
      </c>
      <c r="E29" s="49">
        <f t="shared" si="1"/>
        <v>0</v>
      </c>
      <c r="F29" s="62" t="s">
        <v>127</v>
      </c>
      <c r="G29" s="57">
        <f>ROUND(B29/1000,0)</f>
        <v>3371</v>
      </c>
      <c r="H29" s="57">
        <v>697</v>
      </c>
      <c r="I29" s="58">
        <f t="shared" si="2"/>
        <v>20.676357164046276</v>
      </c>
      <c r="J29" s="57">
        <f>H29-'[2]Julijs'!H29</f>
        <v>175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</row>
    <row r="30" spans="1:142" s="2" customFormat="1" ht="12.75">
      <c r="A30" s="60" t="s">
        <v>128</v>
      </c>
      <c r="B30" s="55">
        <v>92112074</v>
      </c>
      <c r="C30" s="55"/>
      <c r="D30" s="56">
        <f t="shared" si="0"/>
        <v>0</v>
      </c>
      <c r="E30" s="49">
        <f t="shared" si="1"/>
        <v>0</v>
      </c>
      <c r="F30" s="60" t="s">
        <v>128</v>
      </c>
      <c r="G30" s="57">
        <f>ROUND(B30/1000,0)</f>
        <v>92112</v>
      </c>
      <c r="H30" s="57">
        <v>64484</v>
      </c>
      <c r="I30" s="58">
        <f t="shared" si="2"/>
        <v>70.00607955532395</v>
      </c>
      <c r="J30" s="57">
        <f>H30-'[2]Julijs'!H30</f>
        <v>7388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</row>
    <row r="31" spans="1:142" s="2" customFormat="1" ht="12.75">
      <c r="A31" s="69" t="s">
        <v>129</v>
      </c>
      <c r="B31" s="55">
        <v>62349187</v>
      </c>
      <c r="C31" s="55"/>
      <c r="D31" s="56">
        <f t="shared" si="0"/>
        <v>0</v>
      </c>
      <c r="E31" s="49">
        <f t="shared" si="1"/>
        <v>0</v>
      </c>
      <c r="F31" s="69" t="s">
        <v>129</v>
      </c>
      <c r="G31" s="64">
        <f>ROUND(B31/1000,0)</f>
        <v>62349</v>
      </c>
      <c r="H31" s="55">
        <v>42949</v>
      </c>
      <c r="I31" s="66">
        <f t="shared" si="2"/>
        <v>68.88482573898538</v>
      </c>
      <c r="J31" s="64">
        <f>H31-'[2]Julijs'!H31</f>
        <v>5097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</row>
    <row r="32" spans="1:10" ht="22.5" customHeight="1">
      <c r="A32" s="53" t="s">
        <v>130</v>
      </c>
      <c r="B32" s="49">
        <f>SUM(B24-B31)</f>
        <v>637413035</v>
      </c>
      <c r="C32" s="49">
        <f>SUM(C24-C31)</f>
        <v>0</v>
      </c>
      <c r="D32" s="50">
        <f t="shared" si="0"/>
        <v>0</v>
      </c>
      <c r="E32" s="49">
        <f t="shared" si="1"/>
        <v>0</v>
      </c>
      <c r="F32" s="53" t="s">
        <v>130</v>
      </c>
      <c r="G32" s="51">
        <f>SUM(G24-G31)</f>
        <v>637413</v>
      </c>
      <c r="H32" s="51">
        <f>SUM(H24-H31)</f>
        <v>406721</v>
      </c>
      <c r="I32" s="52">
        <f t="shared" si="2"/>
        <v>63.80808047529624</v>
      </c>
      <c r="J32" s="51">
        <f>H32-'[2]Julijs'!H32</f>
        <v>52566</v>
      </c>
    </row>
    <row r="33" spans="1:10" ht="29.25" customHeight="1">
      <c r="A33" s="70" t="s">
        <v>131</v>
      </c>
      <c r="B33" s="49">
        <f>SUM(B34:B36)</f>
        <v>1439743280</v>
      </c>
      <c r="C33" s="49">
        <f>SUM(C34:C36)</f>
        <v>0</v>
      </c>
      <c r="D33" s="50">
        <f t="shared" si="0"/>
        <v>0</v>
      </c>
      <c r="E33" s="49">
        <f t="shared" si="1"/>
        <v>0</v>
      </c>
      <c r="F33" s="70" t="s">
        <v>131</v>
      </c>
      <c r="G33" s="51">
        <f>SUM(G34:G36)</f>
        <v>1439743</v>
      </c>
      <c r="H33" s="51">
        <f>SUM(H34:H36)</f>
        <v>906975</v>
      </c>
      <c r="I33" s="52">
        <f t="shared" si="2"/>
        <v>62.99561796792899</v>
      </c>
      <c r="J33" s="51">
        <f>H33-'[2]Julijs'!H33</f>
        <v>107341</v>
      </c>
    </row>
    <row r="34" spans="1:10" ht="28.5" customHeight="1">
      <c r="A34" s="70" t="s">
        <v>132</v>
      </c>
      <c r="B34" s="49">
        <f>SUM(B46+B63)</f>
        <v>1338259956</v>
      </c>
      <c r="C34" s="49">
        <f>SUM(C46+C63)</f>
        <v>0</v>
      </c>
      <c r="D34" s="50">
        <f t="shared" si="0"/>
        <v>0</v>
      </c>
      <c r="E34" s="49">
        <f t="shared" si="1"/>
        <v>0</v>
      </c>
      <c r="F34" s="70" t="s">
        <v>132</v>
      </c>
      <c r="G34" s="51">
        <f>SUM(G46+G63)</f>
        <v>1338260</v>
      </c>
      <c r="H34" s="51">
        <f>SUM(H46+H63)</f>
        <v>857984</v>
      </c>
      <c r="I34" s="52">
        <f t="shared" si="2"/>
        <v>64.11190650546231</v>
      </c>
      <c r="J34" s="51">
        <f>H34-'[2]Julijs'!H34</f>
        <v>100344</v>
      </c>
    </row>
    <row r="35" spans="1:10" ht="25.5" customHeight="1">
      <c r="A35" s="70" t="s">
        <v>133</v>
      </c>
      <c r="B35" s="49">
        <f>SUM(B48+B65)</f>
        <v>34787269</v>
      </c>
      <c r="C35" s="49">
        <f>SUM(C48+C65)</f>
        <v>0</v>
      </c>
      <c r="D35" s="50">
        <f t="shared" si="0"/>
        <v>0</v>
      </c>
      <c r="E35" s="49">
        <f t="shared" si="1"/>
        <v>0</v>
      </c>
      <c r="F35" s="70" t="s">
        <v>133</v>
      </c>
      <c r="G35" s="51">
        <f>SUM(G48+G65)</f>
        <v>34787</v>
      </c>
      <c r="H35" s="51">
        <f>SUM(H48+H65)</f>
        <v>16868</v>
      </c>
      <c r="I35" s="52">
        <f t="shared" si="2"/>
        <v>48.489378216000226</v>
      </c>
      <c r="J35" s="51">
        <f>H35-'[2]Julijs'!H35</f>
        <v>2809</v>
      </c>
    </row>
    <row r="36" spans="1:10" ht="30" customHeight="1">
      <c r="A36" s="70" t="s">
        <v>134</v>
      </c>
      <c r="B36" s="49">
        <f>SUM(B51+B67)</f>
        <v>66696055</v>
      </c>
      <c r="C36" s="49">
        <f>SUM(C51+C67)</f>
        <v>0</v>
      </c>
      <c r="D36" s="50">
        <f t="shared" si="0"/>
        <v>0</v>
      </c>
      <c r="E36" s="49">
        <f t="shared" si="1"/>
        <v>0</v>
      </c>
      <c r="F36" s="70" t="s">
        <v>134</v>
      </c>
      <c r="G36" s="51">
        <f>SUM(G51+G67)</f>
        <v>66696</v>
      </c>
      <c r="H36" s="51">
        <f>SUM(H51+H67)</f>
        <v>32123</v>
      </c>
      <c r="I36" s="52">
        <f t="shared" si="2"/>
        <v>48.163308144416455</v>
      </c>
      <c r="J36" s="51">
        <f>H36-'[2]Julijs'!H36</f>
        <v>4188</v>
      </c>
    </row>
    <row r="37" spans="1:10" ht="29.25" customHeight="1">
      <c r="A37" s="70" t="s">
        <v>135</v>
      </c>
      <c r="B37" s="49">
        <f>SUM(B9-B33)</f>
        <v>-66000176</v>
      </c>
      <c r="C37" s="49">
        <f>SUM(C9-C33)</f>
        <v>0</v>
      </c>
      <c r="D37" s="50">
        <f t="shared" si="0"/>
        <v>0</v>
      </c>
      <c r="E37" s="49">
        <f t="shared" si="1"/>
        <v>0</v>
      </c>
      <c r="F37" s="70" t="s">
        <v>135</v>
      </c>
      <c r="G37" s="51">
        <f>SUM(G9-G33)</f>
        <v>-66000</v>
      </c>
      <c r="H37" s="51">
        <f>SUM(H9-H33)</f>
        <v>-58366</v>
      </c>
      <c r="I37" s="52">
        <f t="shared" si="2"/>
        <v>88.43333333333334</v>
      </c>
      <c r="J37" s="51">
        <f>H37-'[2]Julijs'!H37</f>
        <v>-1028</v>
      </c>
    </row>
    <row r="38" spans="1:10" ht="25.5">
      <c r="A38" s="70" t="s">
        <v>136</v>
      </c>
      <c r="B38" s="49">
        <f>SUM(B53+B69)</f>
        <v>14499012</v>
      </c>
      <c r="C38" s="49">
        <f>SUM(C53+C69)</f>
        <v>0</v>
      </c>
      <c r="D38" s="50">
        <f t="shared" si="0"/>
        <v>0</v>
      </c>
      <c r="E38" s="49">
        <f t="shared" si="1"/>
        <v>0</v>
      </c>
      <c r="F38" s="70" t="s">
        <v>136</v>
      </c>
      <c r="G38" s="51">
        <f>SUM(G53+G69)</f>
        <v>14499</v>
      </c>
      <c r="H38" s="51">
        <f>SUM(H53+H69)</f>
        <v>2632</v>
      </c>
      <c r="I38" s="52">
        <f t="shared" si="2"/>
        <v>18.152976067314988</v>
      </c>
      <c r="J38" s="51">
        <f>H38-'[2]Julijs'!H38</f>
        <v>1597</v>
      </c>
    </row>
    <row r="39" spans="1:10" ht="25.5">
      <c r="A39" s="70" t="s">
        <v>137</v>
      </c>
      <c r="B39" s="49">
        <f>SUM(B33+B38)</f>
        <v>1454242292</v>
      </c>
      <c r="C39" s="49">
        <f>SUM(C33+C38)</f>
        <v>0</v>
      </c>
      <c r="D39" s="50">
        <f t="shared" si="0"/>
        <v>0</v>
      </c>
      <c r="E39" s="49">
        <f t="shared" si="1"/>
        <v>0</v>
      </c>
      <c r="F39" s="70" t="s">
        <v>137</v>
      </c>
      <c r="G39" s="51">
        <f>SUM(G33+G38)</f>
        <v>1454242</v>
      </c>
      <c r="H39" s="51">
        <f>SUM(H33+H38)</f>
        <v>909607</v>
      </c>
      <c r="I39" s="52">
        <f t="shared" si="2"/>
        <v>62.548530437162455</v>
      </c>
      <c r="J39" s="51">
        <f>H39-'[2]Julijs'!H39</f>
        <v>108938</v>
      </c>
    </row>
    <row r="40" spans="1:10" ht="27" customHeight="1">
      <c r="A40" s="70" t="s">
        <v>138</v>
      </c>
      <c r="B40" s="49">
        <f>IF((B37-B38=B9-B39)=TRUE,B37-B38,9)</f>
        <v>-80499188</v>
      </c>
      <c r="C40" s="51">
        <f>C37-C38</f>
        <v>0</v>
      </c>
      <c r="D40" s="50">
        <f t="shared" si="0"/>
        <v>0</v>
      </c>
      <c r="E40" s="49">
        <f t="shared" si="1"/>
        <v>0</v>
      </c>
      <c r="F40" s="70" t="s">
        <v>138</v>
      </c>
      <c r="G40" s="51">
        <f>IF((G37-G38=G9-G39)=TRUE,G37-G38,9)</f>
        <v>-80499</v>
      </c>
      <c r="H40" s="51">
        <f>IF((H37-H38=H9-H39)=TRUE,H37-H38,9)</f>
        <v>-60998</v>
      </c>
      <c r="I40" s="52">
        <f t="shared" si="2"/>
        <v>75.77485434601672</v>
      </c>
      <c r="J40" s="51">
        <f>H40-'[2]Julijs'!H40</f>
        <v>-2625</v>
      </c>
    </row>
    <row r="41" spans="1:10" ht="15.75" customHeight="1">
      <c r="A41" s="53" t="s">
        <v>139</v>
      </c>
      <c r="B41" s="49">
        <f>B44+B47+B49</f>
        <v>759846889</v>
      </c>
      <c r="C41" s="49">
        <f>C44+C47+C49</f>
        <v>0</v>
      </c>
      <c r="D41" s="50">
        <f t="shared" si="0"/>
        <v>0</v>
      </c>
      <c r="E41" s="49">
        <f t="shared" si="1"/>
        <v>0</v>
      </c>
      <c r="F41" s="53" t="s">
        <v>139</v>
      </c>
      <c r="G41" s="51">
        <f>G44+G47+G49</f>
        <v>759847</v>
      </c>
      <c r="H41" s="51">
        <f>H44+H47+H49</f>
        <v>471455</v>
      </c>
      <c r="I41" s="52">
        <f t="shared" si="2"/>
        <v>62.0460434798058</v>
      </c>
      <c r="J41" s="51">
        <f>H41-'[2]Julijs'!H41</f>
        <v>53321</v>
      </c>
    </row>
    <row r="42" spans="1:10" ht="12.75">
      <c r="A42" s="71" t="s">
        <v>140</v>
      </c>
      <c r="B42" s="55">
        <f>B45+B50</f>
        <v>62349187</v>
      </c>
      <c r="C42" s="55">
        <f>C45+C50</f>
        <v>0</v>
      </c>
      <c r="D42" s="56">
        <f t="shared" si="0"/>
        <v>0</v>
      </c>
      <c r="E42" s="49">
        <f t="shared" si="1"/>
        <v>0</v>
      </c>
      <c r="F42" s="71" t="s">
        <v>140</v>
      </c>
      <c r="G42" s="64">
        <f>G45+G50</f>
        <v>62349</v>
      </c>
      <c r="H42" s="64">
        <f>H45+H50</f>
        <v>42975</v>
      </c>
      <c r="I42" s="66">
        <f t="shared" si="2"/>
        <v>68.926526487995</v>
      </c>
      <c r="J42" s="64">
        <f>H42-'[2]Julijs'!H42</f>
        <v>5123</v>
      </c>
    </row>
    <row r="43" spans="1:10" ht="20.25" customHeight="1">
      <c r="A43" s="53" t="s">
        <v>141</v>
      </c>
      <c r="B43" s="49">
        <f>SUM(B41-B42)</f>
        <v>697497702</v>
      </c>
      <c r="C43" s="49">
        <f>SUM(C41-C42)</f>
        <v>0</v>
      </c>
      <c r="D43" s="50">
        <f t="shared" si="0"/>
        <v>0</v>
      </c>
      <c r="E43" s="49">
        <f t="shared" si="1"/>
        <v>0</v>
      </c>
      <c r="F43" s="53" t="s">
        <v>141</v>
      </c>
      <c r="G43" s="51">
        <f>SUM(G41-G42)</f>
        <v>697498</v>
      </c>
      <c r="H43" s="51">
        <f>SUM(H41-H42)</f>
        <v>428480</v>
      </c>
      <c r="I43" s="52">
        <f t="shared" si="2"/>
        <v>61.431000518997905</v>
      </c>
      <c r="J43" s="51">
        <f>H43-'[2]Julijs'!H43</f>
        <v>48198</v>
      </c>
    </row>
    <row r="44" spans="1:10" ht="12.75">
      <c r="A44" s="54" t="s">
        <v>142</v>
      </c>
      <c r="B44" s="55">
        <v>694317503</v>
      </c>
      <c r="C44" s="55"/>
      <c r="D44" s="56">
        <f t="shared" si="0"/>
        <v>0</v>
      </c>
      <c r="E44" s="49">
        <f t="shared" si="1"/>
        <v>0</v>
      </c>
      <c r="F44" s="54" t="s">
        <v>142</v>
      </c>
      <c r="G44" s="57">
        <f>ROUND(B44/1000,0)-1</f>
        <v>694317</v>
      </c>
      <c r="H44" s="57">
        <v>438530</v>
      </c>
      <c r="I44" s="58">
        <f t="shared" si="2"/>
        <v>63.159911106886334</v>
      </c>
      <c r="J44" s="57">
        <f>H44-'[2]Julijs'!H44</f>
        <v>47923</v>
      </c>
    </row>
    <row r="45" spans="1:10" ht="12.75">
      <c r="A45" s="69" t="s">
        <v>143</v>
      </c>
      <c r="B45" s="55">
        <v>60907187</v>
      </c>
      <c r="C45" s="55"/>
      <c r="D45" s="56">
        <f t="shared" si="0"/>
        <v>0</v>
      </c>
      <c r="E45" s="49">
        <f t="shared" si="1"/>
        <v>0</v>
      </c>
      <c r="F45" s="69" t="s">
        <v>143</v>
      </c>
      <c r="G45" s="64">
        <f>ROUND(B45/1000,0)</f>
        <v>60907</v>
      </c>
      <c r="H45" s="64">
        <v>41665</v>
      </c>
      <c r="I45" s="66">
        <f t="shared" si="2"/>
        <v>68.40757220023971</v>
      </c>
      <c r="J45" s="64">
        <f>H45-'[2]Julijs'!H45</f>
        <v>4929</v>
      </c>
    </row>
    <row r="46" spans="1:10" ht="15" customHeight="1">
      <c r="A46" s="53" t="s">
        <v>144</v>
      </c>
      <c r="B46" s="49">
        <f>SUM(B44-B45)</f>
        <v>633410316</v>
      </c>
      <c r="C46" s="49">
        <f>SUM(C44-C45)</f>
        <v>0</v>
      </c>
      <c r="D46" s="50">
        <f t="shared" si="0"/>
        <v>0</v>
      </c>
      <c r="E46" s="49">
        <f t="shared" si="1"/>
        <v>0</v>
      </c>
      <c r="F46" s="53" t="s">
        <v>144</v>
      </c>
      <c r="G46" s="51">
        <f>SUM(G44-G45)</f>
        <v>633410</v>
      </c>
      <c r="H46" s="51">
        <f>SUM(H44-H45)</f>
        <v>396865</v>
      </c>
      <c r="I46" s="52">
        <f t="shared" si="2"/>
        <v>62.65531014666645</v>
      </c>
      <c r="J46" s="51">
        <f>H46-'[2]Julijs'!H46</f>
        <v>42994</v>
      </c>
    </row>
    <row r="47" spans="1:10" ht="15.75" customHeight="1">
      <c r="A47" s="54" t="s">
        <v>145</v>
      </c>
      <c r="B47" s="55">
        <v>24236583</v>
      </c>
      <c r="C47" s="55"/>
      <c r="D47" s="56">
        <f t="shared" si="0"/>
        <v>0</v>
      </c>
      <c r="E47" s="49">
        <f t="shared" si="1"/>
        <v>0</v>
      </c>
      <c r="F47" s="54" t="s">
        <v>145</v>
      </c>
      <c r="G47" s="57">
        <f>ROUND(B47/1000,0)</f>
        <v>24237</v>
      </c>
      <c r="H47" s="57">
        <v>9983</v>
      </c>
      <c r="I47" s="58">
        <f t="shared" si="2"/>
        <v>41.18909105912448</v>
      </c>
      <c r="J47" s="57">
        <f>H47-'[2]Julijs'!H47</f>
        <v>2206</v>
      </c>
    </row>
    <row r="48" spans="1:10" ht="12.75">
      <c r="A48" s="53" t="s">
        <v>146</v>
      </c>
      <c r="B48" s="49">
        <f>SUM(B47)</f>
        <v>24236583</v>
      </c>
      <c r="C48" s="49">
        <f>SUM(C47)</f>
        <v>0</v>
      </c>
      <c r="D48" s="50">
        <f t="shared" si="0"/>
        <v>0</v>
      </c>
      <c r="E48" s="49">
        <f t="shared" si="1"/>
        <v>0</v>
      </c>
      <c r="F48" s="53" t="s">
        <v>146</v>
      </c>
      <c r="G48" s="51">
        <f>SUM(G47)</f>
        <v>24237</v>
      </c>
      <c r="H48" s="51">
        <f>SUM(H47)</f>
        <v>9983</v>
      </c>
      <c r="I48" s="52">
        <f t="shared" si="2"/>
        <v>41.18909105912448</v>
      </c>
      <c r="J48" s="51">
        <f>H48-'[2]Julijs'!H48</f>
        <v>2206</v>
      </c>
    </row>
    <row r="49" spans="1:10" ht="12.75">
      <c r="A49" s="54" t="s">
        <v>147</v>
      </c>
      <c r="B49" s="55">
        <v>41292803</v>
      </c>
      <c r="C49" s="55"/>
      <c r="D49" s="56">
        <f t="shared" si="0"/>
        <v>0</v>
      </c>
      <c r="E49" s="49">
        <f t="shared" si="1"/>
        <v>0</v>
      </c>
      <c r="F49" s="54" t="s">
        <v>147</v>
      </c>
      <c r="G49" s="57">
        <f>ROUND(B49/1000,0)</f>
        <v>41293</v>
      </c>
      <c r="H49" s="57">
        <v>22942</v>
      </c>
      <c r="I49" s="58">
        <f t="shared" si="2"/>
        <v>55.5590535926186</v>
      </c>
      <c r="J49" s="57">
        <f>H49-'[2]Julijs'!H49</f>
        <v>3192</v>
      </c>
    </row>
    <row r="50" spans="1:142" s="54" customFormat="1" ht="12.75">
      <c r="A50" s="69" t="s">
        <v>148</v>
      </c>
      <c r="B50" s="55">
        <v>1442000</v>
      </c>
      <c r="C50" s="55"/>
      <c r="D50" s="56">
        <f t="shared" si="0"/>
        <v>0</v>
      </c>
      <c r="E50" s="49">
        <f t="shared" si="1"/>
        <v>0</v>
      </c>
      <c r="F50" s="69" t="s">
        <v>148</v>
      </c>
      <c r="G50" s="64">
        <f>ROUND(B50/1000,0)</f>
        <v>1442</v>
      </c>
      <c r="H50" s="64">
        <v>1310</v>
      </c>
      <c r="I50" s="66">
        <f t="shared" si="2"/>
        <v>90.84604715672677</v>
      </c>
      <c r="J50" s="64">
        <f>H50-'[2]Julijs'!H50</f>
        <v>194</v>
      </c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</row>
    <row r="51" spans="1:142" s="54" customFormat="1" ht="17.25" customHeight="1">
      <c r="A51" s="53" t="s">
        <v>149</v>
      </c>
      <c r="B51" s="49">
        <f>SUM(B49-B50)</f>
        <v>39850803</v>
      </c>
      <c r="C51" s="49">
        <f>SUM(C49-C50)</f>
        <v>0</v>
      </c>
      <c r="D51" s="50">
        <f t="shared" si="0"/>
        <v>0</v>
      </c>
      <c r="E51" s="49">
        <f t="shared" si="1"/>
        <v>0</v>
      </c>
      <c r="F51" s="53" t="s">
        <v>149</v>
      </c>
      <c r="G51" s="51">
        <f>SUM(G49-G50)</f>
        <v>39851</v>
      </c>
      <c r="H51" s="51">
        <f>SUM(H49-H50)</f>
        <v>21632</v>
      </c>
      <c r="I51" s="52">
        <f t="shared" si="2"/>
        <v>54.28220119946802</v>
      </c>
      <c r="J51" s="51">
        <f>H51-'[2]Julijs'!H51</f>
        <v>2998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</row>
    <row r="52" spans="1:142" s="54" customFormat="1" ht="30" customHeight="1">
      <c r="A52" s="70" t="s">
        <v>150</v>
      </c>
      <c r="B52" s="49">
        <f>SUM(B10-B41)</f>
        <v>-22315620</v>
      </c>
      <c r="C52" s="49">
        <f>SUM(C10-C41)</f>
        <v>0</v>
      </c>
      <c r="D52" s="50">
        <f t="shared" si="0"/>
        <v>0</v>
      </c>
      <c r="E52" s="49">
        <f t="shared" si="1"/>
        <v>0</v>
      </c>
      <c r="F52" s="70" t="s">
        <v>150</v>
      </c>
      <c r="G52" s="51">
        <f>SUM(G10-G41)</f>
        <v>-22316</v>
      </c>
      <c r="H52" s="51">
        <f>SUM(H10-H41)</f>
        <v>-28766</v>
      </c>
      <c r="I52" s="52">
        <f t="shared" si="2"/>
        <v>128.9030292167055</v>
      </c>
      <c r="J52" s="51">
        <f>H52-'[2]Julijs'!H52</f>
        <v>526</v>
      </c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</row>
    <row r="53" spans="1:142" s="54" customFormat="1" ht="17.25" customHeight="1">
      <c r="A53" s="53" t="s">
        <v>151</v>
      </c>
      <c r="B53" s="49">
        <f>B56</f>
        <v>7759392</v>
      </c>
      <c r="C53" s="49"/>
      <c r="D53" s="50">
        <f t="shared" si="0"/>
        <v>0</v>
      </c>
      <c r="E53" s="49">
        <f t="shared" si="1"/>
        <v>0</v>
      </c>
      <c r="F53" s="53" t="s">
        <v>151</v>
      </c>
      <c r="G53" s="51">
        <f>G56</f>
        <v>7759</v>
      </c>
      <c r="H53" s="51">
        <f>H56</f>
        <v>-202</v>
      </c>
      <c r="I53" s="52">
        <f t="shared" si="2"/>
        <v>-2.603428276839799</v>
      </c>
      <c r="J53" s="51">
        <f>H53-'[2]Julijs'!H53</f>
        <v>1234</v>
      </c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</row>
    <row r="54" spans="1:142" s="54" customFormat="1" ht="16.5" customHeight="1">
      <c r="A54" s="54" t="s">
        <v>152</v>
      </c>
      <c r="B54" s="55">
        <v>55987963</v>
      </c>
      <c r="C54" s="55"/>
      <c r="D54" s="56">
        <f t="shared" si="0"/>
        <v>0</v>
      </c>
      <c r="E54" s="49">
        <f t="shared" si="1"/>
        <v>0</v>
      </c>
      <c r="F54" s="54" t="s">
        <v>153</v>
      </c>
      <c r="G54" s="57">
        <f>ROUND(B54/1000,0)</f>
        <v>55988</v>
      </c>
      <c r="H54" s="57">
        <v>38677</v>
      </c>
      <c r="I54" s="58">
        <f t="shared" si="2"/>
        <v>69.08087447310139</v>
      </c>
      <c r="J54" s="57">
        <f>H54-'[2]Julijs'!H54</f>
        <v>2991</v>
      </c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</row>
    <row r="55" spans="1:142" s="54" customFormat="1" ht="12.75" customHeight="1">
      <c r="A55" s="69" t="s">
        <v>148</v>
      </c>
      <c r="B55" s="55">
        <v>48228571</v>
      </c>
      <c r="C55" s="55"/>
      <c r="D55" s="56">
        <f t="shared" si="0"/>
        <v>0</v>
      </c>
      <c r="E55" s="49">
        <f t="shared" si="1"/>
        <v>0</v>
      </c>
      <c r="F55" s="69" t="s">
        <v>148</v>
      </c>
      <c r="G55" s="64">
        <f>ROUND(B55/1000,0)</f>
        <v>48229</v>
      </c>
      <c r="H55" s="64">
        <v>38879</v>
      </c>
      <c r="I55" s="66">
        <f t="shared" si="2"/>
        <v>80.61332393373281</v>
      </c>
      <c r="J55" s="64">
        <f>H55-'[2]Julijs'!H55</f>
        <v>1757</v>
      </c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</row>
    <row r="56" spans="1:142" s="54" customFormat="1" ht="15" customHeight="1">
      <c r="A56" s="54" t="s">
        <v>154</v>
      </c>
      <c r="B56" s="55">
        <f>B54-B55</f>
        <v>7759392</v>
      </c>
      <c r="C56" s="55"/>
      <c r="D56" s="56">
        <f t="shared" si="0"/>
        <v>0</v>
      </c>
      <c r="E56" s="49">
        <f t="shared" si="1"/>
        <v>0</v>
      </c>
      <c r="F56" s="54" t="s">
        <v>154</v>
      </c>
      <c r="G56" s="57">
        <f>G54-G55</f>
        <v>7759</v>
      </c>
      <c r="H56" s="57">
        <f>SUM(H54-H55)</f>
        <v>-202</v>
      </c>
      <c r="I56" s="58">
        <f t="shared" si="2"/>
        <v>-2.603428276839799</v>
      </c>
      <c r="J56" s="57">
        <f>H56-'[2]Julijs'!H56</f>
        <v>1234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</row>
    <row r="57" spans="1:142" s="54" customFormat="1" ht="32.25" customHeight="1">
      <c r="A57" s="70" t="s">
        <v>155</v>
      </c>
      <c r="B57" s="49">
        <f>B52-B54</f>
        <v>-78303583</v>
      </c>
      <c r="C57" s="49">
        <f>C52-C54</f>
        <v>0</v>
      </c>
      <c r="D57" s="50">
        <f t="shared" si="0"/>
        <v>0</v>
      </c>
      <c r="E57" s="49">
        <f t="shared" si="1"/>
        <v>0</v>
      </c>
      <c r="F57" s="70" t="s">
        <v>156</v>
      </c>
      <c r="G57" s="51">
        <f>G52-G54</f>
        <v>-78304</v>
      </c>
      <c r="H57" s="51">
        <f>H52-H54</f>
        <v>-67443</v>
      </c>
      <c r="I57" s="52">
        <f t="shared" si="2"/>
        <v>86.12969963220269</v>
      </c>
      <c r="J57" s="51">
        <f>H57-'[2]Julijs'!H57</f>
        <v>-2465</v>
      </c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</row>
    <row r="58" spans="1:142" s="54" customFormat="1" ht="17.25" customHeight="1">
      <c r="A58" s="53" t="s">
        <v>157</v>
      </c>
      <c r="B58" s="49">
        <v>743446778</v>
      </c>
      <c r="C58" s="49">
        <f>C61+C64+C66</f>
        <v>0</v>
      </c>
      <c r="D58" s="50">
        <f t="shared" si="0"/>
        <v>0</v>
      </c>
      <c r="E58" s="49">
        <f t="shared" si="1"/>
        <v>0</v>
      </c>
      <c r="F58" s="53" t="s">
        <v>157</v>
      </c>
      <c r="G58" s="51">
        <f>G61+G64+G66</f>
        <v>743446</v>
      </c>
      <c r="H58" s="51">
        <f>H61+H64+H66</f>
        <v>479296</v>
      </c>
      <c r="I58" s="52">
        <f t="shared" si="2"/>
        <v>64.46951089924487</v>
      </c>
      <c r="J58" s="51">
        <f>H58-'[2]Julijs'!H58</f>
        <v>59243</v>
      </c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</row>
    <row r="59" spans="1:142" s="54" customFormat="1" ht="12.75" customHeight="1">
      <c r="A59" s="69" t="s">
        <v>158</v>
      </c>
      <c r="B59" s="55">
        <f>B62</f>
        <v>1201200</v>
      </c>
      <c r="C59" s="55">
        <f>C22</f>
        <v>0</v>
      </c>
      <c r="D59" s="56">
        <f t="shared" si="0"/>
        <v>0</v>
      </c>
      <c r="E59" s="49">
        <f t="shared" si="1"/>
        <v>0</v>
      </c>
      <c r="F59" s="69" t="s">
        <v>158</v>
      </c>
      <c r="G59" s="64">
        <f>G62</f>
        <v>1201</v>
      </c>
      <c r="H59" s="64">
        <f>H62</f>
        <v>801</v>
      </c>
      <c r="I59" s="66">
        <f t="shared" si="2"/>
        <v>66.69442131557037</v>
      </c>
      <c r="J59" s="64">
        <f>H59-'[2]Julijs'!H59</f>
        <v>100</v>
      </c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</row>
    <row r="60" spans="1:142" s="54" customFormat="1" ht="19.5" customHeight="1">
      <c r="A60" s="53" t="s">
        <v>159</v>
      </c>
      <c r="B60" s="49">
        <f>SUM(B58-B59)</f>
        <v>742245578</v>
      </c>
      <c r="C60" s="49">
        <f>SUM(C58-C59)</f>
        <v>0</v>
      </c>
      <c r="D60" s="50">
        <f t="shared" si="0"/>
        <v>0</v>
      </c>
      <c r="E60" s="49">
        <f t="shared" si="1"/>
        <v>0</v>
      </c>
      <c r="F60" s="53" t="s">
        <v>159</v>
      </c>
      <c r="G60" s="51">
        <f>SUM(G58-G59)</f>
        <v>742245</v>
      </c>
      <c r="H60" s="51">
        <f>SUM(H58-H59)</f>
        <v>478495</v>
      </c>
      <c r="I60" s="52">
        <f t="shared" si="2"/>
        <v>64.46591085153824</v>
      </c>
      <c r="J60" s="51">
        <f>H60-'[2]Julijs'!H60</f>
        <v>59143</v>
      </c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</row>
    <row r="61" spans="1:142" s="54" customFormat="1" ht="15.75" customHeight="1">
      <c r="A61" s="54" t="s">
        <v>160</v>
      </c>
      <c r="B61" s="55">
        <v>706050840</v>
      </c>
      <c r="C61" s="55"/>
      <c r="D61" s="56">
        <f t="shared" si="0"/>
        <v>0</v>
      </c>
      <c r="E61" s="49">
        <f t="shared" si="1"/>
        <v>0</v>
      </c>
      <c r="F61" s="54" t="s">
        <v>160</v>
      </c>
      <c r="G61" s="57">
        <f>ROUND(B61/1000,0)</f>
        <v>706051</v>
      </c>
      <c r="H61" s="57">
        <v>461920</v>
      </c>
      <c r="I61" s="58">
        <f t="shared" si="2"/>
        <v>65.42303601297922</v>
      </c>
      <c r="J61" s="57">
        <f>H61-'[2]Julijs'!H61</f>
        <v>57450</v>
      </c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</row>
    <row r="62" spans="1:142" s="54" customFormat="1" ht="12.75" customHeight="1">
      <c r="A62" s="69" t="s">
        <v>161</v>
      </c>
      <c r="B62" s="55">
        <v>1201200</v>
      </c>
      <c r="C62" s="55">
        <f>C22</f>
        <v>0</v>
      </c>
      <c r="D62" s="56">
        <f t="shared" si="0"/>
        <v>0</v>
      </c>
      <c r="E62" s="49">
        <f t="shared" si="1"/>
        <v>0</v>
      </c>
      <c r="F62" s="69" t="s">
        <v>161</v>
      </c>
      <c r="G62" s="64">
        <f>ROUND(B62/1000,0)</f>
        <v>1201</v>
      </c>
      <c r="H62" s="65">
        <v>801</v>
      </c>
      <c r="I62" s="66">
        <f t="shared" si="2"/>
        <v>66.69442131557037</v>
      </c>
      <c r="J62" s="64">
        <f>H62-'[2]Julijs'!H62</f>
        <v>100</v>
      </c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</row>
    <row r="63" spans="1:142" s="54" customFormat="1" ht="19.5" customHeight="1">
      <c r="A63" s="53" t="s">
        <v>162</v>
      </c>
      <c r="B63" s="49">
        <f>SUM(B61-B62)</f>
        <v>704849640</v>
      </c>
      <c r="C63" s="49">
        <f>SUM(C61-C62)</f>
        <v>0</v>
      </c>
      <c r="D63" s="50">
        <f t="shared" si="0"/>
        <v>0</v>
      </c>
      <c r="E63" s="49">
        <f t="shared" si="1"/>
        <v>0</v>
      </c>
      <c r="F63" s="53" t="s">
        <v>162</v>
      </c>
      <c r="G63" s="51">
        <f>SUM(G61-G62)</f>
        <v>704850</v>
      </c>
      <c r="H63" s="51">
        <f>SUM(H61-H62)</f>
        <v>461119</v>
      </c>
      <c r="I63" s="52">
        <f t="shared" si="2"/>
        <v>65.42086968858622</v>
      </c>
      <c r="J63" s="51">
        <f>H63-'[2]Julijs'!H63</f>
        <v>57350</v>
      </c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</row>
    <row r="64" spans="1:142" s="54" customFormat="1" ht="17.25" customHeight="1">
      <c r="A64" s="54" t="s">
        <v>163</v>
      </c>
      <c r="B64" s="55">
        <v>10550686</v>
      </c>
      <c r="C64" s="55"/>
      <c r="D64" s="56">
        <f t="shared" si="0"/>
        <v>0</v>
      </c>
      <c r="E64" s="49">
        <f t="shared" si="1"/>
        <v>0</v>
      </c>
      <c r="F64" s="54" t="s">
        <v>163</v>
      </c>
      <c r="G64" s="57">
        <f>ROUND(B64/1000,0)-1</f>
        <v>10550</v>
      </c>
      <c r="H64" s="57">
        <v>6885</v>
      </c>
      <c r="I64" s="58">
        <f t="shared" si="2"/>
        <v>65.260663507109</v>
      </c>
      <c r="J64" s="57">
        <f>H64-'[2]Julijs'!H64</f>
        <v>603</v>
      </c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</row>
    <row r="65" spans="1:142" s="54" customFormat="1" ht="18.75" customHeight="1">
      <c r="A65" s="53" t="s">
        <v>164</v>
      </c>
      <c r="B65" s="49">
        <f>SUM(B64)</f>
        <v>10550686</v>
      </c>
      <c r="C65" s="49">
        <f>SUM(C64)</f>
        <v>0</v>
      </c>
      <c r="D65" s="50">
        <f t="shared" si="0"/>
        <v>0</v>
      </c>
      <c r="E65" s="49">
        <f t="shared" si="1"/>
        <v>0</v>
      </c>
      <c r="F65" s="53" t="s">
        <v>164</v>
      </c>
      <c r="G65" s="51">
        <f>SUM(G64)</f>
        <v>10550</v>
      </c>
      <c r="H65" s="51">
        <f>SUM(H64)</f>
        <v>6885</v>
      </c>
      <c r="I65" s="52">
        <f t="shared" si="2"/>
        <v>65.260663507109</v>
      </c>
      <c r="J65" s="51">
        <f>H65-'[2]Julijs'!H65</f>
        <v>603</v>
      </c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</row>
    <row r="66" spans="1:142" s="54" customFormat="1" ht="18" customHeight="1">
      <c r="A66" s="54" t="s">
        <v>165</v>
      </c>
      <c r="B66" s="55">
        <v>26845252</v>
      </c>
      <c r="C66" s="55"/>
      <c r="D66" s="56">
        <f t="shared" si="0"/>
        <v>0</v>
      </c>
      <c r="E66" s="49">
        <f t="shared" si="1"/>
        <v>0</v>
      </c>
      <c r="F66" s="54" t="s">
        <v>165</v>
      </c>
      <c r="G66" s="57">
        <f>ROUND(B66/1000,0)</f>
        <v>26845</v>
      </c>
      <c r="H66" s="57">
        <v>10491</v>
      </c>
      <c r="I66" s="58">
        <f t="shared" si="2"/>
        <v>39.07990314769976</v>
      </c>
      <c r="J66" s="57">
        <f>H66-'[2]Julijs'!H66</f>
        <v>1190</v>
      </c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</row>
    <row r="67" spans="1:142" s="54" customFormat="1" ht="12.75">
      <c r="A67" s="53" t="s">
        <v>166</v>
      </c>
      <c r="B67" s="49">
        <f>SUM(B66)</f>
        <v>26845252</v>
      </c>
      <c r="C67" s="49">
        <f>SUM(C66)</f>
        <v>0</v>
      </c>
      <c r="D67" s="50">
        <f t="shared" si="0"/>
        <v>0</v>
      </c>
      <c r="E67" s="49">
        <f t="shared" si="1"/>
        <v>0</v>
      </c>
      <c r="F67" s="53" t="s">
        <v>166</v>
      </c>
      <c r="G67" s="51">
        <f>SUM(G66)</f>
        <v>26845</v>
      </c>
      <c r="H67" s="51">
        <f>SUM(H66)</f>
        <v>10491</v>
      </c>
      <c r="I67" s="52">
        <f t="shared" si="2"/>
        <v>39.07990314769976</v>
      </c>
      <c r="J67" s="51">
        <f>H67-'[2]Julijs'!H67</f>
        <v>1190</v>
      </c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</row>
    <row r="68" spans="1:142" s="54" customFormat="1" ht="28.5" customHeight="1">
      <c r="A68" s="70" t="s">
        <v>167</v>
      </c>
      <c r="B68" s="49">
        <f>SUM(B24-B58)</f>
        <v>-43684556</v>
      </c>
      <c r="C68" s="49">
        <f>SUM(C24-C58)</f>
        <v>0</v>
      </c>
      <c r="D68" s="50">
        <f t="shared" si="0"/>
        <v>0</v>
      </c>
      <c r="E68" s="49">
        <f t="shared" si="1"/>
        <v>0</v>
      </c>
      <c r="F68" s="70" t="s">
        <v>167</v>
      </c>
      <c r="G68" s="51">
        <f>SUM(G24-G58)</f>
        <v>-43684</v>
      </c>
      <c r="H68" s="51">
        <f>SUM(H24-H58)</f>
        <v>-29626</v>
      </c>
      <c r="I68" s="52">
        <f t="shared" si="2"/>
        <v>67.81888105484846</v>
      </c>
      <c r="J68" s="51">
        <f>H68-'[2]Julijs'!H68</f>
        <v>-1580</v>
      </c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</row>
    <row r="69" spans="1:142" s="54" customFormat="1" ht="12.75">
      <c r="A69" s="53" t="s">
        <v>168</v>
      </c>
      <c r="B69" s="49">
        <f>SUM(B70)</f>
        <v>6739620</v>
      </c>
      <c r="C69" s="49"/>
      <c r="D69" s="50">
        <f t="shared" si="0"/>
        <v>0</v>
      </c>
      <c r="E69" s="49">
        <f t="shared" si="1"/>
        <v>0</v>
      </c>
      <c r="F69" s="53" t="s">
        <v>168</v>
      </c>
      <c r="G69" s="51">
        <f>SUM(G70)</f>
        <v>6740</v>
      </c>
      <c r="H69" s="51">
        <f>SUM(H70)</f>
        <v>2834</v>
      </c>
      <c r="I69" s="52">
        <f t="shared" si="2"/>
        <v>42.04747774480712</v>
      </c>
      <c r="J69" s="51">
        <f>H69-'[2]Julijs'!H69</f>
        <v>363</v>
      </c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</row>
    <row r="70" spans="1:142" s="54" customFormat="1" ht="15.75" customHeight="1">
      <c r="A70" s="54" t="s">
        <v>169</v>
      </c>
      <c r="B70" s="55">
        <v>6739620</v>
      </c>
      <c r="C70" s="55"/>
      <c r="D70" s="56">
        <f>IF(ISERROR(C70/B70)," ",(C70/B70))</f>
        <v>0</v>
      </c>
      <c r="E70" s="49">
        <f>C70</f>
        <v>0</v>
      </c>
      <c r="F70" s="54" t="s">
        <v>169</v>
      </c>
      <c r="G70" s="55">
        <f>ROUND(B70/1000,0)</f>
        <v>6740</v>
      </c>
      <c r="H70" s="55">
        <v>2834</v>
      </c>
      <c r="I70" s="72">
        <f t="shared" si="2"/>
        <v>42.04747774480712</v>
      </c>
      <c r="J70" s="55">
        <f>H70-'[2]Julijs'!H70</f>
        <v>363</v>
      </c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</row>
    <row r="71" spans="1:142" s="54" customFormat="1" ht="15.75" customHeight="1">
      <c r="A71" s="54" t="s">
        <v>170</v>
      </c>
      <c r="B71" s="55">
        <f>SUM(B70)</f>
        <v>6739620</v>
      </c>
      <c r="C71" s="55">
        <f>SUM(C70)</f>
        <v>0</v>
      </c>
      <c r="D71" s="56">
        <f>IF(ISERROR(C71/B71)," ",(C71/B71))</f>
        <v>0</v>
      </c>
      <c r="E71" s="49">
        <f>C71</f>
        <v>0</v>
      </c>
      <c r="F71" s="54" t="s">
        <v>170</v>
      </c>
      <c r="G71" s="55">
        <f>SUM(G70)</f>
        <v>6740</v>
      </c>
      <c r="H71" s="55">
        <f>SUM(H70)</f>
        <v>2834</v>
      </c>
      <c r="I71" s="72">
        <f t="shared" si="2"/>
        <v>42.04747774480712</v>
      </c>
      <c r="J71" s="55">
        <f>H71-'[2]Julijs'!H71</f>
        <v>363</v>
      </c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</row>
    <row r="72" spans="1:142" s="54" customFormat="1" ht="30.75" customHeight="1">
      <c r="A72" s="70" t="s">
        <v>171</v>
      </c>
      <c r="B72" s="49">
        <f>SUM(B68-B69)</f>
        <v>-50424176</v>
      </c>
      <c r="C72" s="49">
        <f>SUM(C68-C69)</f>
        <v>0</v>
      </c>
      <c r="D72" s="50">
        <f>IF(ISERROR(C72/B72)," ",(C72/B72))</f>
        <v>0</v>
      </c>
      <c r="E72" s="49">
        <f>C72</f>
        <v>0</v>
      </c>
      <c r="F72" s="70" t="s">
        <v>171</v>
      </c>
      <c r="G72" s="51">
        <f>SUM(G68-G69)</f>
        <v>-50424</v>
      </c>
      <c r="H72" s="51">
        <f>SUM(H68-H69)</f>
        <v>-32460</v>
      </c>
      <c r="I72" s="52">
        <f t="shared" si="2"/>
        <v>64.37410756782485</v>
      </c>
      <c r="J72" s="51">
        <f>H72-'[2]Julijs'!H72</f>
        <v>-1943</v>
      </c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</row>
    <row r="73" spans="1:142" s="75" customFormat="1" ht="12.75">
      <c r="A73" s="73"/>
      <c r="B73" s="74"/>
      <c r="F73" s="27"/>
      <c r="G73" s="74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</row>
    <row r="74" spans="1:142" s="75" customFormat="1" ht="12.75">
      <c r="A74" s="73"/>
      <c r="B74" s="74"/>
      <c r="F74" s="76"/>
      <c r="G74" s="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</row>
    <row r="76" spans="1:10" ht="12.75">
      <c r="A76" s="75"/>
      <c r="F76" s="77" t="s">
        <v>172</v>
      </c>
      <c r="G76" s="45"/>
      <c r="H76" s="78"/>
      <c r="I76" s="43"/>
      <c r="J76" s="43"/>
    </row>
    <row r="78" spans="1:10" ht="12.75">
      <c r="A78" s="77" t="s">
        <v>173</v>
      </c>
      <c r="B78" s="45"/>
      <c r="C78" s="78"/>
      <c r="D78" s="78"/>
      <c r="E78" s="78"/>
      <c r="F78" s="77"/>
      <c r="G78" s="45"/>
      <c r="H78" s="78"/>
      <c r="I78" s="78"/>
      <c r="J78" s="78"/>
    </row>
    <row r="79" spans="1:10" ht="12.75">
      <c r="A79" s="2"/>
      <c r="F79" s="2"/>
      <c r="G79" s="44"/>
      <c r="H79" s="43"/>
      <c r="I79" s="43"/>
      <c r="J79" s="43"/>
    </row>
    <row r="80" spans="6:10" ht="12.75">
      <c r="F80" s="2" t="s">
        <v>174</v>
      </c>
      <c r="G80" s="44"/>
      <c r="H80" s="43"/>
      <c r="I80" s="43"/>
      <c r="J80" s="43"/>
    </row>
    <row r="81" spans="6:10" ht="12.75">
      <c r="F81" s="2" t="s">
        <v>96</v>
      </c>
      <c r="I81" s="43"/>
      <c r="J81" s="43"/>
    </row>
    <row r="84" ht="12.75"/>
    <row r="85" ht="12.75"/>
    <row r="86" ht="12.75"/>
    <row r="87" ht="15" customHeight="1"/>
    <row r="88" ht="16.5" customHeight="1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</sheetData>
  <mergeCells count="2">
    <mergeCell ref="A4:E4"/>
    <mergeCell ref="F4:J4"/>
  </mergeCells>
  <printOptions/>
  <pageMargins left="0.75" right="0.19" top="1" bottom="0.35" header="0.5" footer="0.16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3"/>
  <dimension ref="A1:DW62"/>
  <sheetViews>
    <sheetView workbookViewId="0" topLeftCell="A1">
      <selection activeCell="A17" sqref="A17"/>
    </sheetView>
  </sheetViews>
  <sheetFormatPr defaultColWidth="9.140625" defaultRowHeight="12.75"/>
  <cols>
    <col min="1" max="1" width="64.8515625" style="487" customWidth="1"/>
    <col min="2" max="2" width="19.140625" style="487" customWidth="1"/>
    <col min="3" max="16384" width="8.00390625" style="487" customWidth="1"/>
  </cols>
  <sheetData>
    <row r="1" spans="1:4" s="537" customFormat="1" ht="12.75">
      <c r="A1" s="488" t="s">
        <v>13</v>
      </c>
      <c r="B1" s="488" t="s">
        <v>14</v>
      </c>
      <c r="D1" s="708"/>
    </row>
    <row r="2" spans="1:2" s="537" customFormat="1" ht="12.75">
      <c r="A2" s="488"/>
      <c r="B2" s="488"/>
    </row>
    <row r="3" s="571" customFormat="1" ht="12"/>
    <row r="4" s="571" customFormat="1" ht="15.75">
      <c r="A4" s="637" t="s">
        <v>15</v>
      </c>
    </row>
    <row r="5" s="571" customFormat="1" ht="15.75">
      <c r="A5" s="712" t="s">
        <v>50</v>
      </c>
    </row>
    <row r="6" spans="1:2" s="571" customFormat="1" ht="12">
      <c r="A6" s="708"/>
      <c r="B6" s="708"/>
    </row>
    <row r="7" spans="1:2" s="571" customFormat="1" ht="12">
      <c r="A7" s="713"/>
      <c r="B7" s="714" t="s">
        <v>227</v>
      </c>
    </row>
    <row r="8" spans="1:2" s="571" customFormat="1" ht="12.75">
      <c r="A8" s="715" t="s">
        <v>54</v>
      </c>
      <c r="B8" s="716" t="s">
        <v>16</v>
      </c>
    </row>
    <row r="9" spans="1:127" s="719" customFormat="1" ht="12.75">
      <c r="A9" s="717">
        <v>1</v>
      </c>
      <c r="B9" s="718">
        <v>2</v>
      </c>
      <c r="C9" s="571"/>
      <c r="D9" s="571"/>
      <c r="E9" s="571"/>
      <c r="F9" s="571"/>
      <c r="G9" s="571"/>
      <c r="H9" s="571"/>
      <c r="I9" s="571"/>
      <c r="J9" s="571"/>
      <c r="K9" s="571"/>
      <c r="L9" s="571"/>
      <c r="M9" s="571"/>
      <c r="N9" s="571"/>
      <c r="O9" s="571"/>
      <c r="P9" s="571"/>
      <c r="Q9" s="571"/>
      <c r="R9" s="571"/>
      <c r="S9" s="571"/>
      <c r="T9" s="571"/>
      <c r="U9" s="571"/>
      <c r="V9" s="571"/>
      <c r="W9" s="571"/>
      <c r="X9" s="571"/>
      <c r="Y9" s="571"/>
      <c r="Z9" s="571"/>
      <c r="AA9" s="571"/>
      <c r="AB9" s="571"/>
      <c r="AC9" s="571"/>
      <c r="AD9" s="571"/>
      <c r="AE9" s="571"/>
      <c r="AF9" s="571"/>
      <c r="AG9" s="571"/>
      <c r="AH9" s="571"/>
      <c r="AI9" s="571"/>
      <c r="AJ9" s="571"/>
      <c r="AK9" s="571"/>
      <c r="AL9" s="571"/>
      <c r="AM9" s="571"/>
      <c r="AN9" s="571"/>
      <c r="AO9" s="571"/>
      <c r="AP9" s="571"/>
      <c r="AQ9" s="571"/>
      <c r="AR9" s="571"/>
      <c r="AS9" s="571"/>
      <c r="AT9" s="571"/>
      <c r="AU9" s="571"/>
      <c r="AV9" s="571"/>
      <c r="AW9" s="571"/>
      <c r="AX9" s="571"/>
      <c r="AY9" s="571"/>
      <c r="AZ9" s="571"/>
      <c r="BA9" s="571"/>
      <c r="BB9" s="571"/>
      <c r="BC9" s="571"/>
      <c r="BD9" s="571"/>
      <c r="BE9" s="571"/>
      <c r="BF9" s="571"/>
      <c r="BG9" s="571"/>
      <c r="BH9" s="571"/>
      <c r="BI9" s="571"/>
      <c r="BJ9" s="571"/>
      <c r="BK9" s="571"/>
      <c r="BL9" s="571"/>
      <c r="BM9" s="571"/>
      <c r="BN9" s="571"/>
      <c r="BO9" s="571"/>
      <c r="BP9" s="571"/>
      <c r="BQ9" s="571"/>
      <c r="BR9" s="571"/>
      <c r="BS9" s="571"/>
      <c r="BT9" s="571"/>
      <c r="BU9" s="571"/>
      <c r="BV9" s="571"/>
      <c r="BW9" s="571"/>
      <c r="BX9" s="571"/>
      <c r="BY9" s="571"/>
      <c r="BZ9" s="571"/>
      <c r="CA9" s="571"/>
      <c r="CB9" s="571"/>
      <c r="CC9" s="571"/>
      <c r="CD9" s="571"/>
      <c r="CE9" s="571"/>
      <c r="CF9" s="571"/>
      <c r="CG9" s="571"/>
      <c r="CH9" s="571"/>
      <c r="CI9" s="571"/>
      <c r="CJ9" s="571"/>
      <c r="CK9" s="571"/>
      <c r="CL9" s="571"/>
      <c r="CM9" s="571"/>
      <c r="CN9" s="571"/>
      <c r="CO9" s="571"/>
      <c r="CP9" s="571"/>
      <c r="CQ9" s="571"/>
      <c r="CR9" s="571"/>
      <c r="CS9" s="571"/>
      <c r="CT9" s="571"/>
      <c r="CU9" s="571"/>
      <c r="CV9" s="571"/>
      <c r="CW9" s="571"/>
      <c r="CX9" s="571"/>
      <c r="CY9" s="571"/>
      <c r="CZ9" s="571"/>
      <c r="DA9" s="571"/>
      <c r="DB9" s="571"/>
      <c r="DC9" s="571"/>
      <c r="DD9" s="571"/>
      <c r="DE9" s="571"/>
      <c r="DF9" s="571"/>
      <c r="DG9" s="571"/>
      <c r="DH9" s="571"/>
      <c r="DI9" s="571"/>
      <c r="DJ9" s="571"/>
      <c r="DK9" s="571"/>
      <c r="DL9" s="571"/>
      <c r="DM9" s="571"/>
      <c r="DN9" s="571"/>
      <c r="DO9" s="571"/>
      <c r="DP9" s="571"/>
      <c r="DQ9" s="571"/>
      <c r="DR9" s="571"/>
      <c r="DS9" s="571"/>
      <c r="DT9" s="571"/>
      <c r="DU9" s="571"/>
      <c r="DV9" s="571"/>
      <c r="DW9" s="571"/>
    </row>
    <row r="10" spans="1:127" s="719" customFormat="1" ht="23.25" customHeight="1">
      <c r="A10" s="508" t="s">
        <v>17</v>
      </c>
      <c r="B10" s="720">
        <f>SUM(B11:B16)</f>
        <v>21094032</v>
      </c>
      <c r="C10" s="571"/>
      <c r="D10" s="571"/>
      <c r="E10" s="571"/>
      <c r="F10" s="571"/>
      <c r="G10" s="571"/>
      <c r="H10" s="571"/>
      <c r="I10" s="571"/>
      <c r="J10" s="571"/>
      <c r="K10" s="571"/>
      <c r="L10" s="571"/>
      <c r="M10" s="571"/>
      <c r="N10" s="571"/>
      <c r="O10" s="571"/>
      <c r="P10" s="571"/>
      <c r="Q10" s="571"/>
      <c r="R10" s="571"/>
      <c r="S10" s="571"/>
      <c r="T10" s="571"/>
      <c r="U10" s="571"/>
      <c r="V10" s="571"/>
      <c r="W10" s="571"/>
      <c r="X10" s="571"/>
      <c r="Y10" s="571"/>
      <c r="Z10" s="571"/>
      <c r="AA10" s="571"/>
      <c r="AB10" s="571"/>
      <c r="AC10" s="571"/>
      <c r="AD10" s="571"/>
      <c r="AE10" s="571"/>
      <c r="AF10" s="571"/>
      <c r="AG10" s="571"/>
      <c r="AH10" s="571"/>
      <c r="AI10" s="571"/>
      <c r="AJ10" s="571"/>
      <c r="AK10" s="571"/>
      <c r="AL10" s="571"/>
      <c r="AM10" s="571"/>
      <c r="AN10" s="571"/>
      <c r="AO10" s="571"/>
      <c r="AP10" s="571"/>
      <c r="AQ10" s="571"/>
      <c r="AR10" s="571"/>
      <c r="AS10" s="571"/>
      <c r="AT10" s="571"/>
      <c r="AU10" s="571"/>
      <c r="AV10" s="571"/>
      <c r="AW10" s="571"/>
      <c r="AX10" s="571"/>
      <c r="AY10" s="571"/>
      <c r="AZ10" s="571"/>
      <c r="BA10" s="571"/>
      <c r="BB10" s="571"/>
      <c r="BC10" s="571"/>
      <c r="BD10" s="571"/>
      <c r="BE10" s="571"/>
      <c r="BF10" s="571"/>
      <c r="BG10" s="571"/>
      <c r="BH10" s="571"/>
      <c r="BI10" s="571"/>
      <c r="BJ10" s="571"/>
      <c r="BK10" s="571"/>
      <c r="BL10" s="571"/>
      <c r="BM10" s="571"/>
      <c r="BN10" s="571"/>
      <c r="BO10" s="571"/>
      <c r="BP10" s="571"/>
      <c r="BQ10" s="571"/>
      <c r="BR10" s="571"/>
      <c r="BS10" s="571"/>
      <c r="BT10" s="571"/>
      <c r="BU10" s="571"/>
      <c r="BV10" s="571"/>
      <c r="BW10" s="571"/>
      <c r="BX10" s="571"/>
      <c r="BY10" s="571"/>
      <c r="BZ10" s="571"/>
      <c r="CA10" s="571"/>
      <c r="CB10" s="571"/>
      <c r="CC10" s="571"/>
      <c r="CD10" s="571"/>
      <c r="CE10" s="571"/>
      <c r="CF10" s="571"/>
      <c r="CG10" s="571"/>
      <c r="CH10" s="571"/>
      <c r="CI10" s="571"/>
      <c r="CJ10" s="571"/>
      <c r="CK10" s="571"/>
      <c r="CL10" s="571"/>
      <c r="CM10" s="571"/>
      <c r="CN10" s="571"/>
      <c r="CO10" s="571"/>
      <c r="CP10" s="571"/>
      <c r="CQ10" s="571"/>
      <c r="CR10" s="571"/>
      <c r="CS10" s="571"/>
      <c r="CT10" s="571"/>
      <c r="CU10" s="571"/>
      <c r="CV10" s="571"/>
      <c r="CW10" s="571"/>
      <c r="CX10" s="571"/>
      <c r="CY10" s="571"/>
      <c r="CZ10" s="571"/>
      <c r="DA10" s="571"/>
      <c r="DB10" s="571"/>
      <c r="DC10" s="571"/>
      <c r="DD10" s="571"/>
      <c r="DE10" s="571"/>
      <c r="DF10" s="571"/>
      <c r="DG10" s="571"/>
      <c r="DH10" s="571"/>
      <c r="DI10" s="571"/>
      <c r="DJ10" s="571"/>
      <c r="DK10" s="571"/>
      <c r="DL10" s="571"/>
      <c r="DM10" s="571"/>
      <c r="DN10" s="571"/>
      <c r="DO10" s="571"/>
      <c r="DP10" s="571"/>
      <c r="DQ10" s="571"/>
      <c r="DR10" s="571"/>
      <c r="DS10" s="571"/>
      <c r="DT10" s="571"/>
      <c r="DU10" s="571"/>
      <c r="DV10" s="571"/>
      <c r="DW10" s="571"/>
    </row>
    <row r="11" spans="1:127" s="719" customFormat="1" ht="23.25" customHeight="1">
      <c r="A11" s="514" t="s">
        <v>18</v>
      </c>
      <c r="B11" s="721">
        <v>9182</v>
      </c>
      <c r="C11" s="571"/>
      <c r="D11" s="571"/>
      <c r="E11" s="571"/>
      <c r="F11" s="571"/>
      <c r="G11" s="571"/>
      <c r="H11" s="571"/>
      <c r="I11" s="571"/>
      <c r="J11" s="571"/>
      <c r="K11" s="571"/>
      <c r="L11" s="571"/>
      <c r="M11" s="571"/>
      <c r="N11" s="571"/>
      <c r="O11" s="571"/>
      <c r="P11" s="571"/>
      <c r="Q11" s="571"/>
      <c r="R11" s="571"/>
      <c r="S11" s="571"/>
      <c r="T11" s="571"/>
      <c r="U11" s="571"/>
      <c r="V11" s="571"/>
      <c r="W11" s="571"/>
      <c r="X11" s="571"/>
      <c r="Y11" s="571"/>
      <c r="Z11" s="571"/>
      <c r="AA11" s="571"/>
      <c r="AB11" s="571"/>
      <c r="AC11" s="571"/>
      <c r="AD11" s="571"/>
      <c r="AE11" s="571"/>
      <c r="AF11" s="571"/>
      <c r="AG11" s="571"/>
      <c r="AH11" s="571"/>
      <c r="AI11" s="571"/>
      <c r="AJ11" s="571"/>
      <c r="AK11" s="571"/>
      <c r="AL11" s="571"/>
      <c r="AM11" s="571"/>
      <c r="AN11" s="571"/>
      <c r="AO11" s="571"/>
      <c r="AP11" s="571"/>
      <c r="AQ11" s="571"/>
      <c r="AR11" s="571"/>
      <c r="AS11" s="571"/>
      <c r="AT11" s="571"/>
      <c r="AU11" s="571"/>
      <c r="AV11" s="571"/>
      <c r="AW11" s="571"/>
      <c r="AX11" s="571"/>
      <c r="AY11" s="571"/>
      <c r="AZ11" s="571"/>
      <c r="BA11" s="571"/>
      <c r="BB11" s="571"/>
      <c r="BC11" s="571"/>
      <c r="BD11" s="571"/>
      <c r="BE11" s="571"/>
      <c r="BF11" s="571"/>
      <c r="BG11" s="571"/>
      <c r="BH11" s="571"/>
      <c r="BI11" s="571"/>
      <c r="BJ11" s="571"/>
      <c r="BK11" s="571"/>
      <c r="BL11" s="571"/>
      <c r="BM11" s="571"/>
      <c r="BN11" s="571"/>
      <c r="BO11" s="571"/>
      <c r="BP11" s="571"/>
      <c r="BQ11" s="571"/>
      <c r="BR11" s="571"/>
      <c r="BS11" s="571"/>
      <c r="BT11" s="571"/>
      <c r="BU11" s="571"/>
      <c r="BV11" s="571"/>
      <c r="BW11" s="571"/>
      <c r="BX11" s="571"/>
      <c r="BY11" s="571"/>
      <c r="BZ11" s="571"/>
      <c r="CA11" s="571"/>
      <c r="CB11" s="571"/>
      <c r="CC11" s="571"/>
      <c r="CD11" s="571"/>
      <c r="CE11" s="571"/>
      <c r="CF11" s="571"/>
      <c r="CG11" s="571"/>
      <c r="CH11" s="571"/>
      <c r="CI11" s="571"/>
      <c r="CJ11" s="571"/>
      <c r="CK11" s="571"/>
      <c r="CL11" s="571"/>
      <c r="CM11" s="571"/>
      <c r="CN11" s="571"/>
      <c r="CO11" s="571"/>
      <c r="CP11" s="571"/>
      <c r="CQ11" s="571"/>
      <c r="CR11" s="571"/>
      <c r="CS11" s="571"/>
      <c r="CT11" s="571"/>
      <c r="CU11" s="571"/>
      <c r="CV11" s="571"/>
      <c r="CW11" s="571"/>
      <c r="CX11" s="571"/>
      <c r="CY11" s="571"/>
      <c r="CZ11" s="571"/>
      <c r="DA11" s="571"/>
      <c r="DB11" s="571"/>
      <c r="DC11" s="571"/>
      <c r="DD11" s="571"/>
      <c r="DE11" s="571"/>
      <c r="DF11" s="571"/>
      <c r="DG11" s="571"/>
      <c r="DH11" s="571"/>
      <c r="DI11" s="571"/>
      <c r="DJ11" s="571"/>
      <c r="DK11" s="571"/>
      <c r="DL11" s="571"/>
      <c r="DM11" s="571"/>
      <c r="DN11" s="571"/>
      <c r="DO11" s="571"/>
      <c r="DP11" s="571"/>
      <c r="DQ11" s="571"/>
      <c r="DR11" s="571"/>
      <c r="DS11" s="571"/>
      <c r="DT11" s="571"/>
      <c r="DU11" s="571"/>
      <c r="DV11" s="571"/>
      <c r="DW11" s="571"/>
    </row>
    <row r="12" spans="1:127" s="719" customFormat="1" ht="19.5" customHeight="1">
      <c r="A12" s="722" t="s">
        <v>19</v>
      </c>
      <c r="B12" s="723"/>
      <c r="C12" s="571"/>
      <c r="D12" s="571"/>
      <c r="E12" s="571"/>
      <c r="F12" s="571"/>
      <c r="G12" s="571"/>
      <c r="H12" s="571"/>
      <c r="I12" s="571"/>
      <c r="J12" s="571"/>
      <c r="K12" s="571"/>
      <c r="L12" s="571"/>
      <c r="M12" s="571"/>
      <c r="N12" s="571"/>
      <c r="O12" s="571"/>
      <c r="P12" s="571"/>
      <c r="Q12" s="571"/>
      <c r="R12" s="571"/>
      <c r="S12" s="571"/>
      <c r="T12" s="571"/>
      <c r="U12" s="571"/>
      <c r="V12" s="571"/>
      <c r="W12" s="571"/>
      <c r="X12" s="571"/>
      <c r="Y12" s="571"/>
      <c r="Z12" s="571"/>
      <c r="AA12" s="571"/>
      <c r="AB12" s="571"/>
      <c r="AC12" s="571"/>
      <c r="AD12" s="571"/>
      <c r="AE12" s="571"/>
      <c r="AF12" s="571"/>
      <c r="AG12" s="571"/>
      <c r="AH12" s="571"/>
      <c r="AI12" s="571"/>
      <c r="AJ12" s="571"/>
      <c r="AK12" s="571"/>
      <c r="AL12" s="571"/>
      <c r="AM12" s="571"/>
      <c r="AN12" s="571"/>
      <c r="AO12" s="571"/>
      <c r="AP12" s="571"/>
      <c r="AQ12" s="571"/>
      <c r="AR12" s="571"/>
      <c r="AS12" s="571"/>
      <c r="AT12" s="571"/>
      <c r="AU12" s="571"/>
      <c r="AV12" s="571"/>
      <c r="AW12" s="571"/>
      <c r="AX12" s="571"/>
      <c r="AY12" s="571"/>
      <c r="AZ12" s="571"/>
      <c r="BA12" s="571"/>
      <c r="BB12" s="571"/>
      <c r="BC12" s="571"/>
      <c r="BD12" s="571"/>
      <c r="BE12" s="571"/>
      <c r="BF12" s="571"/>
      <c r="BG12" s="571"/>
      <c r="BH12" s="571"/>
      <c r="BI12" s="571"/>
      <c r="BJ12" s="571"/>
      <c r="BK12" s="571"/>
      <c r="BL12" s="571"/>
      <c r="BM12" s="571"/>
      <c r="BN12" s="571"/>
      <c r="BO12" s="571"/>
      <c r="BP12" s="571"/>
      <c r="BQ12" s="571"/>
      <c r="BR12" s="571"/>
      <c r="BS12" s="571"/>
      <c r="BT12" s="571"/>
      <c r="BU12" s="571"/>
      <c r="BV12" s="571"/>
      <c r="BW12" s="571"/>
      <c r="BX12" s="571"/>
      <c r="BY12" s="571"/>
      <c r="BZ12" s="571"/>
      <c r="CA12" s="571"/>
      <c r="CB12" s="571"/>
      <c r="CC12" s="571"/>
      <c r="CD12" s="571"/>
      <c r="CE12" s="571"/>
      <c r="CF12" s="571"/>
      <c r="CG12" s="571"/>
      <c r="CH12" s="571"/>
      <c r="CI12" s="571"/>
      <c r="CJ12" s="571"/>
      <c r="CK12" s="571"/>
      <c r="CL12" s="571"/>
      <c r="CM12" s="571"/>
      <c r="CN12" s="571"/>
      <c r="CO12" s="571"/>
      <c r="CP12" s="571"/>
      <c r="CQ12" s="571"/>
      <c r="CR12" s="571"/>
      <c r="CS12" s="571"/>
      <c r="CT12" s="571"/>
      <c r="CU12" s="571"/>
      <c r="CV12" s="571"/>
      <c r="CW12" s="571"/>
      <c r="CX12" s="571"/>
      <c r="CY12" s="571"/>
      <c r="CZ12" s="571"/>
      <c r="DA12" s="571"/>
      <c r="DB12" s="571"/>
      <c r="DC12" s="571"/>
      <c r="DD12" s="571"/>
      <c r="DE12" s="571"/>
      <c r="DF12" s="571"/>
      <c r="DG12" s="571"/>
      <c r="DH12" s="571"/>
      <c r="DI12" s="571"/>
      <c r="DJ12" s="571"/>
      <c r="DK12" s="571"/>
      <c r="DL12" s="571"/>
      <c r="DM12" s="571"/>
      <c r="DN12" s="571"/>
      <c r="DO12" s="571"/>
      <c r="DP12" s="571"/>
      <c r="DQ12" s="571"/>
      <c r="DR12" s="571"/>
      <c r="DS12" s="571"/>
      <c r="DT12" s="571"/>
      <c r="DU12" s="571"/>
      <c r="DV12" s="571"/>
      <c r="DW12" s="571"/>
    </row>
    <row r="13" spans="1:127" s="719" customFormat="1" ht="17.25" customHeight="1">
      <c r="A13" s="724" t="s">
        <v>20</v>
      </c>
      <c r="B13" s="725"/>
      <c r="C13" s="571"/>
      <c r="D13" s="571"/>
      <c r="E13" s="571"/>
      <c r="F13" s="571"/>
      <c r="G13" s="571"/>
      <c r="H13" s="571"/>
      <c r="I13" s="571"/>
      <c r="J13" s="571"/>
      <c r="K13" s="571"/>
      <c r="L13" s="571"/>
      <c r="M13" s="571"/>
      <c r="N13" s="571"/>
      <c r="O13" s="571"/>
      <c r="P13" s="571"/>
      <c r="Q13" s="571"/>
      <c r="R13" s="571"/>
      <c r="S13" s="571"/>
      <c r="T13" s="571"/>
      <c r="U13" s="571"/>
      <c r="V13" s="571"/>
      <c r="W13" s="571"/>
      <c r="X13" s="571"/>
      <c r="Y13" s="571"/>
      <c r="Z13" s="571"/>
      <c r="AA13" s="571"/>
      <c r="AB13" s="571"/>
      <c r="AC13" s="571"/>
      <c r="AD13" s="571"/>
      <c r="AE13" s="571"/>
      <c r="AF13" s="571"/>
      <c r="AG13" s="571"/>
      <c r="AH13" s="571"/>
      <c r="AI13" s="571"/>
      <c r="AJ13" s="571"/>
      <c r="AK13" s="571"/>
      <c r="AL13" s="571"/>
      <c r="AM13" s="571"/>
      <c r="AN13" s="571"/>
      <c r="AO13" s="571"/>
      <c r="AP13" s="571"/>
      <c r="AQ13" s="571"/>
      <c r="AR13" s="571"/>
      <c r="AS13" s="571"/>
      <c r="AT13" s="571"/>
      <c r="AU13" s="571"/>
      <c r="AV13" s="571"/>
      <c r="AW13" s="571"/>
      <c r="AX13" s="571"/>
      <c r="AY13" s="571"/>
      <c r="AZ13" s="571"/>
      <c r="BA13" s="571"/>
      <c r="BB13" s="571"/>
      <c r="BC13" s="571"/>
      <c r="BD13" s="571"/>
      <c r="BE13" s="571"/>
      <c r="BF13" s="571"/>
      <c r="BG13" s="571"/>
      <c r="BH13" s="571"/>
      <c r="BI13" s="571"/>
      <c r="BJ13" s="571"/>
      <c r="BK13" s="571"/>
      <c r="BL13" s="571"/>
      <c r="BM13" s="571"/>
      <c r="BN13" s="571"/>
      <c r="BO13" s="571"/>
      <c r="BP13" s="571"/>
      <c r="BQ13" s="571"/>
      <c r="BR13" s="571"/>
      <c r="BS13" s="571"/>
      <c r="BT13" s="571"/>
      <c r="BU13" s="571"/>
      <c r="BV13" s="571"/>
      <c r="BW13" s="571"/>
      <c r="BX13" s="571"/>
      <c r="BY13" s="571"/>
      <c r="BZ13" s="571"/>
      <c r="CA13" s="571"/>
      <c r="CB13" s="571"/>
      <c r="CC13" s="571"/>
      <c r="CD13" s="571"/>
      <c r="CE13" s="571"/>
      <c r="CF13" s="571"/>
      <c r="CG13" s="571"/>
      <c r="CH13" s="571"/>
      <c r="CI13" s="571"/>
      <c r="CJ13" s="571"/>
      <c r="CK13" s="571"/>
      <c r="CL13" s="571"/>
      <c r="CM13" s="571"/>
      <c r="CN13" s="571"/>
      <c r="CO13" s="571"/>
      <c r="CP13" s="571"/>
      <c r="CQ13" s="571"/>
      <c r="CR13" s="571"/>
      <c r="CS13" s="571"/>
      <c r="CT13" s="571"/>
      <c r="CU13" s="571"/>
      <c r="CV13" s="571"/>
      <c r="CW13" s="571"/>
      <c r="CX13" s="571"/>
      <c r="CY13" s="571"/>
      <c r="CZ13" s="571"/>
      <c r="DA13" s="571"/>
      <c r="DB13" s="571"/>
      <c r="DC13" s="571"/>
      <c r="DD13" s="571"/>
      <c r="DE13" s="571"/>
      <c r="DF13" s="571"/>
      <c r="DG13" s="571"/>
      <c r="DH13" s="571"/>
      <c r="DI13" s="571"/>
      <c r="DJ13" s="571"/>
      <c r="DK13" s="571"/>
      <c r="DL13" s="571"/>
      <c r="DM13" s="571"/>
      <c r="DN13" s="571"/>
      <c r="DO13" s="571"/>
      <c r="DP13" s="571"/>
      <c r="DQ13" s="571"/>
      <c r="DR13" s="571"/>
      <c r="DS13" s="571"/>
      <c r="DT13" s="571"/>
      <c r="DU13" s="571"/>
      <c r="DV13" s="571"/>
      <c r="DW13" s="571"/>
    </row>
    <row r="14" spans="1:127" s="719" customFormat="1" ht="23.25" customHeight="1">
      <c r="A14" s="514" t="s">
        <v>21</v>
      </c>
      <c r="B14" s="721">
        <v>4763080</v>
      </c>
      <c r="C14" s="571"/>
      <c r="D14" s="571"/>
      <c r="E14" s="571"/>
      <c r="F14" s="571"/>
      <c r="G14" s="571"/>
      <c r="H14" s="571"/>
      <c r="I14" s="571"/>
      <c r="J14" s="571"/>
      <c r="K14" s="571"/>
      <c r="L14" s="571"/>
      <c r="M14" s="571"/>
      <c r="N14" s="571"/>
      <c r="O14" s="571"/>
      <c r="P14" s="571"/>
      <c r="Q14" s="571"/>
      <c r="R14" s="571"/>
      <c r="S14" s="571"/>
      <c r="T14" s="571"/>
      <c r="U14" s="571"/>
      <c r="V14" s="571"/>
      <c r="W14" s="571"/>
      <c r="X14" s="571"/>
      <c r="Y14" s="571"/>
      <c r="Z14" s="571"/>
      <c r="AA14" s="571"/>
      <c r="AB14" s="571"/>
      <c r="AC14" s="571"/>
      <c r="AD14" s="571"/>
      <c r="AE14" s="571"/>
      <c r="AF14" s="571"/>
      <c r="AG14" s="571"/>
      <c r="AH14" s="571"/>
      <c r="AI14" s="571"/>
      <c r="AJ14" s="571"/>
      <c r="AK14" s="571"/>
      <c r="AL14" s="571"/>
      <c r="AM14" s="571"/>
      <c r="AN14" s="571"/>
      <c r="AO14" s="571"/>
      <c r="AP14" s="571"/>
      <c r="AQ14" s="571"/>
      <c r="AR14" s="571"/>
      <c r="AS14" s="571"/>
      <c r="AT14" s="571"/>
      <c r="AU14" s="571"/>
      <c r="AV14" s="571"/>
      <c r="AW14" s="571"/>
      <c r="AX14" s="571"/>
      <c r="AY14" s="571"/>
      <c r="AZ14" s="571"/>
      <c r="BA14" s="571"/>
      <c r="BB14" s="571"/>
      <c r="BC14" s="571"/>
      <c r="BD14" s="571"/>
      <c r="BE14" s="571"/>
      <c r="BF14" s="571"/>
      <c r="BG14" s="571"/>
      <c r="BH14" s="571"/>
      <c r="BI14" s="571"/>
      <c r="BJ14" s="571"/>
      <c r="BK14" s="571"/>
      <c r="BL14" s="571"/>
      <c r="BM14" s="571"/>
      <c r="BN14" s="571"/>
      <c r="BO14" s="571"/>
      <c r="BP14" s="571"/>
      <c r="BQ14" s="571"/>
      <c r="BR14" s="571"/>
      <c r="BS14" s="571"/>
      <c r="BT14" s="571"/>
      <c r="BU14" s="571"/>
      <c r="BV14" s="571"/>
      <c r="BW14" s="571"/>
      <c r="BX14" s="571"/>
      <c r="BY14" s="571"/>
      <c r="BZ14" s="571"/>
      <c r="CA14" s="571"/>
      <c r="CB14" s="571"/>
      <c r="CC14" s="571"/>
      <c r="CD14" s="571"/>
      <c r="CE14" s="571"/>
      <c r="CF14" s="571"/>
      <c r="CG14" s="571"/>
      <c r="CH14" s="571"/>
      <c r="CI14" s="571"/>
      <c r="CJ14" s="571"/>
      <c r="CK14" s="571"/>
      <c r="CL14" s="571"/>
      <c r="CM14" s="571"/>
      <c r="CN14" s="571"/>
      <c r="CO14" s="571"/>
      <c r="CP14" s="571"/>
      <c r="CQ14" s="571"/>
      <c r="CR14" s="571"/>
      <c r="CS14" s="571"/>
      <c r="CT14" s="571"/>
      <c r="CU14" s="571"/>
      <c r="CV14" s="571"/>
      <c r="CW14" s="571"/>
      <c r="CX14" s="571"/>
      <c r="CY14" s="571"/>
      <c r="CZ14" s="571"/>
      <c r="DA14" s="571"/>
      <c r="DB14" s="571"/>
      <c r="DC14" s="571"/>
      <c r="DD14" s="571"/>
      <c r="DE14" s="571"/>
      <c r="DF14" s="571"/>
      <c r="DG14" s="571"/>
      <c r="DH14" s="571"/>
      <c r="DI14" s="571"/>
      <c r="DJ14" s="571"/>
      <c r="DK14" s="571"/>
      <c r="DL14" s="571"/>
      <c r="DM14" s="571"/>
      <c r="DN14" s="571"/>
      <c r="DO14" s="571"/>
      <c r="DP14" s="571"/>
      <c r="DQ14" s="571"/>
      <c r="DR14" s="571"/>
      <c r="DS14" s="571"/>
      <c r="DT14" s="571"/>
      <c r="DU14" s="571"/>
      <c r="DV14" s="571"/>
      <c r="DW14" s="571"/>
    </row>
    <row r="15" spans="1:127" s="719" customFormat="1" ht="23.25" customHeight="1">
      <c r="A15" s="514" t="s">
        <v>22</v>
      </c>
      <c r="B15" s="721">
        <v>16321770</v>
      </c>
      <c r="C15" s="571"/>
      <c r="D15" s="571"/>
      <c r="E15" s="571"/>
      <c r="F15" s="571"/>
      <c r="G15" s="571"/>
      <c r="H15" s="571"/>
      <c r="I15" s="571"/>
      <c r="J15" s="571"/>
      <c r="K15" s="571"/>
      <c r="L15" s="571"/>
      <c r="M15" s="571"/>
      <c r="N15" s="571"/>
      <c r="O15" s="571"/>
      <c r="P15" s="571"/>
      <c r="Q15" s="571"/>
      <c r="R15" s="571"/>
      <c r="S15" s="571"/>
      <c r="T15" s="571"/>
      <c r="U15" s="571"/>
      <c r="V15" s="571"/>
      <c r="W15" s="571"/>
      <c r="X15" s="571"/>
      <c r="Y15" s="571"/>
      <c r="Z15" s="571"/>
      <c r="AA15" s="571"/>
      <c r="AB15" s="571"/>
      <c r="AC15" s="571"/>
      <c r="AD15" s="571"/>
      <c r="AE15" s="571"/>
      <c r="AF15" s="571"/>
      <c r="AG15" s="571"/>
      <c r="AH15" s="571"/>
      <c r="AI15" s="571"/>
      <c r="AJ15" s="571"/>
      <c r="AK15" s="571"/>
      <c r="AL15" s="571"/>
      <c r="AM15" s="571"/>
      <c r="AN15" s="571"/>
      <c r="AO15" s="571"/>
      <c r="AP15" s="571"/>
      <c r="AQ15" s="571"/>
      <c r="AR15" s="571"/>
      <c r="AS15" s="571"/>
      <c r="AT15" s="571"/>
      <c r="AU15" s="571"/>
      <c r="AV15" s="571"/>
      <c r="AW15" s="571"/>
      <c r="AX15" s="571"/>
      <c r="AY15" s="571"/>
      <c r="AZ15" s="571"/>
      <c r="BA15" s="571"/>
      <c r="BB15" s="571"/>
      <c r="BC15" s="571"/>
      <c r="BD15" s="571"/>
      <c r="BE15" s="571"/>
      <c r="BF15" s="571"/>
      <c r="BG15" s="571"/>
      <c r="BH15" s="571"/>
      <c r="BI15" s="571"/>
      <c r="BJ15" s="571"/>
      <c r="BK15" s="571"/>
      <c r="BL15" s="571"/>
      <c r="BM15" s="571"/>
      <c r="BN15" s="571"/>
      <c r="BO15" s="571"/>
      <c r="BP15" s="571"/>
      <c r="BQ15" s="571"/>
      <c r="BR15" s="571"/>
      <c r="BS15" s="571"/>
      <c r="BT15" s="571"/>
      <c r="BU15" s="571"/>
      <c r="BV15" s="571"/>
      <c r="BW15" s="571"/>
      <c r="BX15" s="571"/>
      <c r="BY15" s="571"/>
      <c r="BZ15" s="571"/>
      <c r="CA15" s="571"/>
      <c r="CB15" s="571"/>
      <c r="CC15" s="571"/>
      <c r="CD15" s="571"/>
      <c r="CE15" s="571"/>
      <c r="CF15" s="571"/>
      <c r="CG15" s="571"/>
      <c r="CH15" s="571"/>
      <c r="CI15" s="571"/>
      <c r="CJ15" s="571"/>
      <c r="CK15" s="571"/>
      <c r="CL15" s="571"/>
      <c r="CM15" s="571"/>
      <c r="CN15" s="571"/>
      <c r="CO15" s="571"/>
      <c r="CP15" s="571"/>
      <c r="CQ15" s="571"/>
      <c r="CR15" s="571"/>
      <c r="CS15" s="571"/>
      <c r="CT15" s="571"/>
      <c r="CU15" s="571"/>
      <c r="CV15" s="571"/>
      <c r="CW15" s="571"/>
      <c r="CX15" s="571"/>
      <c r="CY15" s="571"/>
      <c r="CZ15" s="571"/>
      <c r="DA15" s="571"/>
      <c r="DB15" s="571"/>
      <c r="DC15" s="571"/>
      <c r="DD15" s="571"/>
      <c r="DE15" s="571"/>
      <c r="DF15" s="571"/>
      <c r="DG15" s="571"/>
      <c r="DH15" s="571"/>
      <c r="DI15" s="571"/>
      <c r="DJ15" s="571"/>
      <c r="DK15" s="571"/>
      <c r="DL15" s="571"/>
      <c r="DM15" s="571"/>
      <c r="DN15" s="571"/>
      <c r="DO15" s="571"/>
      <c r="DP15" s="571"/>
      <c r="DQ15" s="571"/>
      <c r="DR15" s="571"/>
      <c r="DS15" s="571"/>
      <c r="DT15" s="571"/>
      <c r="DU15" s="571"/>
      <c r="DV15" s="571"/>
      <c r="DW15" s="571"/>
    </row>
    <row r="16" spans="1:127" s="719" customFormat="1" ht="23.25" customHeight="1">
      <c r="A16" s="514" t="s">
        <v>23</v>
      </c>
      <c r="B16" s="721"/>
      <c r="C16" s="571"/>
      <c r="D16" s="571"/>
      <c r="E16" s="571"/>
      <c r="F16" s="571"/>
      <c r="G16" s="571"/>
      <c r="H16" s="571"/>
      <c r="I16" s="571"/>
      <c r="J16" s="571"/>
      <c r="K16" s="571"/>
      <c r="L16" s="571"/>
      <c r="M16" s="571"/>
      <c r="N16" s="571"/>
      <c r="O16" s="571"/>
      <c r="P16" s="571"/>
      <c r="Q16" s="571"/>
      <c r="R16" s="571"/>
      <c r="S16" s="571"/>
      <c r="T16" s="571"/>
      <c r="U16" s="571"/>
      <c r="V16" s="571"/>
      <c r="W16" s="571"/>
      <c r="X16" s="571"/>
      <c r="Y16" s="571"/>
      <c r="Z16" s="571"/>
      <c r="AA16" s="571"/>
      <c r="AB16" s="571"/>
      <c r="AC16" s="571"/>
      <c r="AD16" s="571"/>
      <c r="AE16" s="571"/>
      <c r="AF16" s="571"/>
      <c r="AG16" s="571"/>
      <c r="AH16" s="571"/>
      <c r="AI16" s="571"/>
      <c r="AJ16" s="571"/>
      <c r="AK16" s="571"/>
      <c r="AL16" s="571"/>
      <c r="AM16" s="571"/>
      <c r="AN16" s="571"/>
      <c r="AO16" s="571"/>
      <c r="AP16" s="571"/>
      <c r="AQ16" s="571"/>
      <c r="AR16" s="571"/>
      <c r="AS16" s="571"/>
      <c r="AT16" s="571"/>
      <c r="AU16" s="571"/>
      <c r="AV16" s="571"/>
      <c r="AW16" s="571"/>
      <c r="AX16" s="571"/>
      <c r="AY16" s="571"/>
      <c r="AZ16" s="571"/>
      <c r="BA16" s="571"/>
      <c r="BB16" s="571"/>
      <c r="BC16" s="571"/>
      <c r="BD16" s="571"/>
      <c r="BE16" s="571"/>
      <c r="BF16" s="571"/>
      <c r="BG16" s="571"/>
      <c r="BH16" s="571"/>
      <c r="BI16" s="571"/>
      <c r="BJ16" s="571"/>
      <c r="BK16" s="571"/>
      <c r="BL16" s="571"/>
      <c r="BM16" s="571"/>
      <c r="BN16" s="571"/>
      <c r="BO16" s="571"/>
      <c r="BP16" s="571"/>
      <c r="BQ16" s="571"/>
      <c r="BR16" s="571"/>
      <c r="BS16" s="571"/>
      <c r="BT16" s="571"/>
      <c r="BU16" s="571"/>
      <c r="BV16" s="571"/>
      <c r="BW16" s="571"/>
      <c r="BX16" s="571"/>
      <c r="BY16" s="571"/>
      <c r="BZ16" s="571"/>
      <c r="CA16" s="571"/>
      <c r="CB16" s="571"/>
      <c r="CC16" s="571"/>
      <c r="CD16" s="571"/>
      <c r="CE16" s="571"/>
      <c r="CF16" s="571"/>
      <c r="CG16" s="571"/>
      <c r="CH16" s="571"/>
      <c r="CI16" s="571"/>
      <c r="CJ16" s="571"/>
      <c r="CK16" s="571"/>
      <c r="CL16" s="571"/>
      <c r="CM16" s="571"/>
      <c r="CN16" s="571"/>
      <c r="CO16" s="571"/>
      <c r="CP16" s="571"/>
      <c r="CQ16" s="571"/>
      <c r="CR16" s="571"/>
      <c r="CS16" s="571"/>
      <c r="CT16" s="571"/>
      <c r="CU16" s="571"/>
      <c r="CV16" s="571"/>
      <c r="CW16" s="571"/>
      <c r="CX16" s="571"/>
      <c r="CY16" s="571"/>
      <c r="CZ16" s="571"/>
      <c r="DA16" s="571"/>
      <c r="DB16" s="571"/>
      <c r="DC16" s="571"/>
      <c r="DD16" s="571"/>
      <c r="DE16" s="571"/>
      <c r="DF16" s="571"/>
      <c r="DG16" s="571"/>
      <c r="DH16" s="571"/>
      <c r="DI16" s="571"/>
      <c r="DJ16" s="571"/>
      <c r="DK16" s="571"/>
      <c r="DL16" s="571"/>
      <c r="DM16" s="571"/>
      <c r="DN16" s="571"/>
      <c r="DO16" s="571"/>
      <c r="DP16" s="571"/>
      <c r="DQ16" s="571"/>
      <c r="DR16" s="571"/>
      <c r="DS16" s="571"/>
      <c r="DT16" s="571"/>
      <c r="DU16" s="571"/>
      <c r="DV16" s="571"/>
      <c r="DW16" s="571"/>
    </row>
    <row r="17" spans="1:127" s="719" customFormat="1" ht="23.25" customHeight="1">
      <c r="A17" s="726" t="s">
        <v>24</v>
      </c>
      <c r="B17" s="720">
        <f>SUM(B18:B19)</f>
        <v>20985445</v>
      </c>
      <c r="C17" s="571"/>
      <c r="D17" s="571"/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571"/>
      <c r="P17" s="571"/>
      <c r="Q17" s="571"/>
      <c r="R17" s="571"/>
      <c r="S17" s="571"/>
      <c r="T17" s="571"/>
      <c r="U17" s="571"/>
      <c r="V17" s="571"/>
      <c r="W17" s="571"/>
      <c r="X17" s="571"/>
      <c r="Y17" s="571"/>
      <c r="Z17" s="571"/>
      <c r="AA17" s="571"/>
      <c r="AB17" s="571"/>
      <c r="AC17" s="571"/>
      <c r="AD17" s="571"/>
      <c r="AE17" s="571"/>
      <c r="AF17" s="571"/>
      <c r="AG17" s="571"/>
      <c r="AH17" s="571"/>
      <c r="AI17" s="571"/>
      <c r="AJ17" s="571"/>
      <c r="AK17" s="571"/>
      <c r="AL17" s="571"/>
      <c r="AM17" s="571"/>
      <c r="AN17" s="571"/>
      <c r="AO17" s="571"/>
      <c r="AP17" s="571"/>
      <c r="AQ17" s="571"/>
      <c r="AR17" s="571"/>
      <c r="AS17" s="571"/>
      <c r="AT17" s="571"/>
      <c r="AU17" s="571"/>
      <c r="AV17" s="571"/>
      <c r="AW17" s="571"/>
      <c r="AX17" s="571"/>
      <c r="AY17" s="571"/>
      <c r="AZ17" s="571"/>
      <c r="BA17" s="571"/>
      <c r="BB17" s="571"/>
      <c r="BC17" s="571"/>
      <c r="BD17" s="571"/>
      <c r="BE17" s="571"/>
      <c r="BF17" s="571"/>
      <c r="BG17" s="571"/>
      <c r="BH17" s="571"/>
      <c r="BI17" s="571"/>
      <c r="BJ17" s="571"/>
      <c r="BK17" s="571"/>
      <c r="BL17" s="571"/>
      <c r="BM17" s="571"/>
      <c r="BN17" s="571"/>
      <c r="BO17" s="571"/>
      <c r="BP17" s="571"/>
      <c r="BQ17" s="571"/>
      <c r="BR17" s="571"/>
      <c r="BS17" s="571"/>
      <c r="BT17" s="571"/>
      <c r="BU17" s="571"/>
      <c r="BV17" s="571"/>
      <c r="BW17" s="571"/>
      <c r="BX17" s="571"/>
      <c r="BY17" s="571"/>
      <c r="BZ17" s="571"/>
      <c r="CA17" s="571"/>
      <c r="CB17" s="571"/>
      <c r="CC17" s="571"/>
      <c r="CD17" s="571"/>
      <c r="CE17" s="571"/>
      <c r="CF17" s="571"/>
      <c r="CG17" s="571"/>
      <c r="CH17" s="571"/>
      <c r="CI17" s="571"/>
      <c r="CJ17" s="571"/>
      <c r="CK17" s="571"/>
      <c r="CL17" s="571"/>
      <c r="CM17" s="571"/>
      <c r="CN17" s="571"/>
      <c r="CO17" s="571"/>
      <c r="CP17" s="571"/>
      <c r="CQ17" s="571"/>
      <c r="CR17" s="571"/>
      <c r="CS17" s="571"/>
      <c r="CT17" s="571"/>
      <c r="CU17" s="571"/>
      <c r="CV17" s="571"/>
      <c r="CW17" s="571"/>
      <c r="CX17" s="571"/>
      <c r="CY17" s="571"/>
      <c r="CZ17" s="571"/>
      <c r="DA17" s="571"/>
      <c r="DB17" s="571"/>
      <c r="DC17" s="571"/>
      <c r="DD17" s="571"/>
      <c r="DE17" s="571"/>
      <c r="DF17" s="571"/>
      <c r="DG17" s="571"/>
      <c r="DH17" s="571"/>
      <c r="DI17" s="571"/>
      <c r="DJ17" s="571"/>
      <c r="DK17" s="571"/>
      <c r="DL17" s="571"/>
      <c r="DM17" s="571"/>
      <c r="DN17" s="571"/>
      <c r="DO17" s="571"/>
      <c r="DP17" s="571"/>
      <c r="DQ17" s="571"/>
      <c r="DR17" s="571"/>
      <c r="DS17" s="571"/>
      <c r="DT17" s="571"/>
      <c r="DU17" s="571"/>
      <c r="DV17" s="571"/>
      <c r="DW17" s="571"/>
    </row>
    <row r="18" spans="1:127" s="719" customFormat="1" ht="23.25" customHeight="1">
      <c r="A18" s="514" t="s">
        <v>25</v>
      </c>
      <c r="B18" s="721">
        <v>20985445</v>
      </c>
      <c r="C18" s="571"/>
      <c r="D18" s="571"/>
      <c r="E18" s="571"/>
      <c r="F18" s="571"/>
      <c r="G18" s="571"/>
      <c r="H18" s="571"/>
      <c r="I18" s="571"/>
      <c r="J18" s="571"/>
      <c r="K18" s="571"/>
      <c r="L18" s="571"/>
      <c r="M18" s="571"/>
      <c r="N18" s="571"/>
      <c r="O18" s="571"/>
      <c r="P18" s="571"/>
      <c r="Q18" s="571"/>
      <c r="R18" s="571"/>
      <c r="S18" s="571"/>
      <c r="T18" s="571"/>
      <c r="U18" s="571"/>
      <c r="V18" s="571"/>
      <c r="W18" s="571"/>
      <c r="X18" s="571"/>
      <c r="Y18" s="571"/>
      <c r="Z18" s="571"/>
      <c r="AA18" s="571"/>
      <c r="AB18" s="571"/>
      <c r="AC18" s="571"/>
      <c r="AD18" s="571"/>
      <c r="AE18" s="571"/>
      <c r="AF18" s="571"/>
      <c r="AG18" s="571"/>
      <c r="AH18" s="571"/>
      <c r="AI18" s="571"/>
      <c r="AJ18" s="571"/>
      <c r="AK18" s="571"/>
      <c r="AL18" s="571"/>
      <c r="AM18" s="571"/>
      <c r="AN18" s="571"/>
      <c r="AO18" s="571"/>
      <c r="AP18" s="571"/>
      <c r="AQ18" s="571"/>
      <c r="AR18" s="571"/>
      <c r="AS18" s="571"/>
      <c r="AT18" s="571"/>
      <c r="AU18" s="571"/>
      <c r="AV18" s="571"/>
      <c r="AW18" s="571"/>
      <c r="AX18" s="571"/>
      <c r="AY18" s="571"/>
      <c r="AZ18" s="571"/>
      <c r="BA18" s="571"/>
      <c r="BB18" s="571"/>
      <c r="BC18" s="571"/>
      <c r="BD18" s="571"/>
      <c r="BE18" s="571"/>
      <c r="BF18" s="571"/>
      <c r="BG18" s="571"/>
      <c r="BH18" s="571"/>
      <c r="BI18" s="571"/>
      <c r="BJ18" s="571"/>
      <c r="BK18" s="571"/>
      <c r="BL18" s="571"/>
      <c r="BM18" s="571"/>
      <c r="BN18" s="571"/>
      <c r="BO18" s="571"/>
      <c r="BP18" s="571"/>
      <c r="BQ18" s="571"/>
      <c r="BR18" s="571"/>
      <c r="BS18" s="571"/>
      <c r="BT18" s="571"/>
      <c r="BU18" s="571"/>
      <c r="BV18" s="571"/>
      <c r="BW18" s="571"/>
      <c r="BX18" s="571"/>
      <c r="BY18" s="571"/>
      <c r="BZ18" s="571"/>
      <c r="CA18" s="571"/>
      <c r="CB18" s="571"/>
      <c r="CC18" s="571"/>
      <c r="CD18" s="571"/>
      <c r="CE18" s="571"/>
      <c r="CF18" s="571"/>
      <c r="CG18" s="571"/>
      <c r="CH18" s="571"/>
      <c r="CI18" s="571"/>
      <c r="CJ18" s="571"/>
      <c r="CK18" s="571"/>
      <c r="CL18" s="571"/>
      <c r="CM18" s="571"/>
      <c r="CN18" s="571"/>
      <c r="CO18" s="571"/>
      <c r="CP18" s="571"/>
      <c r="CQ18" s="571"/>
      <c r="CR18" s="571"/>
      <c r="CS18" s="571"/>
      <c r="CT18" s="571"/>
      <c r="CU18" s="571"/>
      <c r="CV18" s="571"/>
      <c r="CW18" s="571"/>
      <c r="CX18" s="571"/>
      <c r="CY18" s="571"/>
      <c r="CZ18" s="571"/>
      <c r="DA18" s="571"/>
      <c r="DB18" s="571"/>
      <c r="DC18" s="571"/>
      <c r="DD18" s="571"/>
      <c r="DE18" s="571"/>
      <c r="DF18" s="571"/>
      <c r="DG18" s="571"/>
      <c r="DH18" s="571"/>
      <c r="DI18" s="571"/>
      <c r="DJ18" s="571"/>
      <c r="DK18" s="571"/>
      <c r="DL18" s="571"/>
      <c r="DM18" s="571"/>
      <c r="DN18" s="571"/>
      <c r="DO18" s="571"/>
      <c r="DP18" s="571"/>
      <c r="DQ18" s="571"/>
      <c r="DR18" s="571"/>
      <c r="DS18" s="571"/>
      <c r="DT18" s="571"/>
      <c r="DU18" s="571"/>
      <c r="DV18" s="571"/>
      <c r="DW18" s="571"/>
    </row>
    <row r="19" spans="1:127" s="719" customFormat="1" ht="23.25" customHeight="1">
      <c r="A19" s="514" t="s">
        <v>26</v>
      </c>
      <c r="B19" s="721"/>
      <c r="C19" s="571"/>
      <c r="D19" s="571"/>
      <c r="E19" s="571"/>
      <c r="F19" s="571"/>
      <c r="G19" s="571"/>
      <c r="H19" s="571"/>
      <c r="I19" s="571"/>
      <c r="J19" s="571"/>
      <c r="K19" s="571"/>
      <c r="L19" s="571"/>
      <c r="M19" s="571"/>
      <c r="N19" s="571"/>
      <c r="O19" s="571"/>
      <c r="P19" s="571"/>
      <c r="Q19" s="571"/>
      <c r="R19" s="571"/>
      <c r="S19" s="571"/>
      <c r="T19" s="571"/>
      <c r="U19" s="571"/>
      <c r="V19" s="571"/>
      <c r="W19" s="571"/>
      <c r="X19" s="571"/>
      <c r="Y19" s="571"/>
      <c r="Z19" s="571"/>
      <c r="AA19" s="571"/>
      <c r="AB19" s="571"/>
      <c r="AC19" s="571"/>
      <c r="AD19" s="571"/>
      <c r="AE19" s="571"/>
      <c r="AF19" s="571"/>
      <c r="AG19" s="571"/>
      <c r="AH19" s="571"/>
      <c r="AI19" s="571"/>
      <c r="AJ19" s="571"/>
      <c r="AK19" s="571"/>
      <c r="AL19" s="571"/>
      <c r="AM19" s="571"/>
      <c r="AN19" s="571"/>
      <c r="AO19" s="571"/>
      <c r="AP19" s="571"/>
      <c r="AQ19" s="571"/>
      <c r="AR19" s="571"/>
      <c r="AS19" s="571"/>
      <c r="AT19" s="571"/>
      <c r="AU19" s="571"/>
      <c r="AV19" s="571"/>
      <c r="AW19" s="571"/>
      <c r="AX19" s="571"/>
      <c r="AY19" s="571"/>
      <c r="AZ19" s="571"/>
      <c r="BA19" s="571"/>
      <c r="BB19" s="571"/>
      <c r="BC19" s="571"/>
      <c r="BD19" s="571"/>
      <c r="BE19" s="571"/>
      <c r="BF19" s="571"/>
      <c r="BG19" s="571"/>
      <c r="BH19" s="571"/>
      <c r="BI19" s="571"/>
      <c r="BJ19" s="571"/>
      <c r="BK19" s="571"/>
      <c r="BL19" s="571"/>
      <c r="BM19" s="571"/>
      <c r="BN19" s="571"/>
      <c r="BO19" s="571"/>
      <c r="BP19" s="571"/>
      <c r="BQ19" s="571"/>
      <c r="BR19" s="571"/>
      <c r="BS19" s="571"/>
      <c r="BT19" s="571"/>
      <c r="BU19" s="571"/>
      <c r="BV19" s="571"/>
      <c r="BW19" s="571"/>
      <c r="BX19" s="571"/>
      <c r="BY19" s="571"/>
      <c r="BZ19" s="571"/>
      <c r="CA19" s="571"/>
      <c r="CB19" s="571"/>
      <c r="CC19" s="571"/>
      <c r="CD19" s="571"/>
      <c r="CI19" s="571"/>
      <c r="CJ19" s="571"/>
      <c r="CK19" s="571"/>
      <c r="CL19" s="571"/>
      <c r="CM19" s="571"/>
      <c r="CN19" s="571"/>
      <c r="CO19" s="571"/>
      <c r="CP19" s="571"/>
      <c r="CQ19" s="571"/>
      <c r="CR19" s="571"/>
      <c r="CS19" s="571"/>
      <c r="CT19" s="571"/>
      <c r="CU19" s="571"/>
      <c r="CV19" s="571"/>
      <c r="CW19" s="571"/>
      <c r="CX19" s="571"/>
      <c r="CY19" s="571"/>
      <c r="CZ19" s="571"/>
      <c r="DA19" s="571"/>
      <c r="DB19" s="571"/>
      <c r="DC19" s="571"/>
      <c r="DD19" s="571"/>
      <c r="DE19" s="571"/>
      <c r="DF19" s="571"/>
      <c r="DG19" s="571"/>
      <c r="DH19" s="571"/>
      <c r="DI19" s="571"/>
      <c r="DJ19" s="571"/>
      <c r="DK19" s="571"/>
      <c r="DL19" s="571"/>
      <c r="DM19" s="571"/>
      <c r="DN19" s="571"/>
      <c r="DO19" s="571"/>
      <c r="DP19" s="571"/>
      <c r="DQ19" s="571"/>
      <c r="DR19" s="571"/>
      <c r="DS19" s="571"/>
      <c r="DT19" s="571"/>
      <c r="DU19" s="571"/>
      <c r="DV19" s="571"/>
      <c r="DW19" s="571"/>
    </row>
    <row r="20" spans="1:97" s="719" customFormat="1" ht="23.25" customHeight="1">
      <c r="A20" s="727" t="s">
        <v>51</v>
      </c>
      <c r="B20" s="728">
        <f>SUM(B10-B17)</f>
        <v>108587</v>
      </c>
      <c r="C20" s="571"/>
      <c r="D20" s="571"/>
      <c r="E20" s="571"/>
      <c r="F20" s="571"/>
      <c r="G20" s="571"/>
      <c r="H20" s="571"/>
      <c r="I20" s="571"/>
      <c r="J20" s="571"/>
      <c r="K20" s="571"/>
      <c r="L20" s="571"/>
      <c r="M20" s="571"/>
      <c r="N20" s="571"/>
      <c r="O20" s="571"/>
      <c r="P20" s="571"/>
      <c r="Q20" s="571"/>
      <c r="R20" s="571"/>
      <c r="S20" s="571"/>
      <c r="T20" s="571"/>
      <c r="U20" s="571"/>
      <c r="V20" s="571"/>
      <c r="W20" s="571"/>
      <c r="X20" s="571"/>
      <c r="Y20" s="571"/>
      <c r="Z20" s="571"/>
      <c r="AA20" s="571"/>
      <c r="AB20" s="571"/>
      <c r="AC20" s="571"/>
      <c r="AD20" s="571"/>
      <c r="AE20" s="571"/>
      <c r="AF20" s="571"/>
      <c r="AG20" s="571"/>
      <c r="AH20" s="571"/>
      <c r="AI20" s="571"/>
      <c r="AJ20" s="571"/>
      <c r="AK20" s="571"/>
      <c r="AL20" s="571"/>
      <c r="AM20" s="571"/>
      <c r="AN20" s="571"/>
      <c r="AO20" s="571"/>
      <c r="AP20" s="571"/>
      <c r="AQ20" s="571"/>
      <c r="AR20" s="571"/>
      <c r="AS20" s="571"/>
      <c r="AT20" s="571"/>
      <c r="AU20" s="571"/>
      <c r="AV20" s="571"/>
      <c r="AW20" s="571"/>
      <c r="AX20" s="571"/>
      <c r="AY20" s="571"/>
      <c r="AZ20" s="571"/>
      <c r="BA20" s="571"/>
      <c r="BB20" s="571"/>
      <c r="BC20" s="571"/>
      <c r="BD20" s="571"/>
      <c r="BE20" s="571"/>
      <c r="BF20" s="571"/>
      <c r="BG20" s="571"/>
      <c r="BH20" s="571"/>
      <c r="BI20" s="571"/>
      <c r="BJ20" s="571"/>
      <c r="BK20" s="571"/>
      <c r="BL20" s="571"/>
      <c r="BM20" s="571"/>
      <c r="BN20" s="571"/>
      <c r="BO20" s="571"/>
      <c r="BP20" s="571"/>
      <c r="BQ20" s="571"/>
      <c r="BR20" s="571"/>
      <c r="BS20" s="571"/>
      <c r="BT20" s="571"/>
      <c r="BU20" s="571"/>
      <c r="BV20" s="571"/>
      <c r="BW20" s="571"/>
      <c r="BX20" s="571"/>
      <c r="BY20" s="571"/>
      <c r="BZ20" s="571"/>
      <c r="CA20" s="571"/>
      <c r="CB20" s="571"/>
      <c r="CC20" s="571"/>
      <c r="CD20" s="571"/>
      <c r="CI20" s="571"/>
      <c r="CJ20" s="571"/>
      <c r="CK20" s="571"/>
      <c r="CL20" s="571"/>
      <c r="CM20" s="571"/>
      <c r="CN20" s="571"/>
      <c r="CO20" s="571"/>
      <c r="CP20" s="571"/>
      <c r="CQ20" s="571"/>
      <c r="CR20" s="571"/>
      <c r="CS20" s="571"/>
    </row>
    <row r="21" spans="1:97" s="672" customFormat="1" ht="12.75">
      <c r="A21" s="710"/>
      <c r="B21" s="710"/>
      <c r="C21" s="571"/>
      <c r="D21" s="571"/>
      <c r="E21" s="571"/>
      <c r="F21" s="571"/>
      <c r="G21" s="571"/>
      <c r="H21" s="571"/>
      <c r="I21" s="571"/>
      <c r="J21" s="571"/>
      <c r="K21" s="571"/>
      <c r="L21" s="571"/>
      <c r="M21" s="571"/>
      <c r="N21" s="571"/>
      <c r="O21" s="571"/>
      <c r="P21" s="571"/>
      <c r="Q21" s="571"/>
      <c r="R21" s="571"/>
      <c r="S21" s="571"/>
      <c r="T21" s="571"/>
      <c r="U21" s="571"/>
      <c r="V21" s="571"/>
      <c r="W21" s="571"/>
      <c r="X21" s="571"/>
      <c r="Y21" s="571"/>
      <c r="Z21" s="571"/>
      <c r="AA21" s="571"/>
      <c r="AB21" s="571"/>
      <c r="AC21" s="571"/>
      <c r="AD21" s="571"/>
      <c r="AE21" s="571"/>
      <c r="AF21" s="571"/>
      <c r="AG21" s="571"/>
      <c r="AH21" s="571"/>
      <c r="AI21" s="571"/>
      <c r="AJ21" s="571"/>
      <c r="AK21" s="571"/>
      <c r="AL21" s="571"/>
      <c r="AM21" s="571"/>
      <c r="AN21" s="571"/>
      <c r="AO21" s="571"/>
      <c r="AP21" s="571"/>
      <c r="AQ21" s="571"/>
      <c r="AR21" s="571"/>
      <c r="AS21" s="571"/>
      <c r="AT21" s="571"/>
      <c r="AU21" s="571"/>
      <c r="AV21" s="571"/>
      <c r="AW21" s="571"/>
      <c r="AX21" s="571"/>
      <c r="AY21" s="571"/>
      <c r="AZ21" s="571"/>
      <c r="BA21" s="571"/>
      <c r="BB21" s="571"/>
      <c r="BC21" s="571"/>
      <c r="BD21" s="571"/>
      <c r="BE21" s="571"/>
      <c r="BF21" s="571"/>
      <c r="BG21" s="571"/>
      <c r="BH21" s="571"/>
      <c r="BI21" s="571"/>
      <c r="BJ21" s="571"/>
      <c r="BK21" s="571"/>
      <c r="BL21" s="571"/>
      <c r="BM21" s="571"/>
      <c r="BN21" s="571"/>
      <c r="BO21" s="571"/>
      <c r="BP21" s="571"/>
      <c r="BQ21" s="571"/>
      <c r="BR21" s="571"/>
      <c r="BS21" s="571"/>
      <c r="BT21" s="571"/>
      <c r="BU21" s="571"/>
      <c r="BV21" s="571"/>
      <c r="BW21" s="571"/>
      <c r="BX21" s="571"/>
      <c r="BY21" s="571"/>
      <c r="BZ21" s="571"/>
      <c r="CA21" s="571"/>
      <c r="CB21" s="571"/>
      <c r="CC21" s="571"/>
      <c r="CD21" s="571"/>
      <c r="CI21" s="571"/>
      <c r="CJ21" s="571"/>
      <c r="CK21" s="571"/>
      <c r="CL21" s="571"/>
      <c r="CM21" s="571"/>
      <c r="CN21" s="571"/>
      <c r="CO21" s="571"/>
      <c r="CP21" s="571"/>
      <c r="CQ21" s="571"/>
      <c r="CR21" s="571"/>
      <c r="CS21" s="571"/>
    </row>
    <row r="22" spans="1:97" s="672" customFormat="1" ht="12.75">
      <c r="A22" s="710"/>
      <c r="B22" s="710"/>
      <c r="C22" s="571"/>
      <c r="D22" s="571"/>
      <c r="E22" s="571"/>
      <c r="F22" s="571"/>
      <c r="G22" s="571"/>
      <c r="H22" s="571"/>
      <c r="I22" s="571"/>
      <c r="J22" s="571"/>
      <c r="K22" s="571"/>
      <c r="L22" s="571"/>
      <c r="M22" s="571"/>
      <c r="N22" s="571"/>
      <c r="O22" s="571"/>
      <c r="P22" s="571"/>
      <c r="Q22" s="571"/>
      <c r="R22" s="571"/>
      <c r="S22" s="571"/>
      <c r="T22" s="571"/>
      <c r="U22" s="571"/>
      <c r="V22" s="571"/>
      <c r="W22" s="571"/>
      <c r="X22" s="571"/>
      <c r="Y22" s="571"/>
      <c r="Z22" s="571"/>
      <c r="AA22" s="571"/>
      <c r="AB22" s="571"/>
      <c r="AC22" s="571"/>
      <c r="AD22" s="571"/>
      <c r="AE22" s="571"/>
      <c r="AF22" s="571"/>
      <c r="AG22" s="571"/>
      <c r="AH22" s="571"/>
      <c r="AI22" s="571"/>
      <c r="AJ22" s="571"/>
      <c r="AK22" s="571"/>
      <c r="AL22" s="571"/>
      <c r="AM22" s="571"/>
      <c r="AN22" s="571"/>
      <c r="AO22" s="571"/>
      <c r="AP22" s="571"/>
      <c r="AQ22" s="571"/>
      <c r="AR22" s="571"/>
      <c r="AS22" s="571"/>
      <c r="AT22" s="571"/>
      <c r="AU22" s="571"/>
      <c r="AV22" s="571"/>
      <c r="AW22" s="571"/>
      <c r="AX22" s="571"/>
      <c r="AY22" s="571"/>
      <c r="AZ22" s="571"/>
      <c r="BA22" s="571"/>
      <c r="BB22" s="571"/>
      <c r="BC22" s="571"/>
      <c r="BD22" s="571"/>
      <c r="BE22" s="571"/>
      <c r="BF22" s="571"/>
      <c r="BG22" s="571"/>
      <c r="BH22" s="571"/>
      <c r="BI22" s="571"/>
      <c r="BJ22" s="571"/>
      <c r="BK22" s="571"/>
      <c r="BL22" s="571"/>
      <c r="BM22" s="571"/>
      <c r="BN22" s="571"/>
      <c r="BO22" s="571"/>
      <c r="BP22" s="571"/>
      <c r="BQ22" s="571"/>
      <c r="BR22" s="571"/>
      <c r="BS22" s="571"/>
      <c r="BT22" s="571"/>
      <c r="BU22" s="571"/>
      <c r="BV22" s="571"/>
      <c r="BW22" s="571"/>
      <c r="BX22" s="571"/>
      <c r="BY22" s="571"/>
      <c r="BZ22" s="571"/>
      <c r="CA22" s="571"/>
      <c r="CB22" s="571"/>
      <c r="CC22" s="571"/>
      <c r="CD22" s="571"/>
      <c r="CI22" s="571"/>
      <c r="CJ22" s="571"/>
      <c r="CK22" s="571"/>
      <c r="CL22" s="571"/>
      <c r="CM22" s="571"/>
      <c r="CN22" s="571"/>
      <c r="CO22" s="571"/>
      <c r="CP22" s="571"/>
      <c r="CQ22" s="571"/>
      <c r="CR22" s="571"/>
      <c r="CS22" s="571"/>
    </row>
    <row r="23" spans="1:82" s="672" customFormat="1" ht="12.75">
      <c r="A23" s="710"/>
      <c r="B23" s="710"/>
      <c r="C23" s="571"/>
      <c r="D23" s="571"/>
      <c r="E23" s="571"/>
      <c r="F23" s="571"/>
      <c r="G23" s="571"/>
      <c r="H23" s="571"/>
      <c r="I23" s="571"/>
      <c r="J23" s="571"/>
      <c r="K23" s="571"/>
      <c r="L23" s="571"/>
      <c r="M23" s="571"/>
      <c r="N23" s="571"/>
      <c r="O23" s="571"/>
      <c r="P23" s="571"/>
      <c r="Q23" s="571"/>
      <c r="R23" s="571"/>
      <c r="S23" s="571"/>
      <c r="T23" s="571"/>
      <c r="U23" s="571"/>
      <c r="V23" s="571"/>
      <c r="W23" s="571"/>
      <c r="X23" s="571"/>
      <c r="Y23" s="571"/>
      <c r="Z23" s="571"/>
      <c r="AA23" s="571"/>
      <c r="AB23" s="571"/>
      <c r="AC23" s="571"/>
      <c r="AD23" s="571"/>
      <c r="AE23" s="571"/>
      <c r="AF23" s="571"/>
      <c r="AG23" s="571"/>
      <c r="AH23" s="571"/>
      <c r="AI23" s="571"/>
      <c r="AJ23" s="571"/>
      <c r="AK23" s="571"/>
      <c r="AL23" s="571"/>
      <c r="AM23" s="571"/>
      <c r="AN23" s="571"/>
      <c r="AO23" s="571"/>
      <c r="AP23" s="571"/>
      <c r="AQ23" s="571"/>
      <c r="AR23" s="571"/>
      <c r="AS23" s="571"/>
      <c r="AT23" s="571"/>
      <c r="AU23" s="571"/>
      <c r="AV23" s="571"/>
      <c r="AW23" s="571"/>
      <c r="AX23" s="571"/>
      <c r="AY23" s="571"/>
      <c r="AZ23" s="571"/>
      <c r="BA23" s="571"/>
      <c r="BB23" s="571"/>
      <c r="BC23" s="571"/>
      <c r="BD23" s="571"/>
      <c r="BE23" s="571"/>
      <c r="BF23" s="571"/>
      <c r="BG23" s="571"/>
      <c r="BH23" s="571"/>
      <c r="BI23" s="571"/>
      <c r="BJ23" s="571"/>
      <c r="BK23" s="571"/>
      <c r="BL23" s="571"/>
      <c r="BM23" s="571"/>
      <c r="BN23" s="571"/>
      <c r="BO23" s="571"/>
      <c r="BP23" s="571"/>
      <c r="BQ23" s="571"/>
      <c r="BR23" s="571"/>
      <c r="BS23" s="571"/>
      <c r="BT23" s="571"/>
      <c r="BU23" s="571"/>
      <c r="BV23" s="571"/>
      <c r="BW23" s="571"/>
      <c r="BX23" s="571"/>
      <c r="BY23" s="571"/>
      <c r="BZ23" s="571"/>
      <c r="CA23" s="571"/>
      <c r="CB23" s="571"/>
      <c r="CC23" s="571"/>
      <c r="CD23" s="571"/>
    </row>
    <row r="24" spans="1:82" s="672" customFormat="1" ht="12.75">
      <c r="A24" s="710"/>
      <c r="B24" s="710"/>
      <c r="C24" s="571"/>
      <c r="D24" s="571"/>
      <c r="E24" s="571"/>
      <c r="F24" s="571"/>
      <c r="G24" s="571"/>
      <c r="H24" s="571"/>
      <c r="I24" s="571"/>
      <c r="J24" s="571"/>
      <c r="K24" s="571"/>
      <c r="L24" s="571"/>
      <c r="M24" s="571"/>
      <c r="N24" s="571"/>
      <c r="O24" s="571"/>
      <c r="P24" s="571"/>
      <c r="Q24" s="571"/>
      <c r="R24" s="571"/>
      <c r="S24" s="571"/>
      <c r="T24" s="571"/>
      <c r="U24" s="571"/>
      <c r="V24" s="571"/>
      <c r="W24" s="571"/>
      <c r="X24" s="571"/>
      <c r="Y24" s="571"/>
      <c r="Z24" s="571"/>
      <c r="AA24" s="571"/>
      <c r="AB24" s="571"/>
      <c r="AC24" s="571"/>
      <c r="AD24" s="571"/>
      <c r="AE24" s="571"/>
      <c r="AF24" s="571"/>
      <c r="AG24" s="571"/>
      <c r="AH24" s="571"/>
      <c r="AI24" s="571"/>
      <c r="AJ24" s="571"/>
      <c r="AK24" s="571"/>
      <c r="AL24" s="571"/>
      <c r="AM24" s="571"/>
      <c r="AN24" s="571"/>
      <c r="AO24" s="571"/>
      <c r="AP24" s="571"/>
      <c r="AQ24" s="571"/>
      <c r="AR24" s="571"/>
      <c r="AS24" s="571"/>
      <c r="AT24" s="571"/>
      <c r="AU24" s="571"/>
      <c r="AV24" s="571"/>
      <c r="AW24" s="571"/>
      <c r="AX24" s="571"/>
      <c r="AY24" s="571"/>
      <c r="AZ24" s="571"/>
      <c r="BA24" s="571"/>
      <c r="BB24" s="571"/>
      <c r="BC24" s="571"/>
      <c r="BD24" s="571"/>
      <c r="BE24" s="571"/>
      <c r="BF24" s="571"/>
      <c r="BG24" s="571"/>
      <c r="BH24" s="571"/>
      <c r="BI24" s="571"/>
      <c r="BJ24" s="571"/>
      <c r="BK24" s="571"/>
      <c r="BL24" s="571"/>
      <c r="BM24" s="571"/>
      <c r="BN24" s="571"/>
      <c r="BO24" s="571"/>
      <c r="BP24" s="571"/>
      <c r="BQ24" s="571"/>
      <c r="BR24" s="571"/>
      <c r="BS24" s="571"/>
      <c r="BT24" s="571"/>
      <c r="BU24" s="571"/>
      <c r="BV24" s="571"/>
      <c r="BW24" s="571"/>
      <c r="BX24" s="571"/>
      <c r="BY24" s="571"/>
      <c r="BZ24" s="571"/>
      <c r="CA24" s="571"/>
      <c r="CB24" s="571"/>
      <c r="CC24" s="571"/>
      <c r="CD24" s="571"/>
    </row>
    <row r="25" spans="1:82" s="710" customFormat="1" ht="12.75">
      <c r="A25" s="672" t="s">
        <v>27</v>
      </c>
      <c r="B25" s="526" t="s">
        <v>589</v>
      </c>
      <c r="C25" s="571"/>
      <c r="D25" s="571"/>
      <c r="E25" s="571"/>
      <c r="F25" s="571"/>
      <c r="G25" s="571"/>
      <c r="H25" s="571"/>
      <c r="I25" s="571"/>
      <c r="J25" s="571"/>
      <c r="K25" s="571"/>
      <c r="L25" s="571"/>
      <c r="M25" s="571"/>
      <c r="N25" s="571"/>
      <c r="O25" s="571"/>
      <c r="P25" s="571"/>
      <c r="Q25" s="571"/>
      <c r="R25" s="571"/>
      <c r="S25" s="571"/>
      <c r="T25" s="571"/>
      <c r="U25" s="571"/>
      <c r="V25" s="571"/>
      <c r="W25" s="571"/>
      <c r="X25" s="571"/>
      <c r="Y25" s="571"/>
      <c r="Z25" s="571"/>
      <c r="AA25" s="571"/>
      <c r="AB25" s="571"/>
      <c r="AC25" s="571"/>
      <c r="AD25" s="571"/>
      <c r="AE25" s="571"/>
      <c r="AF25" s="571"/>
      <c r="AG25" s="571"/>
      <c r="AH25" s="571"/>
      <c r="AI25" s="571"/>
      <c r="AJ25" s="571"/>
      <c r="AK25" s="571"/>
      <c r="AL25" s="571"/>
      <c r="AM25" s="571"/>
      <c r="AN25" s="571"/>
      <c r="AO25" s="571"/>
      <c r="AP25" s="571"/>
      <c r="AQ25" s="571"/>
      <c r="AR25" s="571"/>
      <c r="AS25" s="571"/>
      <c r="AT25" s="571"/>
      <c r="AU25" s="571"/>
      <c r="AV25" s="571"/>
      <c r="AW25" s="571"/>
      <c r="AX25" s="571"/>
      <c r="AY25" s="571"/>
      <c r="AZ25" s="571"/>
      <c r="BA25" s="571"/>
      <c r="BB25" s="571"/>
      <c r="BC25" s="571"/>
      <c r="BD25" s="571"/>
      <c r="BE25" s="571"/>
      <c r="BF25" s="571"/>
      <c r="BG25" s="571"/>
      <c r="BH25" s="571"/>
      <c r="BI25" s="571"/>
      <c r="BJ25" s="571"/>
      <c r="BK25" s="571"/>
      <c r="BL25" s="571"/>
      <c r="BM25" s="571"/>
      <c r="BN25" s="571"/>
      <c r="BO25" s="571"/>
      <c r="BP25" s="571"/>
      <c r="BQ25" s="571"/>
      <c r="BR25" s="571"/>
      <c r="BS25" s="571"/>
      <c r="BT25" s="571"/>
      <c r="BU25" s="571"/>
      <c r="BV25" s="571"/>
      <c r="BW25" s="571"/>
      <c r="BX25" s="571"/>
      <c r="BY25" s="571"/>
      <c r="BZ25" s="571"/>
      <c r="CA25" s="571"/>
      <c r="CB25" s="571"/>
      <c r="CC25" s="571"/>
      <c r="CD25" s="571"/>
    </row>
    <row r="26" spans="1:82" s="710" customFormat="1" ht="12.75">
      <c r="A26" s="571"/>
      <c r="C26" s="571"/>
      <c r="D26" s="571"/>
      <c r="E26" s="571"/>
      <c r="F26" s="571"/>
      <c r="G26" s="571"/>
      <c r="H26" s="571"/>
      <c r="I26" s="571"/>
      <c r="J26" s="571"/>
      <c r="K26" s="571"/>
      <c r="L26" s="571"/>
      <c r="M26" s="571"/>
      <c r="N26" s="571"/>
      <c r="O26" s="571"/>
      <c r="P26" s="571"/>
      <c r="Q26" s="571"/>
      <c r="R26" s="571"/>
      <c r="S26" s="571"/>
      <c r="T26" s="571"/>
      <c r="U26" s="571"/>
      <c r="V26" s="571"/>
      <c r="W26" s="571"/>
      <c r="X26" s="571"/>
      <c r="Y26" s="571"/>
      <c r="Z26" s="571"/>
      <c r="AA26" s="571"/>
      <c r="AB26" s="571"/>
      <c r="AC26" s="571"/>
      <c r="AD26" s="571"/>
      <c r="AE26" s="571"/>
      <c r="AF26" s="571"/>
      <c r="AG26" s="571"/>
      <c r="AH26" s="571"/>
      <c r="AI26" s="571"/>
      <c r="AJ26" s="571"/>
      <c r="AK26" s="571"/>
      <c r="AL26" s="571"/>
      <c r="AM26" s="571"/>
      <c r="AN26" s="571"/>
      <c r="AO26" s="571"/>
      <c r="AP26" s="571"/>
      <c r="AQ26" s="571"/>
      <c r="AR26" s="571"/>
      <c r="AS26" s="571"/>
      <c r="AT26" s="571"/>
      <c r="AU26" s="571"/>
      <c r="AV26" s="571"/>
      <c r="AW26" s="571"/>
      <c r="AX26" s="571"/>
      <c r="AY26" s="571"/>
      <c r="AZ26" s="571"/>
      <c r="BA26" s="571"/>
      <c r="BB26" s="571"/>
      <c r="BC26" s="571"/>
      <c r="BD26" s="571"/>
      <c r="BE26" s="571"/>
      <c r="BF26" s="571"/>
      <c r="BG26" s="571"/>
      <c r="BH26" s="571"/>
      <c r="BI26" s="571"/>
      <c r="BJ26" s="571"/>
      <c r="BK26" s="571"/>
      <c r="BL26" s="571"/>
      <c r="BM26" s="571"/>
      <c r="BN26" s="571"/>
      <c r="BO26" s="571"/>
      <c r="BP26" s="571"/>
      <c r="BQ26" s="571"/>
      <c r="BR26" s="571"/>
      <c r="BS26" s="571"/>
      <c r="BT26" s="571"/>
      <c r="BU26" s="571"/>
      <c r="BV26" s="571"/>
      <c r="BW26" s="571"/>
      <c r="BX26" s="571"/>
      <c r="BY26" s="571"/>
      <c r="BZ26" s="571"/>
      <c r="CA26" s="571"/>
      <c r="CB26" s="571"/>
      <c r="CC26" s="571"/>
      <c r="CD26" s="571"/>
    </row>
    <row r="27" s="571" customFormat="1" ht="12"/>
    <row r="28" spans="1:2" s="571" customFormat="1" ht="14.25">
      <c r="A28" s="729"/>
      <c r="B28" s="730"/>
    </row>
    <row r="29" spans="1:2" s="571" customFormat="1" ht="14.25">
      <c r="A29" s="729"/>
      <c r="B29" s="730"/>
    </row>
    <row r="30" spans="1:2" s="571" customFormat="1" ht="14.25">
      <c r="A30" s="729"/>
      <c r="B30" s="731"/>
    </row>
    <row r="31" s="571" customFormat="1" ht="14.25">
      <c r="A31" s="729"/>
    </row>
    <row r="32" s="571" customFormat="1" ht="14.25">
      <c r="A32" s="729"/>
    </row>
    <row r="33" s="571" customFormat="1" ht="14.25">
      <c r="A33" s="729"/>
    </row>
    <row r="34" s="571" customFormat="1" ht="14.25">
      <c r="A34" s="729"/>
    </row>
    <row r="35" s="571" customFormat="1" ht="14.25">
      <c r="A35" s="729"/>
    </row>
    <row r="36" s="571" customFormat="1" ht="14.25">
      <c r="A36" s="729"/>
    </row>
    <row r="37" s="571" customFormat="1" ht="14.25">
      <c r="A37" s="729"/>
    </row>
    <row r="38" s="571" customFormat="1" ht="14.25">
      <c r="A38" s="729"/>
    </row>
    <row r="39" s="571" customFormat="1" ht="14.25">
      <c r="A39" s="729"/>
    </row>
    <row r="40" spans="1:82" ht="14.25">
      <c r="A40" s="729"/>
      <c r="L40" s="571"/>
      <c r="M40" s="571"/>
      <c r="N40" s="571"/>
      <c r="O40" s="571"/>
      <c r="P40" s="571"/>
      <c r="Q40" s="571"/>
      <c r="R40" s="571"/>
      <c r="S40" s="571"/>
      <c r="T40" s="571"/>
      <c r="U40" s="571"/>
      <c r="V40" s="571"/>
      <c r="W40" s="571"/>
      <c r="X40" s="571"/>
      <c r="Y40" s="571"/>
      <c r="Z40" s="571"/>
      <c r="AA40" s="571"/>
      <c r="AB40" s="571"/>
      <c r="AC40" s="571"/>
      <c r="AD40" s="571"/>
      <c r="AE40" s="571"/>
      <c r="AF40" s="571"/>
      <c r="AG40" s="571"/>
      <c r="AH40" s="571"/>
      <c r="AI40" s="571"/>
      <c r="AJ40" s="571"/>
      <c r="AK40" s="571"/>
      <c r="AL40" s="571"/>
      <c r="AM40" s="571"/>
      <c r="AN40" s="571"/>
      <c r="AO40" s="571"/>
      <c r="AP40" s="571"/>
      <c r="AQ40" s="571"/>
      <c r="AR40" s="571"/>
      <c r="AS40" s="571"/>
      <c r="AT40" s="571"/>
      <c r="AU40" s="571"/>
      <c r="AV40" s="571"/>
      <c r="AW40" s="571"/>
      <c r="AX40" s="571"/>
      <c r="AY40" s="571"/>
      <c r="AZ40" s="571"/>
      <c r="BA40" s="571"/>
      <c r="BB40" s="571"/>
      <c r="BC40" s="571"/>
      <c r="BD40" s="571"/>
      <c r="BE40" s="571"/>
      <c r="BF40" s="571"/>
      <c r="BG40" s="571"/>
      <c r="BH40" s="571"/>
      <c r="BI40" s="571"/>
      <c r="BJ40" s="571"/>
      <c r="BK40" s="571"/>
      <c r="BL40" s="571"/>
      <c r="BM40" s="571"/>
      <c r="BN40" s="571"/>
      <c r="BO40" s="571"/>
      <c r="BP40" s="571"/>
      <c r="BQ40" s="571"/>
      <c r="BR40" s="571"/>
      <c r="BS40" s="571"/>
      <c r="BT40" s="571"/>
      <c r="BU40" s="571"/>
      <c r="BV40" s="571"/>
      <c r="BW40" s="571"/>
      <c r="BX40" s="571"/>
      <c r="BY40" s="571"/>
      <c r="BZ40" s="571"/>
      <c r="CA40" s="571"/>
      <c r="CB40" s="571"/>
      <c r="CC40" s="571"/>
      <c r="CD40" s="571"/>
    </row>
    <row r="41" spans="1:82" ht="14.25">
      <c r="A41" s="729"/>
      <c r="L41" s="571"/>
      <c r="M41" s="571"/>
      <c r="N41" s="571"/>
      <c r="O41" s="571"/>
      <c r="P41" s="571"/>
      <c r="Q41" s="571"/>
      <c r="R41" s="571"/>
      <c r="S41" s="571"/>
      <c r="T41" s="571"/>
      <c r="U41" s="571"/>
      <c r="V41" s="571"/>
      <c r="W41" s="571"/>
      <c r="X41" s="571"/>
      <c r="Y41" s="571"/>
      <c r="Z41" s="571"/>
      <c r="AA41" s="571"/>
      <c r="AB41" s="571"/>
      <c r="AC41" s="571"/>
      <c r="AD41" s="571"/>
      <c r="AE41" s="571"/>
      <c r="AF41" s="571"/>
      <c r="AG41" s="571"/>
      <c r="AH41" s="571"/>
      <c r="AI41" s="571"/>
      <c r="AJ41" s="571"/>
      <c r="AK41" s="571"/>
      <c r="AL41" s="571"/>
      <c r="AM41" s="571"/>
      <c r="AN41" s="571"/>
      <c r="AO41" s="571"/>
      <c r="AP41" s="571"/>
      <c r="AQ41" s="571"/>
      <c r="AR41" s="571"/>
      <c r="AS41" s="571"/>
      <c r="AT41" s="571"/>
      <c r="AU41" s="571"/>
      <c r="AV41" s="571"/>
      <c r="AW41" s="571"/>
      <c r="AX41" s="571"/>
      <c r="AY41" s="571"/>
      <c r="AZ41" s="571"/>
      <c r="BA41" s="571"/>
      <c r="BB41" s="571"/>
      <c r="BC41" s="571"/>
      <c r="BD41" s="571"/>
      <c r="BE41" s="571"/>
      <c r="BF41" s="571"/>
      <c r="BG41" s="571"/>
      <c r="BH41" s="571"/>
      <c r="BI41" s="571"/>
      <c r="BJ41" s="571"/>
      <c r="BK41" s="571"/>
      <c r="BL41" s="571"/>
      <c r="BM41" s="571"/>
      <c r="BN41" s="571"/>
      <c r="BO41" s="571"/>
      <c r="BP41" s="571"/>
      <c r="BQ41" s="571"/>
      <c r="BR41" s="571"/>
      <c r="BS41" s="571"/>
      <c r="BT41" s="571"/>
      <c r="BU41" s="571"/>
      <c r="BV41" s="571"/>
      <c r="BW41" s="571"/>
      <c r="BX41" s="571"/>
      <c r="BY41" s="571"/>
      <c r="BZ41" s="571"/>
      <c r="CA41" s="571"/>
      <c r="CB41" s="571"/>
      <c r="CC41" s="571"/>
      <c r="CD41" s="571"/>
    </row>
    <row r="42" spans="1:82" ht="14.25">
      <c r="A42" s="729"/>
      <c r="L42" s="571"/>
      <c r="M42" s="571"/>
      <c r="N42" s="571"/>
      <c r="O42" s="571"/>
      <c r="P42" s="571"/>
      <c r="Q42" s="571"/>
      <c r="R42" s="571"/>
      <c r="S42" s="571"/>
      <c r="T42" s="571"/>
      <c r="U42" s="571"/>
      <c r="V42" s="571"/>
      <c r="W42" s="571"/>
      <c r="X42" s="571"/>
      <c r="Y42" s="571"/>
      <c r="Z42" s="571"/>
      <c r="AA42" s="571"/>
      <c r="AB42" s="571"/>
      <c r="AC42" s="571"/>
      <c r="AD42" s="571"/>
      <c r="AE42" s="571"/>
      <c r="AF42" s="571"/>
      <c r="AG42" s="571"/>
      <c r="AH42" s="571"/>
      <c r="AI42" s="571"/>
      <c r="AJ42" s="571"/>
      <c r="AK42" s="571"/>
      <c r="AL42" s="571"/>
      <c r="AM42" s="571"/>
      <c r="AN42" s="571"/>
      <c r="AO42" s="571"/>
      <c r="AP42" s="571"/>
      <c r="AQ42" s="571"/>
      <c r="AR42" s="571"/>
      <c r="AS42" s="571"/>
      <c r="AT42" s="571"/>
      <c r="AU42" s="571"/>
      <c r="AV42" s="571"/>
      <c r="AW42" s="571"/>
      <c r="AX42" s="571"/>
      <c r="AY42" s="571"/>
      <c r="AZ42" s="571"/>
      <c r="BA42" s="571"/>
      <c r="BB42" s="571"/>
      <c r="BC42" s="571"/>
      <c r="BD42" s="571"/>
      <c r="BE42" s="571"/>
      <c r="BF42" s="571"/>
      <c r="BG42" s="571"/>
      <c r="BH42" s="571"/>
      <c r="BI42" s="571"/>
      <c r="BJ42" s="571"/>
      <c r="BK42" s="571"/>
      <c r="BL42" s="571"/>
      <c r="BM42" s="571"/>
      <c r="BN42" s="571"/>
      <c r="BO42" s="571"/>
      <c r="BP42" s="571"/>
      <c r="BQ42" s="571"/>
      <c r="BR42" s="571"/>
      <c r="BS42" s="571"/>
      <c r="BT42" s="571"/>
      <c r="BU42" s="571"/>
      <c r="BV42" s="571"/>
      <c r="BW42" s="571"/>
      <c r="BX42" s="571"/>
      <c r="BY42" s="571"/>
      <c r="BZ42" s="571"/>
      <c r="CA42" s="571"/>
      <c r="CB42" s="571"/>
      <c r="CC42" s="571"/>
      <c r="CD42" s="571"/>
    </row>
    <row r="43" spans="1:82" ht="14.25">
      <c r="A43" s="729"/>
      <c r="L43" s="571"/>
      <c r="M43" s="571"/>
      <c r="N43" s="571"/>
      <c r="O43" s="571"/>
      <c r="P43" s="571"/>
      <c r="Q43" s="571"/>
      <c r="R43" s="571"/>
      <c r="S43" s="571"/>
      <c r="T43" s="571"/>
      <c r="U43" s="571"/>
      <c r="V43" s="571"/>
      <c r="W43" s="571"/>
      <c r="X43" s="571"/>
      <c r="Y43" s="571"/>
      <c r="Z43" s="571"/>
      <c r="AA43" s="571"/>
      <c r="AB43" s="571"/>
      <c r="AC43" s="571"/>
      <c r="AD43" s="571"/>
      <c r="AE43" s="571"/>
      <c r="AF43" s="571"/>
      <c r="AG43" s="571"/>
      <c r="AH43" s="571"/>
      <c r="AI43" s="571"/>
      <c r="AJ43" s="571"/>
      <c r="AK43" s="571"/>
      <c r="AL43" s="571"/>
      <c r="AM43" s="571"/>
      <c r="AN43" s="571"/>
      <c r="AO43" s="571"/>
      <c r="AP43" s="571"/>
      <c r="AQ43" s="571"/>
      <c r="AR43" s="571"/>
      <c r="AS43" s="571"/>
      <c r="AT43" s="571"/>
      <c r="AU43" s="571"/>
      <c r="AV43" s="571"/>
      <c r="AW43" s="571"/>
      <c r="AX43" s="571"/>
      <c r="AY43" s="571"/>
      <c r="AZ43" s="571"/>
      <c r="BA43" s="571"/>
      <c r="BB43" s="571"/>
      <c r="BC43" s="571"/>
      <c r="BD43" s="571"/>
      <c r="BE43" s="571"/>
      <c r="BF43" s="571"/>
      <c r="BG43" s="571"/>
      <c r="BH43" s="571"/>
      <c r="BI43" s="571"/>
      <c r="BJ43" s="571"/>
      <c r="BK43" s="571"/>
      <c r="BL43" s="571"/>
      <c r="BM43" s="571"/>
      <c r="BN43" s="571"/>
      <c r="BO43" s="571"/>
      <c r="BP43" s="571"/>
      <c r="BQ43" s="571"/>
      <c r="BR43" s="571"/>
      <c r="BS43" s="571"/>
      <c r="BT43" s="571"/>
      <c r="BU43" s="571"/>
      <c r="BV43" s="571"/>
      <c r="BW43" s="571"/>
      <c r="BX43" s="571"/>
      <c r="BY43" s="571"/>
      <c r="BZ43" s="571"/>
      <c r="CA43" s="571"/>
      <c r="CB43" s="571"/>
      <c r="CC43" s="571"/>
      <c r="CD43" s="571"/>
    </row>
    <row r="44" spans="1:82" ht="14.25">
      <c r="A44" s="729"/>
      <c r="L44" s="571"/>
      <c r="M44" s="571"/>
      <c r="N44" s="571"/>
      <c r="O44" s="571"/>
      <c r="P44" s="571"/>
      <c r="Q44" s="571"/>
      <c r="R44" s="571"/>
      <c r="S44" s="571"/>
      <c r="T44" s="571"/>
      <c r="U44" s="571"/>
      <c r="V44" s="571"/>
      <c r="W44" s="571"/>
      <c r="X44" s="571"/>
      <c r="Y44" s="571"/>
      <c r="Z44" s="571"/>
      <c r="AA44" s="571"/>
      <c r="AB44" s="571"/>
      <c r="AC44" s="571"/>
      <c r="AD44" s="571"/>
      <c r="AE44" s="571"/>
      <c r="AF44" s="571"/>
      <c r="AG44" s="571"/>
      <c r="AH44" s="571"/>
      <c r="AI44" s="571"/>
      <c r="AJ44" s="571"/>
      <c r="AK44" s="571"/>
      <c r="AL44" s="571"/>
      <c r="AM44" s="571"/>
      <c r="AN44" s="571"/>
      <c r="AO44" s="571"/>
      <c r="AP44" s="571"/>
      <c r="AQ44" s="571"/>
      <c r="AR44" s="571"/>
      <c r="AS44" s="571"/>
      <c r="AT44" s="571"/>
      <c r="AU44" s="571"/>
      <c r="AV44" s="571"/>
      <c r="AW44" s="571"/>
      <c r="AX44" s="571"/>
      <c r="AY44" s="571"/>
      <c r="AZ44" s="571"/>
      <c r="BA44" s="571"/>
      <c r="BB44" s="571"/>
      <c r="BC44" s="571"/>
      <c r="BD44" s="571"/>
      <c r="BE44" s="571"/>
      <c r="BF44" s="571"/>
      <c r="BG44" s="571"/>
      <c r="BH44" s="571"/>
      <c r="BI44" s="571"/>
      <c r="BJ44" s="571"/>
      <c r="BK44" s="571"/>
      <c r="BL44" s="571"/>
      <c r="BM44" s="571"/>
      <c r="BN44" s="571"/>
      <c r="BO44" s="571"/>
      <c r="BP44" s="571"/>
      <c r="BQ44" s="571"/>
      <c r="BR44" s="571"/>
      <c r="BS44" s="571"/>
      <c r="BT44" s="571"/>
      <c r="BU44" s="571"/>
      <c r="BV44" s="571"/>
      <c r="BW44" s="571"/>
      <c r="BX44" s="571"/>
      <c r="BY44" s="571"/>
      <c r="BZ44" s="571"/>
      <c r="CA44" s="571"/>
      <c r="CB44" s="571"/>
      <c r="CC44" s="571"/>
      <c r="CD44" s="571"/>
    </row>
    <row r="45" spans="1:82" ht="14.25">
      <c r="A45" s="729"/>
      <c r="L45" s="571"/>
      <c r="M45" s="571"/>
      <c r="N45" s="571"/>
      <c r="O45" s="571"/>
      <c r="P45" s="571"/>
      <c r="Q45" s="571"/>
      <c r="R45" s="571"/>
      <c r="S45" s="571"/>
      <c r="T45" s="571"/>
      <c r="U45" s="571"/>
      <c r="V45" s="571"/>
      <c r="W45" s="571"/>
      <c r="X45" s="571"/>
      <c r="Y45" s="571"/>
      <c r="Z45" s="571"/>
      <c r="AA45" s="571"/>
      <c r="AB45" s="571"/>
      <c r="AC45" s="571"/>
      <c r="AD45" s="571"/>
      <c r="AE45" s="571"/>
      <c r="AF45" s="571"/>
      <c r="AG45" s="571"/>
      <c r="AH45" s="571"/>
      <c r="AI45" s="571"/>
      <c r="AJ45" s="571"/>
      <c r="AK45" s="571"/>
      <c r="AL45" s="571"/>
      <c r="AM45" s="571"/>
      <c r="AN45" s="571"/>
      <c r="AO45" s="571"/>
      <c r="AP45" s="571"/>
      <c r="AQ45" s="571"/>
      <c r="AR45" s="571"/>
      <c r="AS45" s="571"/>
      <c r="AT45" s="571"/>
      <c r="AU45" s="571"/>
      <c r="AV45" s="571"/>
      <c r="AW45" s="571"/>
      <c r="AX45" s="571"/>
      <c r="AY45" s="571"/>
      <c r="AZ45" s="571"/>
      <c r="BA45" s="571"/>
      <c r="BB45" s="571"/>
      <c r="BC45" s="571"/>
      <c r="BD45" s="571"/>
      <c r="BE45" s="571"/>
      <c r="BF45" s="571"/>
      <c r="BG45" s="571"/>
      <c r="BH45" s="571"/>
      <c r="BI45" s="571"/>
      <c r="BJ45" s="571"/>
      <c r="BK45" s="571"/>
      <c r="BL45" s="571"/>
      <c r="BM45" s="571"/>
      <c r="BN45" s="571"/>
      <c r="BO45" s="571"/>
      <c r="BP45" s="571"/>
      <c r="BQ45" s="571"/>
      <c r="BR45" s="571"/>
      <c r="BS45" s="571"/>
      <c r="BT45" s="571"/>
      <c r="BU45" s="571"/>
      <c r="BV45" s="571"/>
      <c r="BW45" s="571"/>
      <c r="BX45" s="571"/>
      <c r="BY45" s="571"/>
      <c r="BZ45" s="571"/>
      <c r="CA45" s="571"/>
      <c r="CB45" s="571"/>
      <c r="CC45" s="571"/>
      <c r="CD45" s="571"/>
    </row>
    <row r="46" spans="1:82" ht="14.25">
      <c r="A46" s="729"/>
      <c r="L46" s="571"/>
      <c r="M46" s="571"/>
      <c r="N46" s="571"/>
      <c r="O46" s="571"/>
      <c r="P46" s="571"/>
      <c r="Q46" s="571"/>
      <c r="R46" s="571"/>
      <c r="S46" s="571"/>
      <c r="T46" s="571"/>
      <c r="U46" s="571"/>
      <c r="V46" s="571"/>
      <c r="W46" s="571"/>
      <c r="X46" s="571"/>
      <c r="Y46" s="571"/>
      <c r="Z46" s="571"/>
      <c r="AA46" s="571"/>
      <c r="AB46" s="571"/>
      <c r="AC46" s="571"/>
      <c r="AD46" s="571"/>
      <c r="AE46" s="571"/>
      <c r="AF46" s="571"/>
      <c r="AG46" s="571"/>
      <c r="AH46" s="571"/>
      <c r="AI46" s="571"/>
      <c r="AJ46" s="571"/>
      <c r="AK46" s="571"/>
      <c r="AL46" s="571"/>
      <c r="AM46" s="571"/>
      <c r="AN46" s="571"/>
      <c r="AO46" s="571"/>
      <c r="AP46" s="571"/>
      <c r="AQ46" s="571"/>
      <c r="AR46" s="571"/>
      <c r="AS46" s="571"/>
      <c r="AT46" s="571"/>
      <c r="AU46" s="571"/>
      <c r="AV46" s="571"/>
      <c r="AW46" s="571"/>
      <c r="AX46" s="571"/>
      <c r="AY46" s="571"/>
      <c r="AZ46" s="571"/>
      <c r="BA46" s="571"/>
      <c r="BB46" s="571"/>
      <c r="BC46" s="571"/>
      <c r="BD46" s="571"/>
      <c r="BE46" s="571"/>
      <c r="BF46" s="571"/>
      <c r="BG46" s="571"/>
      <c r="BH46" s="571"/>
      <c r="BI46" s="571"/>
      <c r="BJ46" s="571"/>
      <c r="BK46" s="571"/>
      <c r="BL46" s="571"/>
      <c r="BM46" s="571"/>
      <c r="BN46" s="571"/>
      <c r="BO46" s="571"/>
      <c r="BP46" s="571"/>
      <c r="BQ46" s="571"/>
      <c r="BR46" s="571"/>
      <c r="BS46" s="571"/>
      <c r="BT46" s="571"/>
      <c r="BU46" s="571"/>
      <c r="BV46" s="571"/>
      <c r="BW46" s="571"/>
      <c r="BX46" s="571"/>
      <c r="BY46" s="571"/>
      <c r="BZ46" s="571"/>
      <c r="CA46" s="571"/>
      <c r="CB46" s="571"/>
      <c r="CC46" s="571"/>
      <c r="CD46" s="571"/>
    </row>
    <row r="47" spans="1:82" ht="14.25">
      <c r="A47" s="729"/>
      <c r="L47" s="571"/>
      <c r="M47" s="571"/>
      <c r="N47" s="571"/>
      <c r="O47" s="571"/>
      <c r="P47" s="571"/>
      <c r="Q47" s="571"/>
      <c r="R47" s="571"/>
      <c r="S47" s="571"/>
      <c r="T47" s="571"/>
      <c r="U47" s="571"/>
      <c r="V47" s="571"/>
      <c r="W47" s="571"/>
      <c r="X47" s="571"/>
      <c r="Y47" s="571"/>
      <c r="Z47" s="571"/>
      <c r="AA47" s="571"/>
      <c r="AB47" s="571"/>
      <c r="AC47" s="571"/>
      <c r="AD47" s="571"/>
      <c r="AE47" s="571"/>
      <c r="AF47" s="571"/>
      <c r="AG47" s="571"/>
      <c r="AH47" s="571"/>
      <c r="AI47" s="571"/>
      <c r="AJ47" s="571"/>
      <c r="AK47" s="571"/>
      <c r="AL47" s="571"/>
      <c r="AM47" s="571"/>
      <c r="AN47" s="571"/>
      <c r="AO47" s="571"/>
      <c r="AP47" s="571"/>
      <c r="AQ47" s="571"/>
      <c r="AR47" s="571"/>
      <c r="AS47" s="571"/>
      <c r="AT47" s="571"/>
      <c r="AU47" s="571"/>
      <c r="AV47" s="571"/>
      <c r="AW47" s="571"/>
      <c r="AX47" s="571"/>
      <c r="AY47" s="571"/>
      <c r="AZ47" s="571"/>
      <c r="BA47" s="571"/>
      <c r="BB47" s="571"/>
      <c r="BC47" s="571"/>
      <c r="BD47" s="571"/>
      <c r="BE47" s="571"/>
      <c r="BF47" s="571"/>
      <c r="BG47" s="571"/>
      <c r="BH47" s="571"/>
      <c r="BI47" s="571"/>
      <c r="BJ47" s="571"/>
      <c r="BK47" s="571"/>
      <c r="BL47" s="571"/>
      <c r="BM47" s="571"/>
      <c r="BN47" s="571"/>
      <c r="BO47" s="571"/>
      <c r="BP47" s="571"/>
      <c r="BQ47" s="571"/>
      <c r="BR47" s="571"/>
      <c r="BS47" s="571"/>
      <c r="BT47" s="571"/>
      <c r="BU47" s="571"/>
      <c r="BV47" s="571"/>
      <c r="BW47" s="571"/>
      <c r="BX47" s="571"/>
      <c r="BY47" s="571"/>
      <c r="BZ47" s="571"/>
      <c r="CA47" s="571"/>
      <c r="CB47" s="571"/>
      <c r="CC47" s="571"/>
      <c r="CD47" s="571"/>
    </row>
    <row r="48" spans="1:82" ht="14.25">
      <c r="A48" s="729"/>
      <c r="L48" s="571"/>
      <c r="M48" s="571"/>
      <c r="N48" s="571"/>
      <c r="O48" s="571"/>
      <c r="P48" s="571"/>
      <c r="Q48" s="571"/>
      <c r="R48" s="571"/>
      <c r="S48" s="571"/>
      <c r="T48" s="571"/>
      <c r="U48" s="571"/>
      <c r="V48" s="571"/>
      <c r="W48" s="571"/>
      <c r="X48" s="571"/>
      <c r="Y48" s="571"/>
      <c r="Z48" s="571"/>
      <c r="AA48" s="571"/>
      <c r="AB48" s="571"/>
      <c r="AC48" s="571"/>
      <c r="AD48" s="571"/>
      <c r="AE48" s="571"/>
      <c r="AF48" s="571"/>
      <c r="AG48" s="571"/>
      <c r="AH48" s="571"/>
      <c r="AI48" s="571"/>
      <c r="AJ48" s="571"/>
      <c r="AK48" s="571"/>
      <c r="AL48" s="571"/>
      <c r="AM48" s="571"/>
      <c r="AN48" s="571"/>
      <c r="AO48" s="571"/>
      <c r="AP48" s="571"/>
      <c r="AQ48" s="571"/>
      <c r="AR48" s="571"/>
      <c r="AS48" s="571"/>
      <c r="AT48" s="571"/>
      <c r="AU48" s="571"/>
      <c r="AV48" s="571"/>
      <c r="AW48" s="571"/>
      <c r="AX48" s="571"/>
      <c r="AY48" s="571"/>
      <c r="AZ48" s="571"/>
      <c r="BA48" s="571"/>
      <c r="BB48" s="571"/>
      <c r="BC48" s="571"/>
      <c r="BD48" s="571"/>
      <c r="BE48" s="571"/>
      <c r="BF48" s="571"/>
      <c r="BG48" s="571"/>
      <c r="BH48" s="571"/>
      <c r="BI48" s="571"/>
      <c r="BJ48" s="571"/>
      <c r="BK48" s="571"/>
      <c r="BL48" s="571"/>
      <c r="BM48" s="571"/>
      <c r="BN48" s="571"/>
      <c r="BO48" s="571"/>
      <c r="BP48" s="571"/>
      <c r="BQ48" s="571"/>
      <c r="BR48" s="571"/>
      <c r="BS48" s="571"/>
      <c r="BT48" s="571"/>
      <c r="BU48" s="571"/>
      <c r="BV48" s="571"/>
      <c r="BW48" s="571"/>
      <c r="BX48" s="571"/>
      <c r="BY48" s="571"/>
      <c r="BZ48" s="571"/>
      <c r="CA48" s="571"/>
      <c r="CB48" s="571"/>
      <c r="CC48" s="571"/>
      <c r="CD48" s="571"/>
    </row>
    <row r="49" spans="1:82" ht="14.25">
      <c r="A49" s="729"/>
      <c r="L49" s="571"/>
      <c r="M49" s="571"/>
      <c r="N49" s="571"/>
      <c r="O49" s="571"/>
      <c r="P49" s="571"/>
      <c r="Q49" s="571"/>
      <c r="R49" s="571"/>
      <c r="S49" s="571"/>
      <c r="T49" s="571"/>
      <c r="U49" s="571"/>
      <c r="V49" s="571"/>
      <c r="W49" s="571"/>
      <c r="X49" s="571"/>
      <c r="Y49" s="571"/>
      <c r="Z49" s="571"/>
      <c r="AA49" s="571"/>
      <c r="AB49" s="571"/>
      <c r="AC49" s="571"/>
      <c r="AD49" s="571"/>
      <c r="AE49" s="571"/>
      <c r="AF49" s="571"/>
      <c r="AG49" s="571"/>
      <c r="AH49" s="571"/>
      <c r="AI49" s="571"/>
      <c r="AJ49" s="571"/>
      <c r="AK49" s="571"/>
      <c r="AL49" s="571"/>
      <c r="AM49" s="571"/>
      <c r="AN49" s="571"/>
      <c r="AO49" s="571"/>
      <c r="AP49" s="571"/>
      <c r="AQ49" s="571"/>
      <c r="AR49" s="571"/>
      <c r="AS49" s="571"/>
      <c r="AT49" s="571"/>
      <c r="AU49" s="571"/>
      <c r="AV49" s="571"/>
      <c r="AW49" s="571"/>
      <c r="AX49" s="571"/>
      <c r="AY49" s="571"/>
      <c r="AZ49" s="571"/>
      <c r="BA49" s="571"/>
      <c r="BB49" s="571"/>
      <c r="BC49" s="571"/>
      <c r="BD49" s="571"/>
      <c r="BE49" s="571"/>
      <c r="BF49" s="571"/>
      <c r="BG49" s="571"/>
      <c r="BH49" s="571"/>
      <c r="BI49" s="571"/>
      <c r="BJ49" s="571"/>
      <c r="BK49" s="571"/>
      <c r="BL49" s="571"/>
      <c r="BM49" s="571"/>
      <c r="BN49" s="571"/>
      <c r="BO49" s="571"/>
      <c r="BP49" s="571"/>
      <c r="BQ49" s="571"/>
      <c r="BR49" s="571"/>
      <c r="BS49" s="571"/>
      <c r="BT49" s="571"/>
      <c r="BU49" s="571"/>
      <c r="BV49" s="571"/>
      <c r="BW49" s="571"/>
      <c r="BX49" s="571"/>
      <c r="BY49" s="571"/>
      <c r="BZ49" s="571"/>
      <c r="CA49" s="571"/>
      <c r="CB49" s="571"/>
      <c r="CC49" s="571"/>
      <c r="CD49" s="571"/>
    </row>
    <row r="50" spans="1:82" ht="14.25">
      <c r="A50" s="729"/>
      <c r="L50" s="571"/>
      <c r="M50" s="571"/>
      <c r="N50" s="571"/>
      <c r="O50" s="571"/>
      <c r="P50" s="571"/>
      <c r="Q50" s="571"/>
      <c r="R50" s="571"/>
      <c r="S50" s="571"/>
      <c r="T50" s="571"/>
      <c r="U50" s="571"/>
      <c r="V50" s="571"/>
      <c r="W50" s="571"/>
      <c r="X50" s="571"/>
      <c r="Y50" s="571"/>
      <c r="Z50" s="571"/>
      <c r="AA50" s="571"/>
      <c r="AB50" s="571"/>
      <c r="AC50" s="571"/>
      <c r="AD50" s="571"/>
      <c r="AE50" s="571"/>
      <c r="AF50" s="571"/>
      <c r="AG50" s="571"/>
      <c r="AH50" s="571"/>
      <c r="AI50" s="571"/>
      <c r="AJ50" s="571"/>
      <c r="AK50" s="571"/>
      <c r="AL50" s="571"/>
      <c r="AM50" s="571"/>
      <c r="AN50" s="571"/>
      <c r="AO50" s="571"/>
      <c r="AP50" s="571"/>
      <c r="AQ50" s="571"/>
      <c r="AR50" s="571"/>
      <c r="AS50" s="571"/>
      <c r="AT50" s="571"/>
      <c r="AU50" s="571"/>
      <c r="AV50" s="571"/>
      <c r="AW50" s="571"/>
      <c r="AX50" s="571"/>
      <c r="AY50" s="571"/>
      <c r="AZ50" s="571"/>
      <c r="BA50" s="571"/>
      <c r="BB50" s="571"/>
      <c r="BC50" s="571"/>
      <c r="BD50" s="571"/>
      <c r="BE50" s="571"/>
      <c r="BF50" s="571"/>
      <c r="BG50" s="571"/>
      <c r="BH50" s="571"/>
      <c r="BI50" s="571"/>
      <c r="BJ50" s="571"/>
      <c r="BK50" s="571"/>
      <c r="BL50" s="571"/>
      <c r="BM50" s="571"/>
      <c r="BN50" s="571"/>
      <c r="BO50" s="571"/>
      <c r="BP50" s="571"/>
      <c r="BQ50" s="571"/>
      <c r="BR50" s="571"/>
      <c r="BS50" s="571"/>
      <c r="BT50" s="571"/>
      <c r="BU50" s="571"/>
      <c r="BV50" s="571"/>
      <c r="BW50" s="571"/>
      <c r="BX50" s="571"/>
      <c r="BY50" s="571"/>
      <c r="BZ50" s="571"/>
      <c r="CA50" s="571"/>
      <c r="CB50" s="571"/>
      <c r="CC50" s="571"/>
      <c r="CD50" s="571"/>
    </row>
    <row r="51" spans="1:82" ht="14.25">
      <c r="A51" s="729"/>
      <c r="L51" s="571"/>
      <c r="M51" s="571"/>
      <c r="N51" s="571"/>
      <c r="O51" s="571"/>
      <c r="P51" s="571"/>
      <c r="Q51" s="571"/>
      <c r="R51" s="571"/>
      <c r="S51" s="571"/>
      <c r="T51" s="571"/>
      <c r="U51" s="571"/>
      <c r="V51" s="571"/>
      <c r="W51" s="571"/>
      <c r="X51" s="571"/>
      <c r="Y51" s="571"/>
      <c r="Z51" s="571"/>
      <c r="AA51" s="571"/>
      <c r="AB51" s="571"/>
      <c r="AC51" s="571"/>
      <c r="AD51" s="571"/>
      <c r="AE51" s="571"/>
      <c r="AF51" s="571"/>
      <c r="AG51" s="571"/>
      <c r="AH51" s="571"/>
      <c r="AI51" s="571"/>
      <c r="AJ51" s="571"/>
      <c r="AK51" s="571"/>
      <c r="AL51" s="571"/>
      <c r="AM51" s="571"/>
      <c r="AN51" s="571"/>
      <c r="AO51" s="571"/>
      <c r="AP51" s="571"/>
      <c r="AQ51" s="571"/>
      <c r="AR51" s="571"/>
      <c r="AS51" s="571"/>
      <c r="AT51" s="571"/>
      <c r="AU51" s="571"/>
      <c r="AV51" s="571"/>
      <c r="AW51" s="571"/>
      <c r="AX51" s="571"/>
      <c r="AY51" s="571"/>
      <c r="AZ51" s="571"/>
      <c r="BA51" s="571"/>
      <c r="BB51" s="571"/>
      <c r="BC51" s="571"/>
      <c r="BD51" s="571"/>
      <c r="BE51" s="571"/>
      <c r="BF51" s="571"/>
      <c r="BG51" s="571"/>
      <c r="BH51" s="571"/>
      <c r="BI51" s="571"/>
      <c r="BJ51" s="571"/>
      <c r="BK51" s="571"/>
      <c r="BL51" s="571"/>
      <c r="BM51" s="571"/>
      <c r="BN51" s="571"/>
      <c r="BO51" s="571"/>
      <c r="BP51" s="571"/>
      <c r="BQ51" s="571"/>
      <c r="BR51" s="571"/>
      <c r="BS51" s="571"/>
      <c r="BT51" s="571"/>
      <c r="BU51" s="571"/>
      <c r="BV51" s="571"/>
      <c r="BW51" s="571"/>
      <c r="BX51" s="571"/>
      <c r="BY51" s="571"/>
      <c r="BZ51" s="571"/>
      <c r="CA51" s="571"/>
      <c r="CB51" s="571"/>
      <c r="CC51" s="571"/>
      <c r="CD51" s="571"/>
    </row>
    <row r="52" spans="1:82" ht="14.25">
      <c r="A52" s="729"/>
      <c r="L52" s="571"/>
      <c r="M52" s="571"/>
      <c r="N52" s="571"/>
      <c r="O52" s="571"/>
      <c r="P52" s="571"/>
      <c r="Q52" s="571"/>
      <c r="R52" s="571"/>
      <c r="S52" s="571"/>
      <c r="T52" s="571"/>
      <c r="U52" s="571"/>
      <c r="V52" s="571"/>
      <c r="W52" s="571"/>
      <c r="X52" s="571"/>
      <c r="Y52" s="571"/>
      <c r="Z52" s="571"/>
      <c r="AA52" s="571"/>
      <c r="AB52" s="571"/>
      <c r="AC52" s="571"/>
      <c r="AD52" s="571"/>
      <c r="AE52" s="571"/>
      <c r="AF52" s="571"/>
      <c r="AG52" s="571"/>
      <c r="AH52" s="571"/>
      <c r="AI52" s="571"/>
      <c r="AJ52" s="571"/>
      <c r="AK52" s="571"/>
      <c r="AL52" s="571"/>
      <c r="AM52" s="571"/>
      <c r="AN52" s="571"/>
      <c r="AO52" s="571"/>
      <c r="AP52" s="571"/>
      <c r="AQ52" s="571"/>
      <c r="AR52" s="571"/>
      <c r="AS52" s="571"/>
      <c r="AT52" s="571"/>
      <c r="AU52" s="571"/>
      <c r="AV52" s="571"/>
      <c r="AW52" s="571"/>
      <c r="AX52" s="571"/>
      <c r="AY52" s="571"/>
      <c r="AZ52" s="571"/>
      <c r="BA52" s="571"/>
      <c r="BB52" s="571"/>
      <c r="BC52" s="571"/>
      <c r="BD52" s="571"/>
      <c r="BE52" s="571"/>
      <c r="BF52" s="571"/>
      <c r="BG52" s="571"/>
      <c r="BH52" s="571"/>
      <c r="BI52" s="571"/>
      <c r="BJ52" s="571"/>
      <c r="BK52" s="571"/>
      <c r="BL52" s="571"/>
      <c r="BM52" s="571"/>
      <c r="BN52" s="571"/>
      <c r="BO52" s="571"/>
      <c r="BP52" s="571"/>
      <c r="BQ52" s="571"/>
      <c r="BR52" s="571"/>
      <c r="BS52" s="571"/>
      <c r="BT52" s="571"/>
      <c r="BU52" s="571"/>
      <c r="BV52" s="571"/>
      <c r="BW52" s="571"/>
      <c r="BX52" s="571"/>
      <c r="BY52" s="571"/>
      <c r="BZ52" s="571"/>
      <c r="CA52" s="571"/>
      <c r="CB52" s="571"/>
      <c r="CC52" s="571"/>
      <c r="CD52" s="571"/>
    </row>
    <row r="53" spans="1:82" ht="14.25">
      <c r="A53" s="729"/>
      <c r="L53" s="571"/>
      <c r="M53" s="571"/>
      <c r="N53" s="571"/>
      <c r="O53" s="571"/>
      <c r="P53" s="571"/>
      <c r="Q53" s="571"/>
      <c r="R53" s="571"/>
      <c r="S53" s="571"/>
      <c r="T53" s="571"/>
      <c r="U53" s="571"/>
      <c r="V53" s="571"/>
      <c r="W53" s="571"/>
      <c r="X53" s="571"/>
      <c r="Y53" s="571"/>
      <c r="Z53" s="571"/>
      <c r="AA53" s="571"/>
      <c r="AB53" s="571"/>
      <c r="AC53" s="571"/>
      <c r="AD53" s="571"/>
      <c r="AE53" s="571"/>
      <c r="AF53" s="571"/>
      <c r="AG53" s="571"/>
      <c r="AH53" s="571"/>
      <c r="AI53" s="571"/>
      <c r="AJ53" s="571"/>
      <c r="AK53" s="571"/>
      <c r="AL53" s="571"/>
      <c r="AM53" s="571"/>
      <c r="AN53" s="571"/>
      <c r="AO53" s="571"/>
      <c r="AP53" s="571"/>
      <c r="AQ53" s="571"/>
      <c r="AR53" s="571"/>
      <c r="AS53" s="571"/>
      <c r="AT53" s="571"/>
      <c r="AU53" s="571"/>
      <c r="AV53" s="571"/>
      <c r="AW53" s="571"/>
      <c r="AX53" s="571"/>
      <c r="AY53" s="571"/>
      <c r="AZ53" s="571"/>
      <c r="BA53" s="571"/>
      <c r="BB53" s="571"/>
      <c r="BC53" s="571"/>
      <c r="BD53" s="571"/>
      <c r="BE53" s="571"/>
      <c r="BF53" s="571"/>
      <c r="BG53" s="571"/>
      <c r="BH53" s="571"/>
      <c r="BI53" s="571"/>
      <c r="BJ53" s="571"/>
      <c r="BK53" s="571"/>
      <c r="BL53" s="571"/>
      <c r="BM53" s="571"/>
      <c r="BN53" s="571"/>
      <c r="BO53" s="571"/>
      <c r="BP53" s="571"/>
      <c r="BQ53" s="571"/>
      <c r="BR53" s="571"/>
      <c r="BS53" s="571"/>
      <c r="BT53" s="571"/>
      <c r="BU53" s="571"/>
      <c r="BV53" s="571"/>
      <c r="BW53" s="571"/>
      <c r="BX53" s="571"/>
      <c r="BY53" s="571"/>
      <c r="BZ53" s="571"/>
      <c r="CA53" s="571"/>
      <c r="CB53" s="571"/>
      <c r="CC53" s="571"/>
      <c r="CD53" s="571"/>
    </row>
    <row r="54" spans="1:82" ht="14.25">
      <c r="A54" s="729"/>
      <c r="L54" s="571"/>
      <c r="M54" s="571"/>
      <c r="N54" s="571"/>
      <c r="O54" s="571"/>
      <c r="P54" s="571"/>
      <c r="Q54" s="571"/>
      <c r="R54" s="571"/>
      <c r="S54" s="571"/>
      <c r="T54" s="571"/>
      <c r="U54" s="571"/>
      <c r="V54" s="571"/>
      <c r="W54" s="571"/>
      <c r="X54" s="571"/>
      <c r="Y54" s="571"/>
      <c r="Z54" s="571"/>
      <c r="AA54" s="571"/>
      <c r="AB54" s="571"/>
      <c r="AC54" s="571"/>
      <c r="AD54" s="571"/>
      <c r="AE54" s="571"/>
      <c r="AF54" s="571"/>
      <c r="AG54" s="571"/>
      <c r="AH54" s="571"/>
      <c r="AI54" s="571"/>
      <c r="AJ54" s="571"/>
      <c r="AK54" s="571"/>
      <c r="AL54" s="571"/>
      <c r="AM54" s="571"/>
      <c r="AN54" s="571"/>
      <c r="AO54" s="571"/>
      <c r="AP54" s="571"/>
      <c r="AQ54" s="571"/>
      <c r="AR54" s="571"/>
      <c r="AS54" s="571"/>
      <c r="AT54" s="571"/>
      <c r="AU54" s="571"/>
      <c r="AV54" s="571"/>
      <c r="AW54" s="571"/>
      <c r="AX54" s="571"/>
      <c r="AY54" s="571"/>
      <c r="AZ54" s="571"/>
      <c r="BA54" s="571"/>
      <c r="BB54" s="571"/>
      <c r="BC54" s="571"/>
      <c r="BD54" s="571"/>
      <c r="BE54" s="571"/>
      <c r="BF54" s="571"/>
      <c r="BG54" s="571"/>
      <c r="BH54" s="571"/>
      <c r="BI54" s="571"/>
      <c r="BJ54" s="571"/>
      <c r="BK54" s="571"/>
      <c r="BL54" s="571"/>
      <c r="BM54" s="571"/>
      <c r="BN54" s="571"/>
      <c r="BO54" s="571"/>
      <c r="BP54" s="571"/>
      <c r="BQ54" s="571"/>
      <c r="BR54" s="571"/>
      <c r="BS54" s="571"/>
      <c r="BT54" s="571"/>
      <c r="BU54" s="571"/>
      <c r="BV54" s="571"/>
      <c r="BW54" s="571"/>
      <c r="BX54" s="571"/>
      <c r="BY54" s="571"/>
      <c r="BZ54" s="571"/>
      <c r="CA54" s="571"/>
      <c r="CB54" s="571"/>
      <c r="CC54" s="571"/>
      <c r="CD54" s="571"/>
    </row>
    <row r="55" spans="1:82" ht="14.25">
      <c r="A55" s="729"/>
      <c r="L55" s="571"/>
      <c r="M55" s="571"/>
      <c r="N55" s="571"/>
      <c r="O55" s="571"/>
      <c r="P55" s="571"/>
      <c r="Q55" s="571"/>
      <c r="R55" s="571"/>
      <c r="S55" s="571"/>
      <c r="T55" s="571"/>
      <c r="U55" s="571"/>
      <c r="V55" s="571"/>
      <c r="W55" s="571"/>
      <c r="X55" s="571"/>
      <c r="Y55" s="571"/>
      <c r="Z55" s="571"/>
      <c r="AA55" s="571"/>
      <c r="AB55" s="571"/>
      <c r="AC55" s="571"/>
      <c r="AD55" s="571"/>
      <c r="AE55" s="571"/>
      <c r="AF55" s="571"/>
      <c r="AG55" s="571"/>
      <c r="AH55" s="571"/>
      <c r="AI55" s="571"/>
      <c r="AJ55" s="571"/>
      <c r="AK55" s="571"/>
      <c r="AL55" s="571"/>
      <c r="AM55" s="571"/>
      <c r="AN55" s="571"/>
      <c r="AO55" s="571"/>
      <c r="AP55" s="571"/>
      <c r="AQ55" s="571"/>
      <c r="AR55" s="571"/>
      <c r="AS55" s="571"/>
      <c r="AT55" s="571"/>
      <c r="AU55" s="571"/>
      <c r="AV55" s="571"/>
      <c r="AW55" s="571"/>
      <c r="AX55" s="571"/>
      <c r="AY55" s="571"/>
      <c r="AZ55" s="571"/>
      <c r="BA55" s="571"/>
      <c r="BB55" s="571"/>
      <c r="BC55" s="571"/>
      <c r="BD55" s="571"/>
      <c r="BE55" s="571"/>
      <c r="BF55" s="571"/>
      <c r="BG55" s="571"/>
      <c r="BH55" s="571"/>
      <c r="BI55" s="571"/>
      <c r="BJ55" s="571"/>
      <c r="BK55" s="571"/>
      <c r="BL55" s="571"/>
      <c r="BM55" s="571"/>
      <c r="BN55" s="571"/>
      <c r="BO55" s="571"/>
      <c r="BP55" s="571"/>
      <c r="BQ55" s="571"/>
      <c r="BR55" s="571"/>
      <c r="BS55" s="571"/>
      <c r="BT55" s="571"/>
      <c r="BU55" s="571"/>
      <c r="BV55" s="571"/>
      <c r="BW55" s="571"/>
      <c r="BX55" s="571"/>
      <c r="BY55" s="571"/>
      <c r="BZ55" s="571"/>
      <c r="CA55" s="571"/>
      <c r="CB55" s="571"/>
      <c r="CC55" s="571"/>
      <c r="CD55" s="571"/>
    </row>
    <row r="56" spans="1:82" ht="14.25">
      <c r="A56" s="729"/>
      <c r="L56" s="571"/>
      <c r="M56" s="571"/>
      <c r="N56" s="571"/>
      <c r="O56" s="571"/>
      <c r="P56" s="571"/>
      <c r="Q56" s="571"/>
      <c r="R56" s="571"/>
      <c r="S56" s="571"/>
      <c r="T56" s="571"/>
      <c r="U56" s="571"/>
      <c r="V56" s="571"/>
      <c r="W56" s="571"/>
      <c r="X56" s="571"/>
      <c r="Y56" s="571"/>
      <c r="Z56" s="571"/>
      <c r="AA56" s="571"/>
      <c r="AB56" s="571"/>
      <c r="AC56" s="571"/>
      <c r="AD56" s="571"/>
      <c r="AE56" s="571"/>
      <c r="AF56" s="571"/>
      <c r="AG56" s="571"/>
      <c r="AH56" s="571"/>
      <c r="AI56" s="571"/>
      <c r="AJ56" s="571"/>
      <c r="AK56" s="571"/>
      <c r="AL56" s="571"/>
      <c r="AM56" s="571"/>
      <c r="AN56" s="571"/>
      <c r="AO56" s="571"/>
      <c r="AP56" s="571"/>
      <c r="AQ56" s="571"/>
      <c r="AR56" s="571"/>
      <c r="AS56" s="571"/>
      <c r="AT56" s="571"/>
      <c r="AU56" s="571"/>
      <c r="AV56" s="571"/>
      <c r="AW56" s="571"/>
      <c r="AX56" s="571"/>
      <c r="AY56" s="571"/>
      <c r="AZ56" s="571"/>
      <c r="BA56" s="571"/>
      <c r="BB56" s="571"/>
      <c r="BC56" s="571"/>
      <c r="BD56" s="571"/>
      <c r="BE56" s="571"/>
      <c r="BF56" s="571"/>
      <c r="BG56" s="571"/>
      <c r="BH56" s="571"/>
      <c r="BI56" s="571"/>
      <c r="BJ56" s="571"/>
      <c r="BK56" s="571"/>
      <c r="BL56" s="571"/>
      <c r="BM56" s="571"/>
      <c r="BN56" s="571"/>
      <c r="BO56" s="571"/>
      <c r="BP56" s="571"/>
      <c r="BQ56" s="571"/>
      <c r="BR56" s="571"/>
      <c r="BS56" s="571"/>
      <c r="BT56" s="571"/>
      <c r="BU56" s="571"/>
      <c r="BV56" s="571"/>
      <c r="BW56" s="571"/>
      <c r="BX56" s="571"/>
      <c r="BY56" s="571"/>
      <c r="BZ56" s="571"/>
      <c r="CA56" s="571"/>
      <c r="CB56" s="571"/>
      <c r="CC56" s="571"/>
      <c r="CD56" s="571"/>
    </row>
    <row r="57" spans="12:82" ht="12">
      <c r="L57" s="571"/>
      <c r="M57" s="571"/>
      <c r="N57" s="571"/>
      <c r="O57" s="571"/>
      <c r="P57" s="571"/>
      <c r="Q57" s="571"/>
      <c r="R57" s="571"/>
      <c r="S57" s="571"/>
      <c r="T57" s="571"/>
      <c r="U57" s="571"/>
      <c r="V57" s="571"/>
      <c r="W57" s="571"/>
      <c r="X57" s="571"/>
      <c r="Y57" s="571"/>
      <c r="Z57" s="571"/>
      <c r="AA57" s="571"/>
      <c r="AB57" s="571"/>
      <c r="AC57" s="571"/>
      <c r="AD57" s="571"/>
      <c r="AE57" s="571"/>
      <c r="AF57" s="571"/>
      <c r="AG57" s="571"/>
      <c r="AH57" s="571"/>
      <c r="AI57" s="571"/>
      <c r="AJ57" s="571"/>
      <c r="AK57" s="571"/>
      <c r="AL57" s="571"/>
      <c r="AM57" s="571"/>
      <c r="AN57" s="571"/>
      <c r="AO57" s="571"/>
      <c r="AP57" s="571"/>
      <c r="AQ57" s="571"/>
      <c r="AR57" s="571"/>
      <c r="AS57" s="571"/>
      <c r="AT57" s="571"/>
      <c r="AU57" s="571"/>
      <c r="AV57" s="571"/>
      <c r="AW57" s="571"/>
      <c r="AX57" s="571"/>
      <c r="AY57" s="571"/>
      <c r="AZ57" s="571"/>
      <c r="BA57" s="571"/>
      <c r="BB57" s="571"/>
      <c r="BC57" s="571"/>
      <c r="BD57" s="571"/>
      <c r="BE57" s="571"/>
      <c r="BF57" s="571"/>
      <c r="BG57" s="571"/>
      <c r="BH57" s="571"/>
      <c r="BI57" s="571"/>
      <c r="BJ57" s="571"/>
      <c r="BK57" s="571"/>
      <c r="BL57" s="571"/>
      <c r="BM57" s="571"/>
      <c r="BN57" s="571"/>
      <c r="BO57" s="571"/>
      <c r="BP57" s="571"/>
      <c r="BQ57" s="571"/>
      <c r="BR57" s="571"/>
      <c r="BS57" s="571"/>
      <c r="BT57" s="571"/>
      <c r="BU57" s="571"/>
      <c r="BV57" s="571"/>
      <c r="BW57" s="571"/>
      <c r="BX57" s="571"/>
      <c r="BY57" s="571"/>
      <c r="BZ57" s="571"/>
      <c r="CA57" s="571"/>
      <c r="CB57" s="571"/>
      <c r="CC57" s="571"/>
      <c r="CD57" s="571"/>
    </row>
    <row r="58" spans="12:82" ht="12">
      <c r="L58" s="571"/>
      <c r="M58" s="571"/>
      <c r="N58" s="571"/>
      <c r="O58" s="571"/>
      <c r="P58" s="571"/>
      <c r="Q58" s="571"/>
      <c r="R58" s="571"/>
      <c r="S58" s="571"/>
      <c r="T58" s="571"/>
      <c r="U58" s="571"/>
      <c r="V58" s="571"/>
      <c r="W58" s="571"/>
      <c r="X58" s="571"/>
      <c r="Y58" s="571"/>
      <c r="Z58" s="571"/>
      <c r="AA58" s="571"/>
      <c r="AB58" s="571"/>
      <c r="AC58" s="571"/>
      <c r="AD58" s="571"/>
      <c r="AE58" s="571"/>
      <c r="AF58" s="571"/>
      <c r="AG58" s="571"/>
      <c r="AH58" s="571"/>
      <c r="AI58" s="571"/>
      <c r="AJ58" s="571"/>
      <c r="AK58" s="571"/>
      <c r="AL58" s="571"/>
      <c r="AM58" s="571"/>
      <c r="AN58" s="571"/>
      <c r="AO58" s="571"/>
      <c r="AP58" s="571"/>
      <c r="AQ58" s="571"/>
      <c r="AR58" s="571"/>
      <c r="AS58" s="571"/>
      <c r="AT58" s="571"/>
      <c r="AU58" s="571"/>
      <c r="AV58" s="571"/>
      <c r="AW58" s="571"/>
      <c r="AX58" s="571"/>
      <c r="AY58" s="571"/>
      <c r="AZ58" s="571"/>
      <c r="BA58" s="571"/>
      <c r="BB58" s="571"/>
      <c r="BC58" s="571"/>
      <c r="BD58" s="571"/>
      <c r="BE58" s="571"/>
      <c r="BF58" s="571"/>
      <c r="BG58" s="571"/>
      <c r="BH58" s="571"/>
      <c r="BI58" s="571"/>
      <c r="BJ58" s="571"/>
      <c r="BK58" s="571"/>
      <c r="BL58" s="571"/>
      <c r="BM58" s="571"/>
      <c r="BN58" s="571"/>
      <c r="BO58" s="571"/>
      <c r="BP58" s="571"/>
      <c r="BQ58" s="571"/>
      <c r="BR58" s="571"/>
      <c r="BS58" s="571"/>
      <c r="BT58" s="571"/>
      <c r="BU58" s="571"/>
      <c r="BV58" s="571"/>
      <c r="BW58" s="571"/>
      <c r="BX58" s="571"/>
      <c r="BY58" s="571"/>
      <c r="BZ58" s="571"/>
      <c r="CA58" s="571"/>
      <c r="CB58" s="571"/>
      <c r="CC58" s="571"/>
      <c r="CD58" s="571"/>
    </row>
    <row r="59" spans="12:82" ht="12">
      <c r="L59" s="571"/>
      <c r="M59" s="571"/>
      <c r="N59" s="571"/>
      <c r="O59" s="571"/>
      <c r="P59" s="571"/>
      <c r="Q59" s="571"/>
      <c r="R59" s="571"/>
      <c r="S59" s="571"/>
      <c r="T59" s="571"/>
      <c r="U59" s="571"/>
      <c r="V59" s="571"/>
      <c r="W59" s="571"/>
      <c r="X59" s="571"/>
      <c r="Y59" s="571"/>
      <c r="Z59" s="571"/>
      <c r="AA59" s="571"/>
      <c r="AB59" s="571"/>
      <c r="AC59" s="571"/>
      <c r="AD59" s="571"/>
      <c r="AE59" s="571"/>
      <c r="AF59" s="571"/>
      <c r="AG59" s="571"/>
      <c r="AH59" s="571"/>
      <c r="AI59" s="571"/>
      <c r="AJ59" s="571"/>
      <c r="AK59" s="571"/>
      <c r="AL59" s="571"/>
      <c r="AM59" s="571"/>
      <c r="AN59" s="571"/>
      <c r="AO59" s="571"/>
      <c r="AP59" s="571"/>
      <c r="AQ59" s="571"/>
      <c r="AR59" s="571"/>
      <c r="AS59" s="571"/>
      <c r="AT59" s="571"/>
      <c r="AU59" s="571"/>
      <c r="AV59" s="571"/>
      <c r="AW59" s="571"/>
      <c r="AX59" s="571"/>
      <c r="AY59" s="571"/>
      <c r="AZ59" s="571"/>
      <c r="BA59" s="571"/>
      <c r="BB59" s="571"/>
      <c r="BC59" s="571"/>
      <c r="BD59" s="571"/>
      <c r="BE59" s="571"/>
      <c r="BF59" s="571"/>
      <c r="BG59" s="571"/>
      <c r="BH59" s="571"/>
      <c r="BI59" s="571"/>
      <c r="BJ59" s="571"/>
      <c r="BK59" s="571"/>
      <c r="BL59" s="571"/>
      <c r="BM59" s="571"/>
      <c r="BN59" s="571"/>
      <c r="BO59" s="571"/>
      <c r="BP59" s="571"/>
      <c r="BQ59" s="571"/>
      <c r="BR59" s="571"/>
      <c r="BS59" s="571"/>
      <c r="BT59" s="571"/>
      <c r="BU59" s="571"/>
      <c r="BV59" s="571"/>
      <c r="BW59" s="571"/>
      <c r="BX59" s="571"/>
      <c r="BY59" s="571"/>
      <c r="BZ59" s="571"/>
      <c r="CA59" s="571"/>
      <c r="CB59" s="571"/>
      <c r="CC59" s="571"/>
      <c r="CD59" s="571"/>
    </row>
    <row r="60" spans="12:82" ht="12">
      <c r="L60" s="571"/>
      <c r="M60" s="571"/>
      <c r="N60" s="571"/>
      <c r="O60" s="571"/>
      <c r="P60" s="571"/>
      <c r="Q60" s="571"/>
      <c r="R60" s="571"/>
      <c r="S60" s="571"/>
      <c r="T60" s="571"/>
      <c r="U60" s="571"/>
      <c r="V60" s="571"/>
      <c r="W60" s="571"/>
      <c r="X60" s="571"/>
      <c r="Y60" s="571"/>
      <c r="Z60" s="571"/>
      <c r="AA60" s="571"/>
      <c r="AB60" s="571"/>
      <c r="AC60" s="571"/>
      <c r="AD60" s="571"/>
      <c r="AE60" s="571"/>
      <c r="AF60" s="571"/>
      <c r="AG60" s="571"/>
      <c r="AH60" s="571"/>
      <c r="AI60" s="571"/>
      <c r="AJ60" s="571"/>
      <c r="AK60" s="571"/>
      <c r="AL60" s="571"/>
      <c r="AM60" s="571"/>
      <c r="AN60" s="571"/>
      <c r="AO60" s="571"/>
      <c r="AP60" s="571"/>
      <c r="AQ60" s="571"/>
      <c r="AR60" s="571"/>
      <c r="AS60" s="571"/>
      <c r="AT60" s="571"/>
      <c r="AU60" s="571"/>
      <c r="AV60" s="571"/>
      <c r="AW60" s="571"/>
      <c r="AX60" s="571"/>
      <c r="AY60" s="571"/>
      <c r="AZ60" s="571"/>
      <c r="BA60" s="571"/>
      <c r="BB60" s="571"/>
      <c r="BC60" s="571"/>
      <c r="BD60" s="571"/>
      <c r="BE60" s="571"/>
      <c r="BF60" s="571"/>
      <c r="BG60" s="571"/>
      <c r="BH60" s="571"/>
      <c r="BI60" s="571"/>
      <c r="BJ60" s="571"/>
      <c r="BK60" s="571"/>
      <c r="BL60" s="571"/>
      <c r="BM60" s="571"/>
      <c r="BN60" s="571"/>
      <c r="BO60" s="571"/>
      <c r="BP60" s="571"/>
      <c r="BQ60" s="571"/>
      <c r="BR60" s="571"/>
      <c r="BS60" s="571"/>
      <c r="BT60" s="571"/>
      <c r="BU60" s="571"/>
      <c r="BV60" s="571"/>
      <c r="BW60" s="571"/>
      <c r="BX60" s="571"/>
      <c r="BY60" s="571"/>
      <c r="BZ60" s="571"/>
      <c r="CA60" s="571"/>
      <c r="CB60" s="571"/>
      <c r="CC60" s="571"/>
      <c r="CD60" s="571"/>
    </row>
    <row r="61" spans="12:82" ht="12">
      <c r="L61" s="571"/>
      <c r="M61" s="571"/>
      <c r="N61" s="571"/>
      <c r="O61" s="571"/>
      <c r="P61" s="571"/>
      <c r="Q61" s="571"/>
      <c r="R61" s="571"/>
      <c r="S61" s="571"/>
      <c r="T61" s="571"/>
      <c r="U61" s="571"/>
      <c r="V61" s="571"/>
      <c r="W61" s="571"/>
      <c r="X61" s="571"/>
      <c r="Y61" s="571"/>
      <c r="Z61" s="571"/>
      <c r="AA61" s="571"/>
      <c r="AB61" s="571"/>
      <c r="AC61" s="571"/>
      <c r="AD61" s="571"/>
      <c r="AE61" s="571"/>
      <c r="AF61" s="571"/>
      <c r="AG61" s="571"/>
      <c r="AH61" s="571"/>
      <c r="AI61" s="571"/>
      <c r="AJ61" s="571"/>
      <c r="AK61" s="571"/>
      <c r="AL61" s="571"/>
      <c r="AM61" s="571"/>
      <c r="AN61" s="571"/>
      <c r="AO61" s="571"/>
      <c r="AP61" s="571"/>
      <c r="AQ61" s="571"/>
      <c r="AR61" s="571"/>
      <c r="AS61" s="571"/>
      <c r="AT61" s="571"/>
      <c r="AU61" s="571"/>
      <c r="AV61" s="571"/>
      <c r="AW61" s="571"/>
      <c r="AX61" s="571"/>
      <c r="AY61" s="571"/>
      <c r="AZ61" s="571"/>
      <c r="BA61" s="571"/>
      <c r="BB61" s="571"/>
      <c r="BC61" s="571"/>
      <c r="BD61" s="571"/>
      <c r="BE61" s="571"/>
      <c r="BF61" s="571"/>
      <c r="BG61" s="571"/>
      <c r="BH61" s="571"/>
      <c r="BI61" s="571"/>
      <c r="BJ61" s="571"/>
      <c r="BK61" s="571"/>
      <c r="BL61" s="571"/>
      <c r="BM61" s="571"/>
      <c r="BN61" s="571"/>
      <c r="BO61" s="571"/>
      <c r="BP61" s="571"/>
      <c r="BQ61" s="571"/>
      <c r="BR61" s="571"/>
      <c r="BS61" s="571"/>
      <c r="BT61" s="571"/>
      <c r="BU61" s="571"/>
      <c r="BV61" s="571"/>
      <c r="BW61" s="571"/>
      <c r="BX61" s="571"/>
      <c r="BY61" s="571"/>
      <c r="BZ61" s="571"/>
      <c r="CA61" s="571"/>
      <c r="CB61" s="571"/>
      <c r="CC61" s="571"/>
      <c r="CD61" s="571"/>
    </row>
    <row r="62" spans="12:82" ht="12">
      <c r="L62" s="571"/>
      <c r="M62" s="571"/>
      <c r="N62" s="571"/>
      <c r="O62" s="571"/>
      <c r="P62" s="571"/>
      <c r="Q62" s="571"/>
      <c r="R62" s="571"/>
      <c r="S62" s="571"/>
      <c r="T62" s="571"/>
      <c r="U62" s="571"/>
      <c r="V62" s="571"/>
      <c r="W62" s="571"/>
      <c r="X62" s="571"/>
      <c r="Y62" s="571"/>
      <c r="Z62" s="571"/>
      <c r="AA62" s="571"/>
      <c r="AB62" s="571"/>
      <c r="AC62" s="571"/>
      <c r="AD62" s="571"/>
      <c r="AE62" s="571"/>
      <c r="AF62" s="571"/>
      <c r="AG62" s="571"/>
      <c r="AH62" s="571"/>
      <c r="AI62" s="571"/>
      <c r="AJ62" s="571"/>
      <c r="AK62" s="571"/>
      <c r="AL62" s="571"/>
      <c r="AM62" s="571"/>
      <c r="AN62" s="571"/>
      <c r="AO62" s="571"/>
      <c r="AP62" s="571"/>
      <c r="AQ62" s="571"/>
      <c r="AR62" s="571"/>
      <c r="AS62" s="571"/>
      <c r="AT62" s="571"/>
      <c r="AU62" s="571"/>
      <c r="AV62" s="571"/>
      <c r="AW62" s="571"/>
      <c r="AX62" s="571"/>
      <c r="AY62" s="571"/>
      <c r="AZ62" s="571"/>
      <c r="BA62" s="571"/>
      <c r="BB62" s="571"/>
      <c r="BC62" s="571"/>
      <c r="BD62" s="571"/>
      <c r="BE62" s="571"/>
      <c r="BF62" s="571"/>
      <c r="BG62" s="571"/>
      <c r="BH62" s="571"/>
      <c r="BI62" s="571"/>
      <c r="BJ62" s="571"/>
      <c r="BK62" s="571"/>
      <c r="BL62" s="571"/>
      <c r="BM62" s="571"/>
      <c r="BN62" s="571"/>
      <c r="BO62" s="571"/>
      <c r="BP62" s="571"/>
      <c r="BQ62" s="571"/>
      <c r="BR62" s="571"/>
      <c r="BS62" s="571"/>
      <c r="BT62" s="571"/>
      <c r="BU62" s="571"/>
      <c r="BV62" s="571"/>
      <c r="BW62" s="571"/>
      <c r="BX62" s="571"/>
      <c r="BY62" s="571"/>
      <c r="BZ62" s="571"/>
      <c r="CA62" s="571"/>
      <c r="CB62" s="571"/>
      <c r="CC62" s="571"/>
      <c r="CD62" s="571"/>
    </row>
  </sheetData>
  <printOptions/>
  <pageMargins left="1.33" right="0.53" top="1.98" bottom="0.984251968503937" header="0.5118110236220472" footer="0.5118110236220472"/>
  <pageSetup firstPageNumber="35" useFirstPageNumber="1" horizontalDpi="300" verticalDpi="300" orientation="portrait" paperSize="9" r:id="rId1"/>
  <headerFooter alignWithMargins="0">
    <oddFooter>&amp;L&amp;"Arial,Regular"&amp;8Valsts kase / Pārskatu departaments
15.09.00.
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5"/>
  <dimension ref="A1:J63"/>
  <sheetViews>
    <sheetView workbookViewId="0" topLeftCell="A1">
      <selection activeCell="A17" sqref="A17"/>
    </sheetView>
  </sheetViews>
  <sheetFormatPr defaultColWidth="9.140625" defaultRowHeight="12.75"/>
  <cols>
    <col min="1" max="1" width="24.7109375" style="487" customWidth="1"/>
    <col min="2" max="3" width="13.140625" style="487" customWidth="1"/>
    <col min="4" max="4" width="14.00390625" style="487" customWidth="1"/>
    <col min="5" max="5" width="16.57421875" style="487" customWidth="1"/>
    <col min="6" max="6" width="9.7109375" style="487" customWidth="1"/>
    <col min="7" max="8" width="8.8515625" style="487" customWidth="1"/>
    <col min="9" max="9" width="14.8515625" style="487" customWidth="1"/>
    <col min="10" max="16384" width="8.00390625" style="487" customWidth="1"/>
  </cols>
  <sheetData>
    <row r="1" spans="1:10" ht="12.75" customHeight="1">
      <c r="A1" s="488" t="s">
        <v>28</v>
      </c>
      <c r="B1" s="488"/>
      <c r="C1" s="488"/>
      <c r="D1" s="488"/>
      <c r="E1" s="488"/>
      <c r="F1" s="488"/>
      <c r="G1" s="488"/>
      <c r="H1" s="488"/>
      <c r="I1" s="732" t="s">
        <v>29</v>
      </c>
      <c r="J1" s="507"/>
    </row>
    <row r="2" spans="1:9" ht="12">
      <c r="A2" s="571"/>
      <c r="B2" s="571"/>
      <c r="C2" s="571"/>
      <c r="D2" s="571"/>
      <c r="E2" s="571"/>
      <c r="F2" s="571"/>
      <c r="G2" s="571"/>
      <c r="H2" s="571"/>
      <c r="I2" s="571"/>
    </row>
    <row r="3" spans="1:9" ht="12">
      <c r="A3" s="571"/>
      <c r="B3" s="571"/>
      <c r="C3" s="571"/>
      <c r="D3" s="571"/>
      <c r="E3" s="571"/>
      <c r="F3" s="571"/>
      <c r="G3" s="571"/>
      <c r="H3" s="571"/>
      <c r="I3" s="571"/>
    </row>
    <row r="4" spans="1:9" ht="15.75">
      <c r="A4" s="489" t="s">
        <v>30</v>
      </c>
      <c r="B4" s="634"/>
      <c r="C4" s="634"/>
      <c r="D4" s="634"/>
      <c r="E4" s="634"/>
      <c r="F4" s="634"/>
      <c r="G4" s="634"/>
      <c r="H4" s="634"/>
      <c r="I4" s="634"/>
    </row>
    <row r="5" spans="1:9" ht="15.75">
      <c r="A5" s="489" t="s">
        <v>31</v>
      </c>
      <c r="B5" s="536"/>
      <c r="C5" s="489"/>
      <c r="D5" s="489"/>
      <c r="E5" s="489"/>
      <c r="F5" s="533"/>
      <c r="G5" s="533"/>
      <c r="H5" s="533"/>
      <c r="I5" s="533"/>
    </row>
    <row r="6" spans="1:9" ht="15.75">
      <c r="A6" s="637"/>
      <c r="B6" s="571"/>
      <c r="C6" s="571"/>
      <c r="D6" s="571"/>
      <c r="E6" s="571"/>
      <c r="F6" s="571"/>
      <c r="G6" s="571"/>
      <c r="H6" s="571"/>
      <c r="I6" s="571"/>
    </row>
    <row r="7" spans="1:9" ht="11.25">
      <c r="A7" s="493"/>
      <c r="B7" s="493"/>
      <c r="C7" s="493"/>
      <c r="D7" s="493"/>
      <c r="E7" s="493"/>
      <c r="F7" s="493"/>
      <c r="G7" s="493"/>
      <c r="H7" s="493"/>
      <c r="I7" s="493" t="s">
        <v>32</v>
      </c>
    </row>
    <row r="8" spans="1:9" ht="56.25">
      <c r="A8" s="494" t="s">
        <v>33</v>
      </c>
      <c r="B8" s="495" t="s">
        <v>34</v>
      </c>
      <c r="C8" s="495" t="s">
        <v>35</v>
      </c>
      <c r="D8" s="495" t="s">
        <v>36</v>
      </c>
      <c r="E8" s="495" t="s">
        <v>37</v>
      </c>
      <c r="F8" s="495" t="s">
        <v>38</v>
      </c>
      <c r="G8" s="733" t="s">
        <v>39</v>
      </c>
      <c r="H8" s="734"/>
      <c r="I8" s="496" t="s">
        <v>40</v>
      </c>
    </row>
    <row r="9" spans="1:9" ht="11.25">
      <c r="A9" s="497"/>
      <c r="B9" s="505"/>
      <c r="C9" s="505"/>
      <c r="D9" s="505"/>
      <c r="E9" s="505"/>
      <c r="F9" s="505"/>
      <c r="G9" s="505" t="s">
        <v>41</v>
      </c>
      <c r="H9" s="505" t="s">
        <v>42</v>
      </c>
      <c r="I9" s="506"/>
    </row>
    <row r="10" spans="1:9" ht="11.25">
      <c r="A10" s="735">
        <v>1</v>
      </c>
      <c r="B10" s="736">
        <v>2</v>
      </c>
      <c r="C10" s="736">
        <v>3</v>
      </c>
      <c r="D10" s="736">
        <v>4</v>
      </c>
      <c r="E10" s="736">
        <v>5</v>
      </c>
      <c r="F10" s="736">
        <v>6</v>
      </c>
      <c r="G10" s="736">
        <v>7</v>
      </c>
      <c r="H10" s="736">
        <v>8</v>
      </c>
      <c r="I10" s="737">
        <v>9</v>
      </c>
    </row>
    <row r="11" spans="1:9" ht="12">
      <c r="A11" s="696" t="s">
        <v>718</v>
      </c>
      <c r="B11" s="738">
        <v>300000</v>
      </c>
      <c r="C11" s="738">
        <f>2247273+190563</f>
        <v>2437836</v>
      </c>
      <c r="D11" s="509">
        <f>11087+11087+11087</f>
        <v>33261</v>
      </c>
      <c r="E11" s="738">
        <f>12230091+746190</f>
        <v>12976281</v>
      </c>
      <c r="F11" s="509"/>
      <c r="G11" s="509"/>
      <c r="H11" s="509"/>
      <c r="I11" s="721">
        <f aca="true" t="shared" si="0" ref="I11:I44">SUM(B11:H11)</f>
        <v>15747378</v>
      </c>
    </row>
    <row r="12" spans="1:9" ht="12">
      <c r="A12" s="696" t="s">
        <v>719</v>
      </c>
      <c r="B12" s="509">
        <v>348000</v>
      </c>
      <c r="C12" s="509">
        <f>301496+25475</f>
        <v>326971</v>
      </c>
      <c r="D12" s="509">
        <f>1090+1090+1090</f>
        <v>3270</v>
      </c>
      <c r="E12" s="738">
        <f>1957039+134765</f>
        <v>2091804</v>
      </c>
      <c r="F12" s="509"/>
      <c r="G12" s="509"/>
      <c r="H12" s="509"/>
      <c r="I12" s="721">
        <f t="shared" si="0"/>
        <v>2770045</v>
      </c>
    </row>
    <row r="13" spans="1:9" ht="12">
      <c r="A13" s="696" t="s">
        <v>720</v>
      </c>
      <c r="B13" s="509">
        <v>341223</v>
      </c>
      <c r="C13" s="509">
        <f>245846+20586</f>
        <v>266432</v>
      </c>
      <c r="D13" s="509">
        <f>3087+3087+3087</f>
        <v>9261</v>
      </c>
      <c r="E13" s="738">
        <f>1228674+97254</f>
        <v>1325928</v>
      </c>
      <c r="F13" s="509"/>
      <c r="G13" s="509"/>
      <c r="H13" s="509"/>
      <c r="I13" s="721">
        <f t="shared" si="0"/>
        <v>1942844</v>
      </c>
    </row>
    <row r="14" spans="1:9" ht="12">
      <c r="A14" s="696" t="s">
        <v>721</v>
      </c>
      <c r="B14" s="509">
        <v>39000</v>
      </c>
      <c r="C14" s="509">
        <f>71184+5770</f>
        <v>76954</v>
      </c>
      <c r="D14" s="509">
        <f>194+194+194</f>
        <v>582</v>
      </c>
      <c r="E14" s="738">
        <f>950837+71455</f>
        <v>1022292</v>
      </c>
      <c r="F14" s="509"/>
      <c r="G14" s="509"/>
      <c r="H14" s="509"/>
      <c r="I14" s="721">
        <f t="shared" si="0"/>
        <v>1138828</v>
      </c>
    </row>
    <row r="15" spans="1:9" ht="12">
      <c r="A15" s="696" t="s">
        <v>722</v>
      </c>
      <c r="B15" s="509">
        <v>593000</v>
      </c>
      <c r="C15" s="509">
        <f>360161+30369</f>
        <v>390530</v>
      </c>
      <c r="D15" s="509">
        <f>1090+1090+1090</f>
        <v>3270</v>
      </c>
      <c r="E15" s="738">
        <f>1467819+79286</f>
        <v>1547105</v>
      </c>
      <c r="F15" s="509"/>
      <c r="G15" s="509"/>
      <c r="H15" s="509"/>
      <c r="I15" s="721">
        <f t="shared" si="0"/>
        <v>2533905</v>
      </c>
    </row>
    <row r="16" spans="1:9" ht="12">
      <c r="A16" s="696" t="s">
        <v>723</v>
      </c>
      <c r="B16" s="509">
        <v>46000</v>
      </c>
      <c r="C16" s="509">
        <f>260996+22002</f>
        <v>282998</v>
      </c>
      <c r="D16" s="509">
        <f>908+908+908</f>
        <v>2724</v>
      </c>
      <c r="E16" s="509">
        <f>721716+64825</f>
        <v>786541</v>
      </c>
      <c r="F16" s="509"/>
      <c r="G16" s="509"/>
      <c r="H16" s="509"/>
      <c r="I16" s="721">
        <f t="shared" si="0"/>
        <v>1118263</v>
      </c>
    </row>
    <row r="17" spans="1:9" ht="12">
      <c r="A17" s="696" t="s">
        <v>724</v>
      </c>
      <c r="B17" s="509">
        <v>100000</v>
      </c>
      <c r="C17" s="509">
        <f>26119+2158</f>
        <v>28277</v>
      </c>
      <c r="D17" s="509">
        <f>726+726+726</f>
        <v>2178</v>
      </c>
      <c r="E17" s="738">
        <f>784173+49280</f>
        <v>833453</v>
      </c>
      <c r="F17" s="509"/>
      <c r="G17" s="509"/>
      <c r="H17" s="509">
        <v>11250</v>
      </c>
      <c r="I17" s="721">
        <f t="shared" si="0"/>
        <v>975158</v>
      </c>
    </row>
    <row r="18" spans="1:9" ht="12">
      <c r="A18" s="696" t="s">
        <v>727</v>
      </c>
      <c r="B18" s="509">
        <v>297000</v>
      </c>
      <c r="C18" s="509">
        <f>244896+20721</f>
        <v>265617</v>
      </c>
      <c r="D18" s="509">
        <f>726+726+726</f>
        <v>2178</v>
      </c>
      <c r="E18" s="738">
        <f>1051274+64984</f>
        <v>1116258</v>
      </c>
      <c r="F18" s="509"/>
      <c r="G18" s="509"/>
      <c r="H18" s="509">
        <v>10500</v>
      </c>
      <c r="I18" s="721">
        <f t="shared" si="0"/>
        <v>1691553</v>
      </c>
    </row>
    <row r="19" spans="1:9" ht="12">
      <c r="A19" s="696" t="s">
        <v>728</v>
      </c>
      <c r="B19" s="509">
        <v>104000</v>
      </c>
      <c r="C19" s="509">
        <f>277130+23188</f>
        <v>300318</v>
      </c>
      <c r="D19" s="509">
        <f>908+908+908</f>
        <v>2724</v>
      </c>
      <c r="E19" s="509">
        <f>628612+31498</f>
        <v>660110</v>
      </c>
      <c r="F19" s="509"/>
      <c r="G19" s="509"/>
      <c r="H19" s="509"/>
      <c r="I19" s="721">
        <f t="shared" si="0"/>
        <v>1067152</v>
      </c>
    </row>
    <row r="20" spans="1:9" ht="12">
      <c r="A20" s="696" t="s">
        <v>729</v>
      </c>
      <c r="B20" s="509">
        <v>213000</v>
      </c>
      <c r="C20" s="509">
        <f>227939+19059</f>
        <v>246998</v>
      </c>
      <c r="D20" s="509">
        <f>1453+1453+1453</f>
        <v>4359</v>
      </c>
      <c r="E20" s="509">
        <f>723085+44715</f>
        <v>767800</v>
      </c>
      <c r="F20" s="509"/>
      <c r="G20" s="509"/>
      <c r="H20" s="509"/>
      <c r="I20" s="721">
        <f t="shared" si="0"/>
        <v>1232157</v>
      </c>
    </row>
    <row r="21" spans="1:9" ht="12">
      <c r="A21" s="696" t="s">
        <v>730</v>
      </c>
      <c r="B21" s="509">
        <v>216000</v>
      </c>
      <c r="C21" s="509">
        <f>382329+30082</f>
        <v>412411</v>
      </c>
      <c r="D21" s="509">
        <f>1271+1271+1271</f>
        <v>3813</v>
      </c>
      <c r="E21" s="738">
        <f>1208867+62889</f>
        <v>1271756</v>
      </c>
      <c r="F21" s="509"/>
      <c r="G21" s="509"/>
      <c r="H21" s="509">
        <v>9750</v>
      </c>
      <c r="I21" s="721">
        <f t="shared" si="0"/>
        <v>1913730</v>
      </c>
    </row>
    <row r="22" spans="1:9" ht="12">
      <c r="A22" s="696" t="s">
        <v>731</v>
      </c>
      <c r="B22" s="509">
        <v>239200</v>
      </c>
      <c r="C22" s="738">
        <f>674447+56343</f>
        <v>730790</v>
      </c>
      <c r="D22" s="509">
        <f>1453+1453+1453</f>
        <v>4359</v>
      </c>
      <c r="E22" s="738">
        <f>1416663+78224</f>
        <v>1494887</v>
      </c>
      <c r="F22" s="509"/>
      <c r="G22" s="509"/>
      <c r="H22" s="509">
        <v>19838</v>
      </c>
      <c r="I22" s="721">
        <f t="shared" si="0"/>
        <v>2489074</v>
      </c>
    </row>
    <row r="23" spans="1:9" ht="12">
      <c r="A23" s="696" t="s">
        <v>732</v>
      </c>
      <c r="B23" s="509">
        <v>397000</v>
      </c>
      <c r="C23" s="509">
        <f>204840+17303</f>
        <v>222143</v>
      </c>
      <c r="D23" s="509">
        <f>545+545+545</f>
        <v>1635</v>
      </c>
      <c r="E23" s="738">
        <f>854806+45586</f>
        <v>900392</v>
      </c>
      <c r="F23" s="509"/>
      <c r="G23" s="509"/>
      <c r="H23" s="509">
        <v>26250</v>
      </c>
      <c r="I23" s="721">
        <f t="shared" si="0"/>
        <v>1547420</v>
      </c>
    </row>
    <row r="24" spans="1:9" ht="12">
      <c r="A24" s="696" t="s">
        <v>733</v>
      </c>
      <c r="B24" s="509">
        <v>234950</v>
      </c>
      <c r="C24" s="509">
        <f>90500+7665</f>
        <v>98165</v>
      </c>
      <c r="D24" s="509">
        <f>908+908+908</f>
        <v>2724</v>
      </c>
      <c r="E24" s="738">
        <f>1007826+68789</f>
        <v>1076615</v>
      </c>
      <c r="F24" s="509"/>
      <c r="G24" s="509"/>
      <c r="H24" s="509">
        <v>35513</v>
      </c>
      <c r="I24" s="721">
        <f t="shared" si="0"/>
        <v>1447967</v>
      </c>
    </row>
    <row r="25" spans="1:9" ht="12">
      <c r="A25" s="696" t="s">
        <v>734</v>
      </c>
      <c r="B25" s="509">
        <v>305000</v>
      </c>
      <c r="C25" s="509">
        <f>87699+7380</f>
        <v>95079</v>
      </c>
      <c r="D25" s="509">
        <f>545+545+545</f>
        <v>1635</v>
      </c>
      <c r="E25" s="509">
        <f>659208+53206</f>
        <v>712414</v>
      </c>
      <c r="F25" s="509"/>
      <c r="G25" s="509"/>
      <c r="H25" s="509"/>
      <c r="I25" s="721">
        <f t="shared" si="0"/>
        <v>1114128</v>
      </c>
    </row>
    <row r="26" spans="1:9" ht="12">
      <c r="A26" s="696" t="s">
        <v>735</v>
      </c>
      <c r="B26" s="509"/>
      <c r="C26" s="509">
        <f>175729+14812</f>
        <v>190541</v>
      </c>
      <c r="D26" s="509">
        <f>726+726+726</f>
        <v>2178</v>
      </c>
      <c r="E26" s="738">
        <f>844144+34438</f>
        <v>878582</v>
      </c>
      <c r="F26" s="509"/>
      <c r="G26" s="509"/>
      <c r="H26" s="509"/>
      <c r="I26" s="721">
        <f t="shared" si="0"/>
        <v>1071301</v>
      </c>
    </row>
    <row r="27" spans="1:9" ht="12">
      <c r="A27" s="696" t="s">
        <v>736</v>
      </c>
      <c r="B27" s="509">
        <v>156570</v>
      </c>
      <c r="C27" s="509">
        <f>302820+23933</f>
        <v>326753</v>
      </c>
      <c r="D27" s="509">
        <f>908+908+908</f>
        <v>2724</v>
      </c>
      <c r="E27" s="738">
        <f>1182026+60351</f>
        <v>1242377</v>
      </c>
      <c r="F27" s="509"/>
      <c r="G27" s="509"/>
      <c r="H27" s="509">
        <v>19819</v>
      </c>
      <c r="I27" s="721">
        <f t="shared" si="0"/>
        <v>1748243</v>
      </c>
    </row>
    <row r="28" spans="1:9" ht="12">
      <c r="A28" s="696" t="s">
        <v>737</v>
      </c>
      <c r="B28" s="509">
        <v>142330</v>
      </c>
      <c r="C28" s="509">
        <f>91210+7724</f>
        <v>98934</v>
      </c>
      <c r="D28" s="509">
        <f>578+578+578</f>
        <v>1734</v>
      </c>
      <c r="E28" s="738">
        <f>881497+39564</f>
        <v>921061</v>
      </c>
      <c r="F28" s="509"/>
      <c r="G28" s="509"/>
      <c r="H28" s="509">
        <v>5250</v>
      </c>
      <c r="I28" s="721">
        <f t="shared" si="0"/>
        <v>1169309</v>
      </c>
    </row>
    <row r="29" spans="1:9" ht="12">
      <c r="A29" s="696" t="s">
        <v>738</v>
      </c>
      <c r="B29" s="509">
        <v>451000</v>
      </c>
      <c r="C29" s="509">
        <f>295209+25054</f>
        <v>320263</v>
      </c>
      <c r="D29" s="509">
        <f>908+908+908</f>
        <v>2724</v>
      </c>
      <c r="E29" s="738">
        <f>1023171+25180</f>
        <v>1048351</v>
      </c>
      <c r="F29" s="509"/>
      <c r="G29" s="509"/>
      <c r="H29" s="509">
        <v>5250</v>
      </c>
      <c r="I29" s="721">
        <f t="shared" si="0"/>
        <v>1827588</v>
      </c>
    </row>
    <row r="30" spans="1:9" ht="12">
      <c r="A30" s="696" t="s">
        <v>739</v>
      </c>
      <c r="B30" s="509">
        <v>57000</v>
      </c>
      <c r="C30" s="509">
        <f>337050+28323</f>
        <v>365373</v>
      </c>
      <c r="D30" s="509">
        <f>908+908+908</f>
        <v>2724</v>
      </c>
      <c r="E30" s="738">
        <f>1123658+50811</f>
        <v>1174469</v>
      </c>
      <c r="F30" s="509"/>
      <c r="G30" s="509"/>
      <c r="H30" s="509">
        <v>31500</v>
      </c>
      <c r="I30" s="721">
        <f t="shared" si="0"/>
        <v>1631066</v>
      </c>
    </row>
    <row r="31" spans="1:9" ht="12">
      <c r="A31" s="696" t="s">
        <v>740</v>
      </c>
      <c r="B31" s="509">
        <v>240000</v>
      </c>
      <c r="C31" s="509">
        <f>105050+8902</f>
        <v>113952</v>
      </c>
      <c r="D31" s="509">
        <f>908+908+908</f>
        <v>2724</v>
      </c>
      <c r="E31" s="738">
        <f>917646+50257</f>
        <v>967903</v>
      </c>
      <c r="F31" s="509"/>
      <c r="G31" s="509">
        <v>1250</v>
      </c>
      <c r="H31" s="509">
        <v>4950</v>
      </c>
      <c r="I31" s="721">
        <f t="shared" si="0"/>
        <v>1330779</v>
      </c>
    </row>
    <row r="32" spans="1:9" ht="12">
      <c r="A32" s="696" t="s">
        <v>741</v>
      </c>
      <c r="B32" s="509">
        <v>30000</v>
      </c>
      <c r="C32" s="509">
        <f>94980+7237</f>
        <v>102217</v>
      </c>
      <c r="D32" s="509">
        <f>908+908+908</f>
        <v>2724</v>
      </c>
      <c r="E32" s="738">
        <f>798087+21672</f>
        <v>819759</v>
      </c>
      <c r="F32" s="509"/>
      <c r="G32" s="509"/>
      <c r="H32" s="509">
        <v>30135</v>
      </c>
      <c r="I32" s="721">
        <f t="shared" si="0"/>
        <v>984835</v>
      </c>
    </row>
    <row r="33" spans="1:9" ht="12">
      <c r="A33" s="696" t="s">
        <v>742</v>
      </c>
      <c r="B33" s="509">
        <v>294000</v>
      </c>
      <c r="C33" s="509">
        <f>178189+14976</f>
        <v>193165</v>
      </c>
      <c r="D33" s="509">
        <f>1634+1634+1634</f>
        <v>4902</v>
      </c>
      <c r="E33" s="738">
        <f>1035183+100937</f>
        <v>1136120</v>
      </c>
      <c r="F33" s="509"/>
      <c r="G33" s="509"/>
      <c r="H33" s="509">
        <v>4425</v>
      </c>
      <c r="I33" s="721">
        <f t="shared" si="0"/>
        <v>1632612</v>
      </c>
    </row>
    <row r="34" spans="1:9" ht="12">
      <c r="A34" s="696" t="s">
        <v>743</v>
      </c>
      <c r="B34" s="509">
        <v>120000</v>
      </c>
      <c r="C34" s="509">
        <f>179897+15041</f>
        <v>194938</v>
      </c>
      <c r="D34" s="509">
        <f>1453+1453+1453</f>
        <v>4359</v>
      </c>
      <c r="E34" s="738">
        <f>1342822+99492</f>
        <v>1442314</v>
      </c>
      <c r="F34" s="509"/>
      <c r="G34" s="509"/>
      <c r="H34" s="509"/>
      <c r="I34" s="721">
        <f t="shared" si="0"/>
        <v>1761611</v>
      </c>
    </row>
    <row r="35" spans="1:9" ht="12">
      <c r="A35" s="696" t="s">
        <v>744</v>
      </c>
      <c r="B35" s="509">
        <v>224500</v>
      </c>
      <c r="C35" s="509">
        <f>278079+13097</f>
        <v>291176</v>
      </c>
      <c r="D35" s="509">
        <f>1453+1453+1453</f>
        <v>4359</v>
      </c>
      <c r="E35" s="738">
        <f>981801+67198</f>
        <v>1048999</v>
      </c>
      <c r="F35" s="509"/>
      <c r="G35" s="509"/>
      <c r="H35" s="509"/>
      <c r="I35" s="721">
        <f t="shared" si="0"/>
        <v>1569034</v>
      </c>
    </row>
    <row r="36" spans="1:9" ht="12">
      <c r="A36" s="696" t="s">
        <v>745</v>
      </c>
      <c r="B36" s="509">
        <v>50000</v>
      </c>
      <c r="C36" s="509">
        <f>397892+30343</f>
        <v>428235</v>
      </c>
      <c r="D36" s="509">
        <f>908+908+908</f>
        <v>2724</v>
      </c>
      <c r="E36" s="738">
        <f>936129+57869</f>
        <v>993998</v>
      </c>
      <c r="F36" s="509"/>
      <c r="G36" s="509"/>
      <c r="H36" s="509">
        <v>36000</v>
      </c>
      <c r="I36" s="721">
        <f t="shared" si="0"/>
        <v>1510957</v>
      </c>
    </row>
    <row r="37" spans="1:9" ht="12">
      <c r="A37" s="696" t="s">
        <v>746</v>
      </c>
      <c r="B37" s="509">
        <v>610000</v>
      </c>
      <c r="C37" s="509">
        <f>354822+29919</f>
        <v>384741</v>
      </c>
      <c r="D37" s="509">
        <f>2905+2905+2905</f>
        <v>8715</v>
      </c>
      <c r="E37" s="738">
        <f>2552674+137740</f>
        <v>2690414</v>
      </c>
      <c r="F37" s="509"/>
      <c r="G37" s="509"/>
      <c r="H37" s="509">
        <v>12000</v>
      </c>
      <c r="I37" s="721">
        <f t="shared" si="0"/>
        <v>3705870</v>
      </c>
    </row>
    <row r="38" spans="1:9" ht="12">
      <c r="A38" s="696" t="s">
        <v>747</v>
      </c>
      <c r="B38" s="509">
        <v>272000</v>
      </c>
      <c r="C38" s="509">
        <f>385650+32200</f>
        <v>417850</v>
      </c>
      <c r="D38" s="509">
        <f>908+908+908</f>
        <v>2724</v>
      </c>
      <c r="E38" s="738">
        <f>913304+45968</f>
        <v>959272</v>
      </c>
      <c r="F38" s="509"/>
      <c r="G38" s="509"/>
      <c r="H38" s="509"/>
      <c r="I38" s="721">
        <f t="shared" si="0"/>
        <v>1651846</v>
      </c>
    </row>
    <row r="39" spans="1:9" ht="12">
      <c r="A39" s="696" t="s">
        <v>748</v>
      </c>
      <c r="B39" s="509">
        <v>434000</v>
      </c>
      <c r="C39" s="509">
        <f>169529+14367</f>
        <v>183896</v>
      </c>
      <c r="D39" s="509">
        <f>1271+1271+1271</f>
        <v>3813</v>
      </c>
      <c r="E39" s="738">
        <f>1185714+90147</f>
        <v>1275861</v>
      </c>
      <c r="F39" s="509"/>
      <c r="G39" s="509"/>
      <c r="H39" s="509">
        <v>5250</v>
      </c>
      <c r="I39" s="721">
        <f t="shared" si="0"/>
        <v>1902820</v>
      </c>
    </row>
    <row r="40" spans="1:9" ht="12">
      <c r="A40" s="696" t="s">
        <v>749</v>
      </c>
      <c r="B40" s="738">
        <v>334630</v>
      </c>
      <c r="C40" s="509">
        <f>500820+42049</f>
        <v>542869</v>
      </c>
      <c r="D40" s="509">
        <f>908+908+908</f>
        <v>2724</v>
      </c>
      <c r="E40" s="738">
        <f>1213518+82410</f>
        <v>1295928</v>
      </c>
      <c r="F40" s="738"/>
      <c r="G40" s="738"/>
      <c r="H40" s="738">
        <v>12389</v>
      </c>
      <c r="I40" s="721">
        <f t="shared" si="0"/>
        <v>2188540</v>
      </c>
    </row>
    <row r="41" spans="1:9" ht="12">
      <c r="A41" s="696" t="s">
        <v>750</v>
      </c>
      <c r="B41" s="509">
        <v>40000</v>
      </c>
      <c r="C41" s="509">
        <f>124231+10423</f>
        <v>134654</v>
      </c>
      <c r="D41" s="509">
        <f>1453+1453+1453</f>
        <v>4359</v>
      </c>
      <c r="E41" s="738">
        <f>799073+41638</f>
        <v>840711</v>
      </c>
      <c r="F41" s="738"/>
      <c r="G41" s="738"/>
      <c r="H41" s="738">
        <v>24600</v>
      </c>
      <c r="I41" s="721">
        <f t="shared" si="0"/>
        <v>1044324</v>
      </c>
    </row>
    <row r="42" spans="1:9" ht="12">
      <c r="A42" s="696" t="s">
        <v>751</v>
      </c>
      <c r="B42" s="509">
        <v>100000</v>
      </c>
      <c r="C42" s="509">
        <f>506830+37993</f>
        <v>544823</v>
      </c>
      <c r="D42" s="509">
        <f>1634+1634+1634</f>
        <v>4902</v>
      </c>
      <c r="E42" s="738">
        <f>1472207+90103</f>
        <v>1562310</v>
      </c>
      <c r="F42" s="738"/>
      <c r="G42" s="738"/>
      <c r="H42" s="738">
        <v>7500</v>
      </c>
      <c r="I42" s="721">
        <f t="shared" si="0"/>
        <v>2219535</v>
      </c>
    </row>
    <row r="43" spans="1:9" ht="12">
      <c r="A43" s="739" t="s">
        <v>752</v>
      </c>
      <c r="B43" s="520">
        <v>20000</v>
      </c>
      <c r="C43" s="520">
        <f>120116+10053</f>
        <v>130169</v>
      </c>
      <c r="D43" s="520">
        <f>694+694+694</f>
        <v>2082</v>
      </c>
      <c r="E43" s="520">
        <f>338163+18898</f>
        <v>357061</v>
      </c>
      <c r="F43" s="590"/>
      <c r="G43" s="740"/>
      <c r="H43" s="740">
        <v>15750</v>
      </c>
      <c r="I43" s="741">
        <f t="shared" si="0"/>
        <v>525062</v>
      </c>
    </row>
    <row r="44" spans="1:9" ht="12.75">
      <c r="A44" s="742" t="s">
        <v>754</v>
      </c>
      <c r="B44" s="743">
        <f aca="true" t="shared" si="1" ref="B44:H44">SUM(B11:B43)</f>
        <v>7349403</v>
      </c>
      <c r="C44" s="743">
        <f t="shared" si="1"/>
        <v>11146068</v>
      </c>
      <c r="D44" s="743">
        <f t="shared" si="1"/>
        <v>141168</v>
      </c>
      <c r="E44" s="743">
        <f t="shared" si="1"/>
        <v>49239126</v>
      </c>
      <c r="F44" s="743">
        <f t="shared" si="1"/>
        <v>0</v>
      </c>
      <c r="G44" s="743">
        <f t="shared" si="1"/>
        <v>1250</v>
      </c>
      <c r="H44" s="743">
        <f t="shared" si="1"/>
        <v>327919</v>
      </c>
      <c r="I44" s="744">
        <f t="shared" si="0"/>
        <v>68204934</v>
      </c>
    </row>
    <row r="45" spans="1:9" ht="12">
      <c r="A45" s="745"/>
      <c r="B45" s="746"/>
      <c r="C45" s="746"/>
      <c r="D45" s="746"/>
      <c r="E45" s="746"/>
      <c r="F45" s="746"/>
      <c r="G45" s="746"/>
      <c r="H45" s="746"/>
      <c r="I45" s="746"/>
    </row>
    <row r="46" spans="1:9" ht="12">
      <c r="A46" s="745"/>
      <c r="B46" s="746"/>
      <c r="C46" s="746"/>
      <c r="D46" s="747"/>
      <c r="E46" s="746"/>
      <c r="F46" s="746"/>
      <c r="G46" s="746"/>
      <c r="H46" s="746"/>
      <c r="I46" s="746"/>
    </row>
    <row r="47" spans="1:9" ht="12">
      <c r="A47" s="745"/>
      <c r="B47" s="746"/>
      <c r="C47" s="746"/>
      <c r="D47" s="746"/>
      <c r="E47" s="746"/>
      <c r="F47" s="746"/>
      <c r="G47" s="746"/>
      <c r="H47" s="746"/>
      <c r="I47" s="746"/>
    </row>
    <row r="48" spans="1:8" ht="12.75">
      <c r="A48" s="748"/>
      <c r="B48" s="749"/>
      <c r="C48" s="750"/>
      <c r="D48" s="751"/>
      <c r="E48" s="751"/>
      <c r="F48" s="751"/>
      <c r="G48" s="751"/>
      <c r="H48" s="751"/>
    </row>
    <row r="49" spans="1:9" s="571" customFormat="1" ht="12">
      <c r="A49" s="629" t="s">
        <v>628</v>
      </c>
      <c r="B49" s="629"/>
      <c r="C49" s="752"/>
      <c r="D49" s="753"/>
      <c r="E49" s="620"/>
      <c r="F49" s="629" t="s">
        <v>758</v>
      </c>
      <c r="G49" s="753"/>
      <c r="H49" s="620"/>
      <c r="I49" s="526" t="s">
        <v>589</v>
      </c>
    </row>
    <row r="50" spans="1:9" ht="12">
      <c r="A50" s="754"/>
      <c r="B50" s="755"/>
      <c r="C50" s="755"/>
      <c r="D50" s="755"/>
      <c r="E50" s="753"/>
      <c r="F50" s="756"/>
      <c r="G50" s="756"/>
      <c r="H50" s="756"/>
      <c r="I50" s="753"/>
    </row>
    <row r="62" ht="11.25">
      <c r="A62" s="537" t="s">
        <v>590</v>
      </c>
    </row>
    <row r="63" ht="11.25">
      <c r="A63" s="487" t="s">
        <v>44</v>
      </c>
    </row>
  </sheetData>
  <printOptions/>
  <pageMargins left="1.11" right="0.7480314960629921" top="0.984251968503937" bottom="0.984251968503937" header="0.5118110236220472" footer="0.5118110236220472"/>
  <pageSetup firstPageNumber="36" useFirstPageNumber="1" horizontalDpi="600" verticalDpi="600" orientation="landscape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Y53"/>
  <sheetViews>
    <sheetView workbookViewId="0" topLeftCell="G41">
      <selection activeCell="G50" sqref="G50"/>
    </sheetView>
  </sheetViews>
  <sheetFormatPr defaultColWidth="9.140625" defaultRowHeight="12.75"/>
  <cols>
    <col min="1" max="1" width="0.2890625" style="0" hidden="1" customWidth="1"/>
    <col min="2" max="2" width="12.140625" style="0" hidden="1" customWidth="1"/>
    <col min="3" max="3" width="10.421875" style="0" hidden="1" customWidth="1"/>
    <col min="4" max="4" width="11.57421875" style="0" hidden="1" customWidth="1"/>
    <col min="5" max="5" width="9.140625" style="0" hidden="1" customWidth="1"/>
    <col min="6" max="6" width="10.28125" style="0" hidden="1" customWidth="1"/>
    <col min="7" max="7" width="42.28125" style="0" customWidth="1"/>
    <col min="8" max="8" width="11.7109375" style="0" customWidth="1"/>
    <col min="9" max="9" width="10.140625" style="0" customWidth="1"/>
    <col min="10" max="10" width="10.28125" style="0" customWidth="1"/>
    <col min="12" max="12" width="10.57421875" style="0" customWidth="1"/>
    <col min="13" max="13" width="8.00390625" style="0" hidden="1" customWidth="1"/>
    <col min="14" max="14" width="12.421875" style="0" hidden="1" customWidth="1"/>
    <col min="15" max="15" width="12.00390625" style="0" hidden="1" customWidth="1"/>
    <col min="16" max="16" width="16.421875" style="0" hidden="1" customWidth="1"/>
    <col min="17" max="17" width="16.7109375" style="0" hidden="1" customWidth="1"/>
    <col min="18" max="18" width="13.00390625" style="0" hidden="1" customWidth="1"/>
    <col min="19" max="19" width="0.13671875" style="0" customWidth="1"/>
    <col min="20" max="20" width="9.140625" style="0" hidden="1" customWidth="1"/>
    <col min="21" max="21" width="14.140625" style="0" hidden="1" customWidth="1"/>
    <col min="22" max="22" width="9.140625" style="0" hidden="1" customWidth="1"/>
    <col min="23" max="23" width="12.28125" style="0" hidden="1" customWidth="1"/>
    <col min="24" max="24" width="9.140625" style="0" hidden="1" customWidth="1"/>
    <col min="25" max="25" width="12.00390625" style="0" hidden="1" customWidth="1"/>
  </cols>
  <sheetData>
    <row r="3" spans="1:12" ht="19.5" customHeight="1">
      <c r="A3" s="43"/>
      <c r="B3" s="43"/>
      <c r="C3" s="79"/>
      <c r="D3" s="43"/>
      <c r="E3" s="43"/>
      <c r="F3" s="36" t="s">
        <v>175</v>
      </c>
      <c r="G3" s="43"/>
      <c r="H3" s="43"/>
      <c r="I3" s="43"/>
      <c r="J3" s="43"/>
      <c r="K3" s="43"/>
      <c r="L3" s="36" t="s">
        <v>175</v>
      </c>
    </row>
    <row r="4" spans="1:12" ht="15">
      <c r="A4" s="32" t="s">
        <v>176</v>
      </c>
      <c r="B4" s="32"/>
      <c r="C4" s="80"/>
      <c r="D4" s="32"/>
      <c r="E4" s="32"/>
      <c r="F4" s="43"/>
      <c r="G4" s="81" t="s">
        <v>177</v>
      </c>
      <c r="H4" s="32"/>
      <c r="I4" s="32"/>
      <c r="J4" s="32"/>
      <c r="K4" s="32"/>
      <c r="L4" s="43"/>
    </row>
    <row r="5" spans="1:12" ht="11.25" customHeight="1">
      <c r="A5" s="82"/>
      <c r="B5" s="43"/>
      <c r="C5" s="79"/>
      <c r="D5" s="43"/>
      <c r="E5" s="43"/>
      <c r="F5" s="43"/>
      <c r="G5" s="82"/>
      <c r="H5" s="43"/>
      <c r="I5" s="43"/>
      <c r="J5" s="43"/>
      <c r="K5" s="43"/>
      <c r="L5" s="43"/>
    </row>
    <row r="6" spans="1:12" ht="15.75">
      <c r="A6" s="83" t="s">
        <v>178</v>
      </c>
      <c r="B6" s="32"/>
      <c r="C6" s="80"/>
      <c r="D6" s="32"/>
      <c r="E6" s="32"/>
      <c r="F6" s="43"/>
      <c r="G6" s="759" t="s">
        <v>179</v>
      </c>
      <c r="H6" s="759"/>
      <c r="I6" s="759"/>
      <c r="J6" s="759"/>
      <c r="K6" s="759"/>
      <c r="L6" s="759"/>
    </row>
    <row r="7" spans="1:12" ht="15.75">
      <c r="A7" s="83"/>
      <c r="B7" s="32"/>
      <c r="C7" s="80"/>
      <c r="D7" s="32"/>
      <c r="E7" s="32"/>
      <c r="F7" s="43"/>
      <c r="G7" s="46"/>
      <c r="H7" s="46"/>
      <c r="I7" s="46"/>
      <c r="J7" s="46"/>
      <c r="K7" s="46"/>
      <c r="L7" s="46"/>
    </row>
    <row r="8" spans="1:12" ht="15.75">
      <c r="A8" s="83"/>
      <c r="B8" s="32"/>
      <c r="C8" s="80"/>
      <c r="D8" s="32"/>
      <c r="E8" s="32"/>
      <c r="F8" s="43"/>
      <c r="G8" s="46"/>
      <c r="H8" s="46"/>
      <c r="I8" s="46"/>
      <c r="J8" s="46"/>
      <c r="K8" s="46"/>
      <c r="L8" s="46"/>
    </row>
    <row r="9" spans="1:12" ht="15.75">
      <c r="A9" s="83"/>
      <c r="B9" s="32"/>
      <c r="C9" s="80"/>
      <c r="D9" s="32"/>
      <c r="E9" s="32"/>
      <c r="F9" s="43"/>
      <c r="G9" s="46"/>
      <c r="H9" s="46"/>
      <c r="I9" s="46"/>
      <c r="J9" s="46"/>
      <c r="K9" s="46"/>
      <c r="L9" s="46"/>
    </row>
    <row r="10" spans="1:12" ht="18.75" customHeight="1">
      <c r="A10" s="82"/>
      <c r="B10" s="43"/>
      <c r="C10" s="79"/>
      <c r="D10" s="43"/>
      <c r="E10" s="84"/>
      <c r="F10" s="84" t="s">
        <v>101</v>
      </c>
      <c r="G10" s="82"/>
      <c r="H10" s="43"/>
      <c r="I10" s="43"/>
      <c r="J10" s="43"/>
      <c r="K10" s="84"/>
      <c r="L10" s="84" t="s">
        <v>101</v>
      </c>
    </row>
    <row r="11" spans="1:16" ht="102">
      <c r="A11" s="85" t="s">
        <v>54</v>
      </c>
      <c r="B11" s="85" t="s">
        <v>102</v>
      </c>
      <c r="C11" s="86" t="s">
        <v>180</v>
      </c>
      <c r="D11" s="85" t="s">
        <v>103</v>
      </c>
      <c r="E11" s="85" t="s">
        <v>181</v>
      </c>
      <c r="F11" s="85" t="s">
        <v>58</v>
      </c>
      <c r="G11" s="87" t="s">
        <v>54</v>
      </c>
      <c r="H11" s="87" t="s">
        <v>102</v>
      </c>
      <c r="I11" s="87" t="s">
        <v>180</v>
      </c>
      <c r="J11" s="87" t="s">
        <v>103</v>
      </c>
      <c r="K11" s="87" t="s">
        <v>181</v>
      </c>
      <c r="L11" s="87" t="s">
        <v>58</v>
      </c>
      <c r="N11" s="87" t="s">
        <v>103</v>
      </c>
      <c r="P11" s="85" t="s">
        <v>182</v>
      </c>
    </row>
    <row r="12" spans="1:16" s="39" customFormat="1" ht="9.75" customHeight="1">
      <c r="A12" s="88">
        <v>1</v>
      </c>
      <c r="B12" s="89">
        <v>2</v>
      </c>
      <c r="C12" s="90">
        <v>3</v>
      </c>
      <c r="D12" s="91">
        <v>4</v>
      </c>
      <c r="E12" s="91">
        <v>5</v>
      </c>
      <c r="F12" s="89">
        <v>6</v>
      </c>
      <c r="G12" s="92">
        <v>1</v>
      </c>
      <c r="H12" s="93">
        <v>2</v>
      </c>
      <c r="I12" s="94">
        <v>3</v>
      </c>
      <c r="J12" s="94">
        <v>4</v>
      </c>
      <c r="K12" s="94">
        <v>5</v>
      </c>
      <c r="L12" s="93">
        <v>6</v>
      </c>
      <c r="P12" s="95" t="s">
        <v>183</v>
      </c>
    </row>
    <row r="13" spans="1:25" s="43" customFormat="1" ht="12.75" customHeight="1">
      <c r="A13" s="96" t="s">
        <v>184</v>
      </c>
      <c r="B13" s="97">
        <f>SUM(B14,B22,B35,B37)</f>
        <v>737531269</v>
      </c>
      <c r="C13" s="98">
        <v>0.9615</v>
      </c>
      <c r="D13" s="97">
        <f>D14+D22+D35+D37</f>
        <v>442685566.02000004</v>
      </c>
      <c r="E13" s="99">
        <f aca="true" t="shared" si="0" ref="E13:E23">IF(ISERROR(D13/B13)," ",(D13/B13))</f>
        <v>0.6002261661667935</v>
      </c>
      <c r="F13" s="97">
        <f>F14+F22+F35+F37</f>
        <v>0</v>
      </c>
      <c r="G13" s="100" t="s">
        <v>184</v>
      </c>
      <c r="H13" s="101">
        <f>SUM(H14,H22,H35,H37)</f>
        <v>737531</v>
      </c>
      <c r="I13" s="102">
        <f>C13</f>
        <v>0.9615</v>
      </c>
      <c r="J13" s="101">
        <f>J14+J22+J35+J37</f>
        <v>442689</v>
      </c>
      <c r="K13" s="103">
        <f>IF(ISERROR(J13/H13)," ",(J13/H13))*100</f>
        <v>60.023104113589795</v>
      </c>
      <c r="L13" s="101">
        <f>L14+L22+L35+L37</f>
        <v>53847</v>
      </c>
      <c r="N13" s="43">
        <v>440160</v>
      </c>
      <c r="P13" s="97">
        <v>388842</v>
      </c>
      <c r="R13" s="31">
        <f>N13-P13</f>
        <v>51318</v>
      </c>
      <c r="U13" s="104">
        <v>276137764.06</v>
      </c>
      <c r="W13" s="43">
        <v>231157322</v>
      </c>
      <c r="Y13" s="104">
        <f>U13-W13</f>
        <v>44980442.06</v>
      </c>
    </row>
    <row r="14" spans="1:25" s="43" customFormat="1" ht="15.75" customHeight="1">
      <c r="A14" s="105" t="s">
        <v>185</v>
      </c>
      <c r="B14" s="97">
        <f>SUM(B15,B17,B21)</f>
        <v>587500000</v>
      </c>
      <c r="C14" s="98">
        <v>0.9572</v>
      </c>
      <c r="D14" s="97">
        <f>SUM(D15,D17,D21)</f>
        <v>362152899.06000006</v>
      </c>
      <c r="E14" s="99">
        <f t="shared" si="0"/>
        <v>0.6164304664851065</v>
      </c>
      <c r="F14" s="97">
        <f>F15+F17+F21</f>
        <v>0</v>
      </c>
      <c r="G14" s="106" t="s">
        <v>185</v>
      </c>
      <c r="H14" s="6">
        <f>SUM(H15,H17,H21)</f>
        <v>587499</v>
      </c>
      <c r="I14" s="107">
        <f>C14</f>
        <v>0.9572</v>
      </c>
      <c r="J14" s="6">
        <f>SUM(J15,J17,J21)</f>
        <v>362154</v>
      </c>
      <c r="K14" s="103">
        <f aca="true" t="shared" si="1" ref="K14:K37">IF(ISERROR(J14/H14)," ",(J14/H14))*100</f>
        <v>61.643338967385475</v>
      </c>
      <c r="L14" s="6">
        <f>L15+L17+L21</f>
        <v>43981</v>
      </c>
      <c r="N14" s="43">
        <v>362153</v>
      </c>
      <c r="P14" s="97">
        <v>318173</v>
      </c>
      <c r="R14" s="31">
        <f aca="true" t="shared" si="2" ref="R14:R37">N14-P14</f>
        <v>43980</v>
      </c>
      <c r="S14" s="31"/>
      <c r="U14" s="43">
        <v>229454163</v>
      </c>
      <c r="W14" s="43">
        <v>181242696</v>
      </c>
      <c r="Y14" s="104">
        <f aca="true" t="shared" si="3" ref="Y14:Y37">U14-W14</f>
        <v>48211467</v>
      </c>
    </row>
    <row r="15" spans="1:25" s="43" customFormat="1" ht="12.75">
      <c r="A15" s="105" t="s">
        <v>186</v>
      </c>
      <c r="B15" s="97">
        <f>SUM(B16)</f>
        <v>95100000</v>
      </c>
      <c r="C15" s="108">
        <f>C16</f>
        <v>0.905</v>
      </c>
      <c r="D15" s="97">
        <f>SUM(D16)</f>
        <v>52989736.04</v>
      </c>
      <c r="E15" s="99">
        <f t="shared" si="0"/>
        <v>0.5572001686645636</v>
      </c>
      <c r="F15" s="97">
        <f>F16</f>
        <v>0</v>
      </c>
      <c r="G15" s="106" t="s">
        <v>186</v>
      </c>
      <c r="H15" s="6">
        <f>SUM(H16)</f>
        <v>95100</v>
      </c>
      <c r="I15" s="109">
        <f aca="true" t="shared" si="4" ref="I15:I30">C15</f>
        <v>0.905</v>
      </c>
      <c r="J15" s="6">
        <f>SUM(J16)</f>
        <v>52990</v>
      </c>
      <c r="K15" s="103">
        <f t="shared" si="1"/>
        <v>55.72029442691904</v>
      </c>
      <c r="L15" s="6">
        <f>L16</f>
        <v>3626</v>
      </c>
      <c r="N15" s="43">
        <v>52990</v>
      </c>
      <c r="P15" s="97">
        <v>49364</v>
      </c>
      <c r="R15" s="31">
        <f t="shared" si="2"/>
        <v>3626</v>
      </c>
      <c r="U15" s="43">
        <v>40758145</v>
      </c>
      <c r="W15" s="43">
        <v>29701128</v>
      </c>
      <c r="Y15" s="104">
        <f t="shared" si="3"/>
        <v>11057017</v>
      </c>
    </row>
    <row r="16" spans="1:25" s="2" customFormat="1" ht="12.75">
      <c r="A16" s="110" t="s">
        <v>187</v>
      </c>
      <c r="B16" s="111">
        <v>95100000</v>
      </c>
      <c r="C16" s="112">
        <v>0.905</v>
      </c>
      <c r="D16" s="111">
        <v>52989736.04</v>
      </c>
      <c r="E16" s="113">
        <f t="shared" si="0"/>
        <v>0.5572001686645636</v>
      </c>
      <c r="F16" s="111"/>
      <c r="G16" s="62" t="s">
        <v>187</v>
      </c>
      <c r="H16" s="114">
        <f>ROUND(B16/1000,0)</f>
        <v>95100</v>
      </c>
      <c r="I16" s="115">
        <f t="shared" si="4"/>
        <v>0.905</v>
      </c>
      <c r="J16" s="114">
        <f>ROUND(D16/1000,0)</f>
        <v>52990</v>
      </c>
      <c r="K16" s="103">
        <f t="shared" si="1"/>
        <v>55.72029442691904</v>
      </c>
      <c r="L16" s="114">
        <f>J16-'[3]Jūlijs'!J12</f>
        <v>3626</v>
      </c>
      <c r="N16" s="2">
        <v>52990</v>
      </c>
      <c r="P16" s="111">
        <v>49364</v>
      </c>
      <c r="R16" s="31">
        <f t="shared" si="2"/>
        <v>3626</v>
      </c>
      <c r="U16" s="2">
        <v>40758145</v>
      </c>
      <c r="W16" s="2">
        <v>29701128</v>
      </c>
      <c r="Y16" s="116">
        <f t="shared" si="3"/>
        <v>11057017</v>
      </c>
    </row>
    <row r="17" spans="1:25" s="43" customFormat="1" ht="12.75">
      <c r="A17" s="105" t="s">
        <v>188</v>
      </c>
      <c r="B17" s="97">
        <f>SUM(B18:B20)</f>
        <v>492400000</v>
      </c>
      <c r="C17" s="108">
        <f>(C18+C19+C20)/3</f>
        <v>0.9961666666666668</v>
      </c>
      <c r="D17" s="97">
        <f>SUM(D18:D20)</f>
        <v>306119994.44000006</v>
      </c>
      <c r="E17" s="99">
        <f t="shared" si="0"/>
        <v>0.6216896718927702</v>
      </c>
      <c r="F17" s="97">
        <f>F18+F19+F20</f>
        <v>0</v>
      </c>
      <c r="G17" s="106" t="s">
        <v>188</v>
      </c>
      <c r="H17" s="6">
        <f>SUM(H18:H20)</f>
        <v>492399</v>
      </c>
      <c r="I17" s="109">
        <f t="shared" si="4"/>
        <v>0.9961666666666668</v>
      </c>
      <c r="J17" s="6">
        <f>SUM(J18:J20)</f>
        <v>306121</v>
      </c>
      <c r="K17" s="103">
        <f t="shared" si="1"/>
        <v>62.169297663074055</v>
      </c>
      <c r="L17" s="6">
        <f>L18+L19+L20</f>
        <v>40545</v>
      </c>
      <c r="N17" s="43">
        <v>306120</v>
      </c>
      <c r="P17" s="97">
        <v>265576</v>
      </c>
      <c r="R17" s="31">
        <f t="shared" si="2"/>
        <v>40544</v>
      </c>
      <c r="U17" s="43">
        <v>186021570</v>
      </c>
      <c r="W17" s="43">
        <v>151541568</v>
      </c>
      <c r="Y17" s="104">
        <f t="shared" si="3"/>
        <v>34480002</v>
      </c>
    </row>
    <row r="18" spans="1:25" s="2" customFormat="1" ht="12.75">
      <c r="A18" s="110" t="s">
        <v>189</v>
      </c>
      <c r="B18" s="111">
        <v>346096000</v>
      </c>
      <c r="C18" s="112">
        <v>0.9883</v>
      </c>
      <c r="D18" s="111">
        <v>220156514.41</v>
      </c>
      <c r="E18" s="113">
        <f t="shared" si="0"/>
        <v>0.6361140100145625</v>
      </c>
      <c r="F18" s="111"/>
      <c r="G18" s="54" t="s">
        <v>189</v>
      </c>
      <c r="H18" s="114">
        <f>ROUND(B18/1000,0)-1</f>
        <v>346095</v>
      </c>
      <c r="I18" s="115">
        <f t="shared" si="4"/>
        <v>0.9883</v>
      </c>
      <c r="J18" s="114">
        <f>ROUND(D18/1000,0)</f>
        <v>220157</v>
      </c>
      <c r="K18" s="103">
        <f t="shared" si="1"/>
        <v>63.611725104378856</v>
      </c>
      <c r="L18" s="114">
        <f>J18-'[3]Jūlijs'!J14</f>
        <v>29286</v>
      </c>
      <c r="N18" s="2">
        <v>220156</v>
      </c>
      <c r="P18" s="111">
        <v>190871</v>
      </c>
      <c r="R18" s="31">
        <f t="shared" si="2"/>
        <v>29285</v>
      </c>
      <c r="U18" s="2">
        <v>134484914</v>
      </c>
      <c r="W18" s="2">
        <v>106978603</v>
      </c>
      <c r="Y18" s="116">
        <f t="shared" si="3"/>
        <v>27506311</v>
      </c>
    </row>
    <row r="19" spans="1:25" s="2" customFormat="1" ht="12.75">
      <c r="A19" s="110" t="s">
        <v>190</v>
      </c>
      <c r="B19" s="111">
        <v>133504000</v>
      </c>
      <c r="C19" s="112">
        <v>0.9111</v>
      </c>
      <c r="D19" s="117">
        <v>76431804.68</v>
      </c>
      <c r="E19" s="113">
        <f t="shared" si="0"/>
        <v>0.5725057277684564</v>
      </c>
      <c r="F19" s="111"/>
      <c r="G19" s="54" t="s">
        <v>190</v>
      </c>
      <c r="H19" s="114">
        <f>ROUND(B19/1000,0)</f>
        <v>133504</v>
      </c>
      <c r="I19" s="115">
        <f t="shared" si="4"/>
        <v>0.9111</v>
      </c>
      <c r="J19" s="114">
        <f>ROUND(D19/1000,0)</f>
        <v>76432</v>
      </c>
      <c r="K19" s="103">
        <f t="shared" si="1"/>
        <v>57.25071907957814</v>
      </c>
      <c r="L19" s="114">
        <f>J19-'[3]Jūlijs'!J15</f>
        <v>10013</v>
      </c>
      <c r="N19" s="2">
        <v>76432</v>
      </c>
      <c r="P19" s="117">
        <v>66419</v>
      </c>
      <c r="R19" s="31">
        <f t="shared" si="2"/>
        <v>10013</v>
      </c>
      <c r="U19" s="2">
        <v>45578744</v>
      </c>
      <c r="W19" s="2">
        <v>35731797</v>
      </c>
      <c r="Y19" s="116">
        <f t="shared" si="3"/>
        <v>9846947</v>
      </c>
    </row>
    <row r="20" spans="1:25" s="2" customFormat="1" ht="12.75">
      <c r="A20" s="118" t="s">
        <v>191</v>
      </c>
      <c r="B20" s="111">
        <v>12800000</v>
      </c>
      <c r="C20" s="112">
        <v>1.0891</v>
      </c>
      <c r="D20" s="117">
        <v>9531675.35</v>
      </c>
      <c r="E20" s="113">
        <f t="shared" si="0"/>
        <v>0.7446621367187499</v>
      </c>
      <c r="F20" s="111"/>
      <c r="G20" s="119" t="s">
        <v>191</v>
      </c>
      <c r="H20" s="114">
        <f>ROUND(B20/1000,0)</f>
        <v>12800</v>
      </c>
      <c r="I20" s="115">
        <f t="shared" si="4"/>
        <v>1.0891</v>
      </c>
      <c r="J20" s="114">
        <f>ROUND(D20/1000,0)</f>
        <v>9532</v>
      </c>
      <c r="K20" s="103">
        <f t="shared" si="1"/>
        <v>74.46875</v>
      </c>
      <c r="L20" s="114">
        <f>J20-'[3]Jūlijs'!J16</f>
        <v>1246</v>
      </c>
      <c r="N20" s="2">
        <v>9532</v>
      </c>
      <c r="P20" s="117">
        <v>8286</v>
      </c>
      <c r="R20" s="31">
        <f t="shared" si="2"/>
        <v>1246</v>
      </c>
      <c r="U20" s="2">
        <v>5957912</v>
      </c>
      <c r="W20" s="2">
        <v>4565264</v>
      </c>
      <c r="Y20" s="116">
        <f t="shared" si="3"/>
        <v>1392648</v>
      </c>
    </row>
    <row r="21" spans="1:25" s="43" customFormat="1" ht="15" customHeight="1">
      <c r="A21" s="120" t="s">
        <v>192</v>
      </c>
      <c r="B21" s="121"/>
      <c r="C21" s="122"/>
      <c r="D21" s="123">
        <v>3043168.58</v>
      </c>
      <c r="E21" s="124" t="str">
        <f t="shared" si="0"/>
        <v> </v>
      </c>
      <c r="F21" s="121"/>
      <c r="G21" s="70" t="s">
        <v>192</v>
      </c>
      <c r="H21" s="6"/>
      <c r="I21" s="125"/>
      <c r="J21" s="6">
        <f>ROUND(D21/1000,0)</f>
        <v>3043</v>
      </c>
      <c r="K21" s="103"/>
      <c r="L21" s="114">
        <f>J21-'[3]Jūlijs'!J17</f>
        <v>-190</v>
      </c>
      <c r="N21" s="43">
        <v>3043</v>
      </c>
      <c r="P21" s="123">
        <v>3233</v>
      </c>
      <c r="R21" s="31">
        <f t="shared" si="2"/>
        <v>-190</v>
      </c>
      <c r="U21" s="43">
        <v>2674448</v>
      </c>
      <c r="W21" s="43">
        <v>4265904</v>
      </c>
      <c r="Y21" s="104">
        <f t="shared" si="3"/>
        <v>-1591456</v>
      </c>
    </row>
    <row r="22" spans="1:25" s="43" customFormat="1" ht="12.75">
      <c r="A22" s="105" t="s">
        <v>193</v>
      </c>
      <c r="B22" s="97">
        <f>SUM(B23,B24,B25,B26,B27:B28,B29,B30,,B33)</f>
        <v>59128087</v>
      </c>
      <c r="C22" s="108">
        <v>1.0472</v>
      </c>
      <c r="D22" s="123">
        <f>SUM(D24,D25,D26,D27,D23,D28,D29,D30,D33,D34)</f>
        <v>42457723.589999996</v>
      </c>
      <c r="E22" s="99">
        <f t="shared" si="0"/>
        <v>0.718063542120008</v>
      </c>
      <c r="F22" s="97">
        <f>F23+F24+F25+F26+F27+F28+F29+F30+F33</f>
        <v>0</v>
      </c>
      <c r="G22" s="106" t="s">
        <v>193</v>
      </c>
      <c r="H22" s="6">
        <f>SUM(H23,H24,H25,H26,H27:H28,H29,H30,,H33)</f>
        <v>59129</v>
      </c>
      <c r="I22" s="126">
        <f>C22</f>
        <v>1.0472</v>
      </c>
      <c r="J22" s="6">
        <f>SUM(J23,J24,J25,J26,J27,J28,J29,J30,J33,J34)</f>
        <v>42460</v>
      </c>
      <c r="K22" s="103">
        <f t="shared" si="1"/>
        <v>71.80909536775525</v>
      </c>
      <c r="L22" s="6">
        <f>SUM(L23,L24,L25,L26,L27,L28,L29,L30,L33)</f>
        <v>4980</v>
      </c>
      <c r="N22" s="43">
        <v>42459</v>
      </c>
      <c r="P22" s="123">
        <v>37480</v>
      </c>
      <c r="R22" s="31">
        <f t="shared" si="2"/>
        <v>4979</v>
      </c>
      <c r="S22" s="31"/>
      <c r="U22" s="43">
        <v>24422097.060000002</v>
      </c>
      <c r="W22" s="43">
        <v>19583717</v>
      </c>
      <c r="Y22" s="104">
        <f t="shared" si="3"/>
        <v>4838380.060000002</v>
      </c>
    </row>
    <row r="23" spans="1:25" s="2" customFormat="1" ht="16.5" customHeight="1">
      <c r="A23" s="127" t="s">
        <v>194</v>
      </c>
      <c r="B23" s="111">
        <v>2000000</v>
      </c>
      <c r="C23" s="128">
        <v>1</v>
      </c>
      <c r="D23" s="117">
        <v>1683936.1</v>
      </c>
      <c r="E23" s="113">
        <f t="shared" si="0"/>
        <v>0.8419680500000001</v>
      </c>
      <c r="F23" s="111"/>
      <c r="G23" s="62" t="s">
        <v>194</v>
      </c>
      <c r="H23" s="114">
        <f aca="true" t="shared" si="5" ref="H23:H36">ROUND(B23/1000,0)</f>
        <v>2000</v>
      </c>
      <c r="I23" s="115">
        <f t="shared" si="4"/>
        <v>1</v>
      </c>
      <c r="J23" s="54">
        <f aca="true" t="shared" si="6" ref="J23:J29">ROUND(D23/1000,0)</f>
        <v>1684</v>
      </c>
      <c r="K23" s="103">
        <f t="shared" si="1"/>
        <v>84.2</v>
      </c>
      <c r="L23" s="114">
        <f>J23-'[3]Jūlijs'!J19</f>
        <v>91</v>
      </c>
      <c r="N23" s="2">
        <v>1684</v>
      </c>
      <c r="P23" s="117">
        <v>1593</v>
      </c>
      <c r="R23" s="31">
        <f t="shared" si="2"/>
        <v>91</v>
      </c>
      <c r="U23" s="2">
        <v>423682</v>
      </c>
      <c r="W23" s="2">
        <v>224955</v>
      </c>
      <c r="Y23" s="116">
        <f t="shared" si="3"/>
        <v>198727</v>
      </c>
    </row>
    <row r="24" spans="1:25" s="2" customFormat="1" ht="12" customHeight="1">
      <c r="A24" s="110" t="s">
        <v>195</v>
      </c>
      <c r="B24" s="111">
        <v>13290534</v>
      </c>
      <c r="C24" s="128">
        <v>0.9187</v>
      </c>
      <c r="D24" s="117">
        <v>8003435.78</v>
      </c>
      <c r="E24" s="113">
        <f>IF(ISERROR(D25/B24)," ",(D25/B24))</f>
        <v>0.8003290116108202</v>
      </c>
      <c r="F24" s="111"/>
      <c r="G24" s="54" t="s">
        <v>195</v>
      </c>
      <c r="H24" s="114">
        <f t="shared" si="5"/>
        <v>13291</v>
      </c>
      <c r="I24" s="115">
        <f t="shared" si="4"/>
        <v>0.9187</v>
      </c>
      <c r="J24" s="114">
        <f t="shared" si="6"/>
        <v>8003</v>
      </c>
      <c r="K24" s="103">
        <f t="shared" si="1"/>
        <v>60.21367842901212</v>
      </c>
      <c r="L24" s="114">
        <f>J24-'[3]Jūlijs'!J20</f>
        <v>699</v>
      </c>
      <c r="N24" s="2">
        <v>8003</v>
      </c>
      <c r="P24" s="117">
        <v>7304</v>
      </c>
      <c r="R24" s="31">
        <f t="shared" si="2"/>
        <v>699</v>
      </c>
      <c r="U24" s="2">
        <v>5026465</v>
      </c>
      <c r="W24" s="2">
        <v>4321229</v>
      </c>
      <c r="Y24" s="116">
        <f t="shared" si="3"/>
        <v>705236</v>
      </c>
    </row>
    <row r="25" spans="1:25" s="2" customFormat="1" ht="24" customHeight="1">
      <c r="A25" s="127" t="s">
        <v>196</v>
      </c>
      <c r="B25" s="111">
        <v>16082167</v>
      </c>
      <c r="C25" s="128">
        <v>1.0015</v>
      </c>
      <c r="D25" s="117">
        <v>10636799.94</v>
      </c>
      <c r="E25" s="113">
        <f>IF(ISERROR(D26/B25)," ",(D26/B25))</f>
        <v>0.030830652361712202</v>
      </c>
      <c r="F25" s="111"/>
      <c r="G25" s="62" t="s">
        <v>196</v>
      </c>
      <c r="H25" s="114">
        <f t="shared" si="5"/>
        <v>16082</v>
      </c>
      <c r="I25" s="115">
        <f t="shared" si="4"/>
        <v>1.0015</v>
      </c>
      <c r="J25" s="114">
        <f t="shared" si="6"/>
        <v>10637</v>
      </c>
      <c r="K25" s="103">
        <f t="shared" si="1"/>
        <v>66.14227086183311</v>
      </c>
      <c r="L25" s="114">
        <f>J25-'[3]Jūlijs'!J21</f>
        <v>1301</v>
      </c>
      <c r="N25" s="2">
        <v>10637</v>
      </c>
      <c r="P25" s="117">
        <v>9336</v>
      </c>
      <c r="R25" s="31">
        <f t="shared" si="2"/>
        <v>1301</v>
      </c>
      <c r="U25" s="2">
        <v>6046375</v>
      </c>
      <c r="W25" s="2">
        <v>5358767</v>
      </c>
      <c r="Y25" s="116">
        <f t="shared" si="3"/>
        <v>687608</v>
      </c>
    </row>
    <row r="26" spans="1:25" s="2" customFormat="1" ht="26.25" customHeight="1">
      <c r="A26" s="127" t="s">
        <v>197</v>
      </c>
      <c r="B26" s="111">
        <v>705500</v>
      </c>
      <c r="C26" s="128">
        <v>1.1198</v>
      </c>
      <c r="D26" s="117">
        <v>495823.7</v>
      </c>
      <c r="E26" s="113">
        <f>IF(ISERROR(D26/B26)," ",(D26/B26))</f>
        <v>0.7027975903614458</v>
      </c>
      <c r="F26" s="111"/>
      <c r="G26" s="62" t="s">
        <v>197</v>
      </c>
      <c r="H26" s="114">
        <f>ROUND(B26/1000,0)</f>
        <v>706</v>
      </c>
      <c r="I26" s="115">
        <f t="shared" si="4"/>
        <v>1.1198</v>
      </c>
      <c r="J26" s="114">
        <f t="shared" si="6"/>
        <v>496</v>
      </c>
      <c r="K26" s="103">
        <f t="shared" si="1"/>
        <v>70.25495750708215</v>
      </c>
      <c r="L26" s="114">
        <f>J26-'[3]Jūlijs'!J22</f>
        <v>43</v>
      </c>
      <c r="N26" s="2">
        <v>496</v>
      </c>
      <c r="P26" s="117">
        <v>453</v>
      </c>
      <c r="R26" s="31">
        <f t="shared" si="2"/>
        <v>43</v>
      </c>
      <c r="U26" s="2">
        <v>351857</v>
      </c>
      <c r="W26" s="2">
        <v>291928</v>
      </c>
      <c r="Y26" s="116">
        <f t="shared" si="3"/>
        <v>59929</v>
      </c>
    </row>
    <row r="27" spans="1:25" s="2" customFormat="1" ht="12" customHeight="1">
      <c r="A27" s="127" t="s">
        <v>198</v>
      </c>
      <c r="B27" s="111">
        <v>3165885</v>
      </c>
      <c r="C27" s="128">
        <v>1.3929</v>
      </c>
      <c r="D27" s="117">
        <v>3033558.55</v>
      </c>
      <c r="E27" s="113">
        <f>IF(ISERROR(D23/B27)," ",(D23/B27))</f>
        <v>0.5319005901983174</v>
      </c>
      <c r="F27" s="111"/>
      <c r="G27" s="62" t="s">
        <v>199</v>
      </c>
      <c r="H27" s="114">
        <f>ROUND(B27/1000,0)</f>
        <v>3166</v>
      </c>
      <c r="I27" s="115">
        <f>C27</f>
        <v>1.3929</v>
      </c>
      <c r="J27" s="114">
        <f t="shared" si="6"/>
        <v>3034</v>
      </c>
      <c r="K27" s="103">
        <f t="shared" si="1"/>
        <v>95.83070120025269</v>
      </c>
      <c r="L27" s="114">
        <f>J27-'[3]Jūlijs'!J23</f>
        <v>339</v>
      </c>
      <c r="N27" s="2">
        <v>3033</v>
      </c>
      <c r="P27" s="117">
        <v>2695</v>
      </c>
      <c r="R27" s="31">
        <f t="shared" si="2"/>
        <v>338</v>
      </c>
      <c r="U27" s="2">
        <v>1988493</v>
      </c>
      <c r="W27" s="2">
        <v>1698262</v>
      </c>
      <c r="Y27" s="116">
        <f t="shared" si="3"/>
        <v>290231</v>
      </c>
    </row>
    <row r="28" spans="1:25" s="2" customFormat="1" ht="12.75" customHeight="1">
      <c r="A28" s="127" t="s">
        <v>200</v>
      </c>
      <c r="B28" s="111">
        <v>600000</v>
      </c>
      <c r="C28" s="128">
        <v>0.6667</v>
      </c>
      <c r="D28" s="117">
        <v>239617.11</v>
      </c>
      <c r="E28" s="113">
        <f aca="true" t="shared" si="7" ref="E28:E37">IF(ISERROR(D28/B28)," ",(D28/B28))</f>
        <v>0.39936184999999996</v>
      </c>
      <c r="F28" s="111"/>
      <c r="G28" s="62" t="s">
        <v>201</v>
      </c>
      <c r="H28" s="114">
        <f t="shared" si="5"/>
        <v>600</v>
      </c>
      <c r="I28" s="115">
        <f t="shared" si="4"/>
        <v>0.6667</v>
      </c>
      <c r="J28" s="114">
        <f t="shared" si="6"/>
        <v>240</v>
      </c>
      <c r="K28" s="103">
        <f t="shared" si="1"/>
        <v>40</v>
      </c>
      <c r="L28" s="114">
        <f>J28-'[3]Jūlijs'!J24</f>
        <v>28</v>
      </c>
      <c r="N28" s="2">
        <v>240</v>
      </c>
      <c r="P28" s="117">
        <v>212</v>
      </c>
      <c r="R28" s="31">
        <f t="shared" si="2"/>
        <v>28</v>
      </c>
      <c r="U28" s="2">
        <v>167948</v>
      </c>
      <c r="W28" s="2">
        <v>139992</v>
      </c>
      <c r="Y28" s="116">
        <f t="shared" si="3"/>
        <v>27956</v>
      </c>
    </row>
    <row r="29" spans="1:25" s="2" customFormat="1" ht="12.75">
      <c r="A29" s="110" t="s">
        <v>202</v>
      </c>
      <c r="B29" s="111">
        <v>8064000</v>
      </c>
      <c r="C29" s="128">
        <v>1.0782</v>
      </c>
      <c r="D29" s="117">
        <v>6175917.47</v>
      </c>
      <c r="E29" s="113">
        <f t="shared" si="7"/>
        <v>0.7658627814980158</v>
      </c>
      <c r="F29" s="111"/>
      <c r="G29" s="54" t="s">
        <v>202</v>
      </c>
      <c r="H29" s="114">
        <f t="shared" si="5"/>
        <v>8064</v>
      </c>
      <c r="I29" s="115">
        <f t="shared" si="4"/>
        <v>1.0782</v>
      </c>
      <c r="J29" s="114">
        <f t="shared" si="6"/>
        <v>6176</v>
      </c>
      <c r="K29" s="103">
        <f t="shared" si="1"/>
        <v>76.5873015873016</v>
      </c>
      <c r="L29" s="114">
        <f>J29-'[3]Jūlijs'!J25</f>
        <v>1070</v>
      </c>
      <c r="N29" s="2">
        <v>6176</v>
      </c>
      <c r="P29" s="117">
        <v>5106</v>
      </c>
      <c r="R29" s="31">
        <f t="shared" si="2"/>
        <v>1070</v>
      </c>
      <c r="U29" s="2">
        <v>3625379</v>
      </c>
      <c r="W29" s="2">
        <v>2701683</v>
      </c>
      <c r="Y29" s="116">
        <f t="shared" si="3"/>
        <v>923696</v>
      </c>
    </row>
    <row r="30" spans="1:25" s="2" customFormat="1" ht="12.75">
      <c r="A30" s="110" t="s">
        <v>203</v>
      </c>
      <c r="B30" s="111">
        <v>14992001</v>
      </c>
      <c r="C30" s="128">
        <v>1.1545</v>
      </c>
      <c r="D30" s="117">
        <v>12188634.94</v>
      </c>
      <c r="E30" s="113">
        <f t="shared" si="7"/>
        <v>0.813009213379855</v>
      </c>
      <c r="F30" s="111"/>
      <c r="G30" s="54" t="s">
        <v>203</v>
      </c>
      <c r="H30" s="114">
        <f t="shared" si="5"/>
        <v>14992</v>
      </c>
      <c r="I30" s="115">
        <f t="shared" si="4"/>
        <v>1.1545</v>
      </c>
      <c r="J30" s="114">
        <f>ROUND(D30/1000,0)+1</f>
        <v>12190</v>
      </c>
      <c r="K30" s="103">
        <f t="shared" si="1"/>
        <v>81.31003201707577</v>
      </c>
      <c r="L30" s="114">
        <f>J30-'[3]Jūlijs'!J26-1</f>
        <v>1409</v>
      </c>
      <c r="N30" s="2">
        <v>12188</v>
      </c>
      <c r="P30" s="117">
        <v>10780</v>
      </c>
      <c r="R30" s="31">
        <f t="shared" si="2"/>
        <v>1408</v>
      </c>
      <c r="U30" s="2">
        <v>6791598.37</v>
      </c>
      <c r="W30" s="2">
        <v>4620450</v>
      </c>
      <c r="Y30" s="116">
        <f t="shared" si="3"/>
        <v>2171148.37</v>
      </c>
    </row>
    <row r="31" spans="1:25" s="2" customFormat="1" ht="39.75" customHeight="1">
      <c r="A31" s="129" t="s">
        <v>204</v>
      </c>
      <c r="B31" s="130">
        <v>1201200</v>
      </c>
      <c r="C31" s="128">
        <v>1</v>
      </c>
      <c r="D31" s="117">
        <v>800800</v>
      </c>
      <c r="E31" s="131">
        <f t="shared" si="7"/>
        <v>0.6666666666666666</v>
      </c>
      <c r="F31" s="111"/>
      <c r="G31" s="132" t="s">
        <v>205</v>
      </c>
      <c r="H31" s="133">
        <f t="shared" si="5"/>
        <v>1201</v>
      </c>
      <c r="I31" s="134">
        <f>C31</f>
        <v>1</v>
      </c>
      <c r="J31" s="114">
        <f>ROUND(D31/1000,0)</f>
        <v>801</v>
      </c>
      <c r="K31" s="103">
        <f t="shared" si="1"/>
        <v>66.69442131557037</v>
      </c>
      <c r="L31" s="114">
        <f>J31-'[3]Jūlijs'!J27</f>
        <v>100</v>
      </c>
      <c r="N31" s="2">
        <v>801</v>
      </c>
      <c r="P31" s="117">
        <v>701</v>
      </c>
      <c r="R31" s="31">
        <f t="shared" si="2"/>
        <v>100</v>
      </c>
      <c r="U31" s="2">
        <v>500500</v>
      </c>
      <c r="W31" s="2">
        <v>400400</v>
      </c>
      <c r="Y31" s="104">
        <f t="shared" si="3"/>
        <v>100100</v>
      </c>
    </row>
    <row r="32" spans="1:25" s="2" customFormat="1" ht="12.75" customHeight="1">
      <c r="A32" s="135" t="s">
        <v>206</v>
      </c>
      <c r="B32" s="130">
        <f>B30-B31</f>
        <v>13790801</v>
      </c>
      <c r="C32" s="136"/>
      <c r="D32" s="130">
        <f>D30-D31</f>
        <v>11387834.94</v>
      </c>
      <c r="E32" s="131">
        <f t="shared" si="7"/>
        <v>0.8257558745137429</v>
      </c>
      <c r="F32" s="111"/>
      <c r="G32" s="132" t="s">
        <v>206</v>
      </c>
      <c r="H32" s="133">
        <f t="shared" si="5"/>
        <v>13791</v>
      </c>
      <c r="I32" s="134"/>
      <c r="J32" s="114">
        <f>ROUND(D32/1000,0)</f>
        <v>11388</v>
      </c>
      <c r="K32" s="103">
        <f t="shared" si="1"/>
        <v>82.57559277789863</v>
      </c>
      <c r="L32" s="114">
        <f>J32-'[3]Jūlijs'!J28</f>
        <v>1308</v>
      </c>
      <c r="N32" s="2">
        <v>11388</v>
      </c>
      <c r="P32" s="130">
        <v>10080</v>
      </c>
      <c r="R32" s="31">
        <f t="shared" si="2"/>
        <v>1308</v>
      </c>
      <c r="U32" s="2">
        <v>6291098.37</v>
      </c>
      <c r="W32" s="2">
        <v>4220050</v>
      </c>
      <c r="Y32" s="104">
        <f t="shared" si="3"/>
        <v>2071048.37</v>
      </c>
    </row>
    <row r="33" spans="1:25" s="2" customFormat="1" ht="15.75" customHeight="1">
      <c r="A33" s="127" t="s">
        <v>207</v>
      </c>
      <c r="B33" s="111">
        <f>B34</f>
        <v>228000</v>
      </c>
      <c r="C33" s="128">
        <v>0.0044</v>
      </c>
      <c r="D33" s="117">
        <v>0</v>
      </c>
      <c r="E33" s="131">
        <f t="shared" si="7"/>
        <v>0</v>
      </c>
      <c r="F33" s="111"/>
      <c r="G33" s="62" t="s">
        <v>207</v>
      </c>
      <c r="H33" s="133">
        <f t="shared" si="5"/>
        <v>228</v>
      </c>
      <c r="I33" s="115"/>
      <c r="J33" s="114"/>
      <c r="K33" s="103"/>
      <c r="L33" s="114"/>
      <c r="N33" s="2">
        <v>2</v>
      </c>
      <c r="P33" s="117">
        <v>1</v>
      </c>
      <c r="R33" s="31">
        <f t="shared" si="2"/>
        <v>1</v>
      </c>
      <c r="U33" s="2">
        <v>299.69</v>
      </c>
      <c r="W33" s="2">
        <v>226451</v>
      </c>
      <c r="Y33" s="116">
        <f t="shared" si="3"/>
        <v>-226151.31</v>
      </c>
    </row>
    <row r="34" spans="1:25" s="2" customFormat="1" ht="409.5">
      <c r="A34" s="137" t="s">
        <v>208</v>
      </c>
      <c r="B34" s="111">
        <v>228000</v>
      </c>
      <c r="C34" s="136">
        <v>0</v>
      </c>
      <c r="D34" s="111"/>
      <c r="E34" s="113">
        <f>IF(ISERROR(D34/B34)," ",(D34/B34))</f>
        <v>0</v>
      </c>
      <c r="F34" s="111">
        <f>D34-'[3]Janvāris'!F29</f>
        <v>0</v>
      </c>
      <c r="G34" s="132" t="s">
        <v>208</v>
      </c>
      <c r="H34" s="133">
        <f t="shared" si="5"/>
        <v>228</v>
      </c>
      <c r="I34" s="138"/>
      <c r="J34" s="114"/>
      <c r="K34" s="103"/>
      <c r="L34" s="114"/>
      <c r="P34" s="111"/>
      <c r="R34" s="31">
        <f t="shared" si="2"/>
        <v>0</v>
      </c>
      <c r="Y34" s="104">
        <f t="shared" si="3"/>
        <v>0</v>
      </c>
    </row>
    <row r="35" spans="1:25" s="43" customFormat="1" ht="204">
      <c r="A35" s="139" t="s">
        <v>209</v>
      </c>
      <c r="B35" s="97">
        <f>SUM(B36)</f>
        <v>59260125</v>
      </c>
      <c r="C35" s="140">
        <v>0.9466</v>
      </c>
      <c r="D35" s="97">
        <f>SUM(D36)</f>
        <v>35548245.37</v>
      </c>
      <c r="E35" s="99">
        <f t="shared" si="7"/>
        <v>0.5998678769239855</v>
      </c>
      <c r="F35" s="97">
        <f>F36</f>
        <v>0</v>
      </c>
      <c r="G35" s="141" t="s">
        <v>209</v>
      </c>
      <c r="H35" s="142">
        <f t="shared" si="5"/>
        <v>59260</v>
      </c>
      <c r="I35" s="143">
        <f>I36</f>
        <v>0.9893</v>
      </c>
      <c r="J35" s="142">
        <f>ROUND(D35/1000,0)</f>
        <v>35548</v>
      </c>
      <c r="K35" s="103">
        <f t="shared" si="1"/>
        <v>59.986500168747895</v>
      </c>
      <c r="L35" s="114">
        <f>J35-'[3]Jūlijs'!J31</f>
        <v>4578</v>
      </c>
      <c r="N35" s="43">
        <v>35548</v>
      </c>
      <c r="P35" s="97">
        <v>30970</v>
      </c>
      <c r="R35" s="31">
        <f t="shared" si="2"/>
        <v>4578</v>
      </c>
      <c r="U35" s="43">
        <v>22261504</v>
      </c>
      <c r="W35" s="43">
        <v>17785847</v>
      </c>
      <c r="Y35" s="104">
        <f t="shared" si="3"/>
        <v>4475657</v>
      </c>
    </row>
    <row r="36" spans="1:25" s="2" customFormat="1" ht="409.5">
      <c r="A36" s="127" t="s">
        <v>210</v>
      </c>
      <c r="B36" s="111">
        <v>59260125</v>
      </c>
      <c r="C36" s="128">
        <v>0.9893</v>
      </c>
      <c r="D36" s="111">
        <v>35548245.37</v>
      </c>
      <c r="E36" s="113">
        <f t="shared" si="7"/>
        <v>0.5998678769239855</v>
      </c>
      <c r="F36" s="111"/>
      <c r="G36" s="62" t="s">
        <v>210</v>
      </c>
      <c r="H36" s="133">
        <f t="shared" si="5"/>
        <v>59260</v>
      </c>
      <c r="I36" s="144">
        <f>C36</f>
        <v>0.9893</v>
      </c>
      <c r="J36" s="133">
        <f>ROUND(D36/1000,0)</f>
        <v>35548</v>
      </c>
      <c r="K36" s="103">
        <f t="shared" si="1"/>
        <v>59.986500168747895</v>
      </c>
      <c r="L36" s="114">
        <f>J36-'[3]Jūlijs'!J32</f>
        <v>4578</v>
      </c>
      <c r="N36" s="2">
        <v>35548</v>
      </c>
      <c r="P36" s="111">
        <v>30970</v>
      </c>
      <c r="R36" s="31">
        <f t="shared" si="2"/>
        <v>4578</v>
      </c>
      <c r="U36" s="2">
        <v>22261504</v>
      </c>
      <c r="W36" s="2">
        <v>17785847</v>
      </c>
      <c r="Y36" s="116">
        <f t="shared" si="3"/>
        <v>4475657</v>
      </c>
    </row>
    <row r="37" spans="1:25" s="43" customFormat="1" ht="357">
      <c r="A37" s="139" t="s">
        <v>211</v>
      </c>
      <c r="B37" s="97">
        <v>31643057</v>
      </c>
      <c r="C37" s="128">
        <v>0.9095</v>
      </c>
      <c r="D37" s="123">
        <v>2526698</v>
      </c>
      <c r="E37" s="124">
        <f t="shared" si="7"/>
        <v>0.07984999679392545</v>
      </c>
      <c r="F37" s="121"/>
      <c r="G37" s="141" t="s">
        <v>212</v>
      </c>
      <c r="H37" s="142">
        <f>ROUND(B37/1000,0)</f>
        <v>31643</v>
      </c>
      <c r="I37" s="143">
        <f>C37</f>
        <v>0.9095</v>
      </c>
      <c r="J37" s="142">
        <f>ROUND(D37/1000,0)</f>
        <v>2527</v>
      </c>
      <c r="K37" s="103">
        <f t="shared" si="1"/>
        <v>7.985968460639004</v>
      </c>
      <c r="L37" s="114">
        <f>J37-'[3]Jūlijs'!J33</f>
        <v>308</v>
      </c>
      <c r="N37" s="43">
        <v>0</v>
      </c>
      <c r="P37" s="123">
        <v>2219</v>
      </c>
      <c r="R37" s="31">
        <f t="shared" si="2"/>
        <v>-2219</v>
      </c>
      <c r="W37" s="43">
        <v>12545062</v>
      </c>
      <c r="Y37" s="104">
        <f t="shared" si="3"/>
        <v>-12545062</v>
      </c>
    </row>
    <row r="38" spans="1:19" s="43" customFormat="1" ht="12.75">
      <c r="A38" s="139"/>
      <c r="B38" s="145"/>
      <c r="C38" s="146"/>
      <c r="D38" s="147"/>
      <c r="E38" s="148"/>
      <c r="F38" s="147"/>
      <c r="G38" s="139"/>
      <c r="H38" s="145"/>
      <c r="I38" s="149"/>
      <c r="J38" s="147"/>
      <c r="K38" s="148"/>
      <c r="L38" s="147"/>
      <c r="N38" s="147"/>
      <c r="P38" s="147"/>
      <c r="S38" s="31"/>
    </row>
    <row r="39" spans="1:14" s="43" customFormat="1" ht="12.75">
      <c r="A39" s="150" t="s">
        <v>213</v>
      </c>
      <c r="B39" s="151"/>
      <c r="C39" s="152"/>
      <c r="D39" s="147"/>
      <c r="E39" s="148"/>
      <c r="G39" s="153" t="s">
        <v>214</v>
      </c>
      <c r="H39" s="154"/>
      <c r="I39" s="149"/>
      <c r="J39" s="147"/>
      <c r="K39" s="148"/>
      <c r="N39" s="147"/>
    </row>
    <row r="40" spans="1:11" s="43" customFormat="1" ht="12.75">
      <c r="A40" s="150" t="s">
        <v>215</v>
      </c>
      <c r="B40" s="151"/>
      <c r="C40" s="152"/>
      <c r="D40" s="147"/>
      <c r="E40" s="148"/>
      <c r="G40" s="153" t="s">
        <v>216</v>
      </c>
      <c r="H40" s="154"/>
      <c r="I40" s="149"/>
      <c r="J40" s="147"/>
      <c r="K40" s="148"/>
    </row>
    <row r="41" spans="1:11" s="43" customFormat="1" ht="12.75">
      <c r="A41" s="153"/>
      <c r="B41" s="155"/>
      <c r="C41" s="156"/>
      <c r="D41" s="157"/>
      <c r="E41" s="157"/>
      <c r="G41" s="153"/>
      <c r="H41" s="158"/>
      <c r="I41" s="34"/>
      <c r="J41" s="157"/>
      <c r="K41" s="157"/>
    </row>
    <row r="42" spans="1:11" s="43" customFormat="1" ht="12.75">
      <c r="A42" s="159"/>
      <c r="B42" s="160"/>
      <c r="C42" s="161"/>
      <c r="D42" s="162"/>
      <c r="E42" s="163"/>
      <c r="G42" s="159"/>
      <c r="H42" s="162"/>
      <c r="I42" s="162"/>
      <c r="J42" s="162"/>
      <c r="K42" s="163"/>
    </row>
    <row r="43" spans="1:11" s="43" customFormat="1" ht="12.75">
      <c r="A43" s="150"/>
      <c r="B43" s="40"/>
      <c r="C43" s="164"/>
      <c r="D43" s="30"/>
      <c r="E43" s="163"/>
      <c r="K43" s="163"/>
    </row>
    <row r="44" spans="1:3" s="43" customFormat="1" ht="12.75">
      <c r="A44" s="162"/>
      <c r="C44" s="79"/>
    </row>
    <row r="45" spans="1:7" s="43" customFormat="1" ht="12.75">
      <c r="A45" s="162"/>
      <c r="C45" s="79"/>
      <c r="G45" s="43" t="s">
        <v>217</v>
      </c>
    </row>
    <row r="46" spans="1:10" s="43" customFormat="1" ht="12.75">
      <c r="A46" s="43" t="s">
        <v>218</v>
      </c>
      <c r="B46" s="29"/>
      <c r="C46" s="79"/>
      <c r="D46" s="30"/>
      <c r="H46" s="29"/>
      <c r="I46" s="79"/>
      <c r="J46" s="30"/>
    </row>
    <row r="47" spans="1:3" s="43" customFormat="1" ht="12.75">
      <c r="A47" s="162"/>
      <c r="C47" s="79"/>
    </row>
    <row r="48" s="43" customFormat="1" ht="12.75">
      <c r="C48" s="79"/>
    </row>
    <row r="49" spans="1:3" s="43" customFormat="1" ht="12.75">
      <c r="A49" s="43" t="s">
        <v>174</v>
      </c>
      <c r="C49" s="79"/>
    </row>
    <row r="50" spans="1:3" s="43" customFormat="1" ht="12.75">
      <c r="A50" s="43" t="s">
        <v>219</v>
      </c>
      <c r="C50" s="79"/>
    </row>
    <row r="51" spans="1:6" s="43" customFormat="1" ht="12.75">
      <c r="A51" s="162"/>
      <c r="B51" s="162"/>
      <c r="C51" s="165"/>
      <c r="D51" s="162"/>
      <c r="E51" s="162"/>
      <c r="F51" s="162"/>
    </row>
    <row r="52" spans="1:12" s="43" customFormat="1" ht="12.75">
      <c r="A52" s="162"/>
      <c r="B52" s="162"/>
      <c r="C52" s="162"/>
      <c r="D52" s="162"/>
      <c r="E52" s="162"/>
      <c r="F52" s="162"/>
      <c r="G52" s="2" t="s">
        <v>174</v>
      </c>
      <c r="H52" s="162"/>
      <c r="I52" s="162"/>
      <c r="J52" s="162"/>
      <c r="K52" s="162"/>
      <c r="L52" s="162"/>
    </row>
    <row r="53" spans="1:12" s="43" customFormat="1" ht="12.75">
      <c r="A53" s="162"/>
      <c r="B53" s="162"/>
      <c r="C53" s="162"/>
      <c r="D53" s="162"/>
      <c r="E53" s="166"/>
      <c r="F53" s="162"/>
      <c r="G53" s="2" t="s">
        <v>220</v>
      </c>
      <c r="H53" s="162"/>
      <c r="I53" s="162"/>
      <c r="J53" s="162"/>
      <c r="K53" s="162"/>
      <c r="L53" s="162"/>
    </row>
  </sheetData>
  <mergeCells count="1">
    <mergeCell ref="G6:L6"/>
  </mergeCells>
  <printOptions/>
  <pageMargins left="0.75" right="0.19" top="0.26" bottom="0.16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Z119"/>
  <sheetViews>
    <sheetView workbookViewId="0" topLeftCell="H96">
      <selection activeCell="H99" sqref="H99"/>
    </sheetView>
  </sheetViews>
  <sheetFormatPr defaultColWidth="9.140625" defaultRowHeight="12.75"/>
  <cols>
    <col min="1" max="1" width="29.57421875" style="43" hidden="1" customWidth="1"/>
    <col min="2" max="2" width="11.8515625" style="43" hidden="1" customWidth="1"/>
    <col min="3" max="3" width="12.421875" style="43" hidden="1" customWidth="1"/>
    <col min="4" max="4" width="11.140625" style="43" hidden="1" customWidth="1"/>
    <col min="5" max="5" width="7.421875" style="43" hidden="1" customWidth="1"/>
    <col min="6" max="6" width="8.140625" style="43" hidden="1" customWidth="1"/>
    <col min="7" max="7" width="0.42578125" style="43" hidden="1" customWidth="1"/>
    <col min="8" max="8" width="30.8515625" style="43" customWidth="1"/>
    <col min="9" max="9" width="10.28125" style="43" customWidth="1"/>
    <col min="10" max="10" width="13.00390625" style="43" customWidth="1"/>
    <col min="11" max="11" width="9.7109375" style="43" customWidth="1"/>
    <col min="12" max="12" width="8.140625" style="43" customWidth="1"/>
    <col min="13" max="13" width="8.7109375" style="43" customWidth="1"/>
    <col min="14" max="14" width="8.421875" style="43" customWidth="1"/>
    <col min="15" max="15" width="25.421875" style="43" hidden="1" customWidth="1"/>
    <col min="16" max="16" width="9.57421875" style="43" hidden="1" customWidth="1"/>
    <col min="17" max="17" width="17.8515625" style="43" hidden="1" customWidth="1"/>
    <col min="18" max="21" width="11.421875" style="43" hidden="1" customWidth="1"/>
    <col min="22" max="16384" width="11.421875" style="43" customWidth="1"/>
  </cols>
  <sheetData>
    <row r="1" spans="1:14" ht="17.25" customHeight="1">
      <c r="A1" s="32" t="s">
        <v>221</v>
      </c>
      <c r="B1" s="32"/>
      <c r="C1" s="32"/>
      <c r="D1" s="32"/>
      <c r="E1" s="32"/>
      <c r="F1" s="32"/>
      <c r="G1" s="43" t="s">
        <v>222</v>
      </c>
      <c r="H1" s="32" t="s">
        <v>221</v>
      </c>
      <c r="I1" s="32"/>
      <c r="J1" s="32"/>
      <c r="K1" s="32"/>
      <c r="L1" s="32"/>
      <c r="M1" s="32"/>
      <c r="N1" s="43" t="s">
        <v>222</v>
      </c>
    </row>
    <row r="2" spans="1:13" ht="20.25" customHeight="1">
      <c r="A2" s="32"/>
      <c r="B2" s="32"/>
      <c r="C2" s="32"/>
      <c r="D2" s="32"/>
      <c r="E2" s="32"/>
      <c r="F2" s="32"/>
      <c r="H2" s="32"/>
      <c r="I2" s="32"/>
      <c r="J2" s="32"/>
      <c r="K2" s="32"/>
      <c r="L2" s="32"/>
      <c r="M2" s="32"/>
    </row>
    <row r="3" spans="1:13" ht="18.75" customHeight="1">
      <c r="A3" s="83" t="s">
        <v>223</v>
      </c>
      <c r="B3" s="32"/>
      <c r="C3" s="32"/>
      <c r="D3" s="32"/>
      <c r="E3" s="32"/>
      <c r="F3" s="32"/>
      <c r="H3" s="167" t="s">
        <v>224</v>
      </c>
      <c r="I3" s="81"/>
      <c r="J3" s="81"/>
      <c r="K3" s="81"/>
      <c r="L3" s="81"/>
      <c r="M3" s="81"/>
    </row>
    <row r="4" spans="1:13" ht="19.5" customHeight="1">
      <c r="A4" s="498" t="s">
        <v>225</v>
      </c>
      <c r="B4" s="498"/>
      <c r="C4" s="498"/>
      <c r="D4" s="498"/>
      <c r="E4" s="498"/>
      <c r="F4" s="498"/>
      <c r="G4" s="75"/>
      <c r="H4" s="498" t="s">
        <v>225</v>
      </c>
      <c r="I4" s="498"/>
      <c r="J4" s="498"/>
      <c r="K4" s="498"/>
      <c r="L4" s="498"/>
      <c r="M4" s="498"/>
    </row>
    <row r="5" spans="1:13" ht="19.5" customHeight="1">
      <c r="A5" s="760" t="s">
        <v>226</v>
      </c>
      <c r="B5" s="760"/>
      <c r="C5" s="760"/>
      <c r="D5" s="760"/>
      <c r="E5" s="760"/>
      <c r="F5" s="760"/>
      <c r="G5" s="75"/>
      <c r="H5" s="760" t="s">
        <v>226</v>
      </c>
      <c r="I5" s="760"/>
      <c r="J5" s="760"/>
      <c r="K5" s="760"/>
      <c r="L5" s="760"/>
      <c r="M5" s="760"/>
    </row>
    <row r="6" spans="1:13" ht="19.5" customHeight="1">
      <c r="A6" s="168"/>
      <c r="B6" s="168"/>
      <c r="C6" s="168"/>
      <c r="D6" s="168"/>
      <c r="E6" s="168"/>
      <c r="F6" s="168"/>
      <c r="G6" s="75"/>
      <c r="H6" s="168"/>
      <c r="I6" s="168"/>
      <c r="J6" s="168"/>
      <c r="K6" s="168"/>
      <c r="L6" s="168"/>
      <c r="M6" s="168"/>
    </row>
    <row r="7" spans="7:14" ht="15" customHeight="1">
      <c r="G7" s="43" t="s">
        <v>227</v>
      </c>
      <c r="H7" s="760"/>
      <c r="I7" s="760"/>
      <c r="J7" s="760"/>
      <c r="K7" s="760"/>
      <c r="L7" s="760"/>
      <c r="M7" s="760"/>
      <c r="N7" s="39" t="s">
        <v>101</v>
      </c>
    </row>
    <row r="8" spans="1:19" ht="87.75" customHeight="1">
      <c r="A8" s="87" t="s">
        <v>54</v>
      </c>
      <c r="B8" s="87" t="s">
        <v>102</v>
      </c>
      <c r="C8" s="87" t="s">
        <v>228</v>
      </c>
      <c r="D8" s="87" t="s">
        <v>103</v>
      </c>
      <c r="E8" s="87" t="s">
        <v>229</v>
      </c>
      <c r="F8" s="87" t="s">
        <v>230</v>
      </c>
      <c r="G8" s="87" t="s">
        <v>58</v>
      </c>
      <c r="H8" s="169" t="s">
        <v>54</v>
      </c>
      <c r="I8" s="169" t="s">
        <v>102</v>
      </c>
      <c r="J8" s="169" t="s">
        <v>228</v>
      </c>
      <c r="K8" s="169" t="s">
        <v>103</v>
      </c>
      <c r="L8" s="169" t="s">
        <v>229</v>
      </c>
      <c r="M8" s="169" t="s">
        <v>231</v>
      </c>
      <c r="N8" s="87" t="s">
        <v>58</v>
      </c>
      <c r="O8" s="87" t="str">
        <f>H8</f>
        <v>Rādītāji</v>
      </c>
      <c r="P8" s="87" t="str">
        <f>K8</f>
        <v>Izpilde no gada sākuma</v>
      </c>
      <c r="Q8" s="87" t="str">
        <f>'[4]februāris'!K8</f>
        <v>Izpilde no gada sākuma</v>
      </c>
      <c r="R8" s="87" t="s">
        <v>232</v>
      </c>
      <c r="S8" s="85"/>
    </row>
    <row r="9" spans="1:18" ht="10.5" customHeight="1">
      <c r="A9" s="87">
        <v>1</v>
      </c>
      <c r="B9" s="87">
        <v>2</v>
      </c>
      <c r="C9" s="87">
        <v>3</v>
      </c>
      <c r="D9" s="87">
        <v>4</v>
      </c>
      <c r="E9" s="87">
        <v>5</v>
      </c>
      <c r="F9" s="87">
        <v>6</v>
      </c>
      <c r="G9" s="93">
        <v>7</v>
      </c>
      <c r="H9" s="87">
        <v>1</v>
      </c>
      <c r="I9" s="87">
        <v>2</v>
      </c>
      <c r="J9" s="87">
        <v>3</v>
      </c>
      <c r="K9" s="87">
        <v>4</v>
      </c>
      <c r="L9" s="87">
        <v>5</v>
      </c>
      <c r="M9" s="87">
        <v>6</v>
      </c>
      <c r="N9" s="93">
        <v>7</v>
      </c>
      <c r="O9" s="87">
        <f aca="true" t="shared" si="0" ref="O9:O72">H9</f>
        <v>1</v>
      </c>
      <c r="P9" s="87">
        <f aca="true" t="shared" si="1" ref="P9:P72">K9</f>
        <v>4</v>
      </c>
      <c r="Q9" s="87">
        <f>'[4]februāris'!K9</f>
        <v>4</v>
      </c>
      <c r="R9" s="54"/>
    </row>
    <row r="10" spans="1:18" ht="10.5" customHeight="1">
      <c r="A10" s="87"/>
      <c r="B10" s="87"/>
      <c r="C10" s="87"/>
      <c r="D10" s="87"/>
      <c r="E10" s="87"/>
      <c r="F10" s="87"/>
      <c r="G10" s="93"/>
      <c r="H10" s="87"/>
      <c r="I10" s="87"/>
      <c r="J10" s="87"/>
      <c r="K10" s="87"/>
      <c r="L10" s="87"/>
      <c r="M10" s="87"/>
      <c r="N10" s="93"/>
      <c r="O10" s="87"/>
      <c r="P10" s="87"/>
      <c r="Q10" s="87"/>
      <c r="R10" s="54"/>
    </row>
    <row r="11" spans="1:104" s="175" customFormat="1" ht="12.75" customHeight="1">
      <c r="A11" s="170" t="s">
        <v>233</v>
      </c>
      <c r="B11" s="171">
        <f>SUM(B12:B13)</f>
        <v>759846889</v>
      </c>
      <c r="C11" s="171">
        <f>SUM(C12:C13)</f>
        <v>516978473</v>
      </c>
      <c r="D11" s="171">
        <f>SUM(D12:D13)</f>
        <v>471455755</v>
      </c>
      <c r="E11" s="172">
        <f>IF(ISERROR(D11/B11)," ",(D11/B11))</f>
        <v>0.6204615190574269</v>
      </c>
      <c r="F11" s="172">
        <f>IF(ISERROR(D11/C11)," ",(D11/C11))</f>
        <v>0.9119446546084715</v>
      </c>
      <c r="G11" s="171">
        <f>SUM(G12:G13)</f>
        <v>53322010.78</v>
      </c>
      <c r="H11" s="173" t="s">
        <v>233</v>
      </c>
      <c r="I11" s="171">
        <f>SUM(I12:I13)</f>
        <v>759848</v>
      </c>
      <c r="J11" s="171">
        <f>SUM(J12:J13)</f>
        <v>516979</v>
      </c>
      <c r="K11" s="171">
        <f>SUM(K12:K13)</f>
        <v>471455</v>
      </c>
      <c r="L11" s="174">
        <f>IF(ISERROR(ROUND(K11,0)/ROUND(I11,0))," ",(ROUND(K11,)/ROUND(I11,)))*100</f>
        <v>62.04596182394374</v>
      </c>
      <c r="M11" s="174">
        <f>IF(ISERROR(ROUND(K11,0)/ROUND(J11,0))," ",(ROUND(K11,)/ROUND(J11,)))*100</f>
        <v>91.19422645794123</v>
      </c>
      <c r="N11" s="171">
        <f>SUM(N12:N13)</f>
        <v>53322</v>
      </c>
      <c r="O11" s="169" t="str">
        <f t="shared" si="0"/>
        <v>   Izdevumi - kopā </v>
      </c>
      <c r="P11" s="169">
        <f t="shared" si="1"/>
        <v>471455</v>
      </c>
      <c r="Q11" s="169">
        <v>361199</v>
      </c>
      <c r="R11" s="175">
        <v>471455</v>
      </c>
      <c r="S11" s="60">
        <v>418134</v>
      </c>
      <c r="T11" s="2"/>
      <c r="U11" s="2">
        <f>R11-S11</f>
        <v>53321</v>
      </c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1:104" s="179" customFormat="1" ht="12.75" customHeight="1">
      <c r="A12" s="176" t="s">
        <v>234</v>
      </c>
      <c r="B12" s="23">
        <f>B15+B18+B21+B24+B27+B30+B33+B36+B39+B42+B45+B48+B51+B54+B57+B60+B63+B66+B68+B71+B74+B77+B79+B81+B84+B86+B89+B92+B95</f>
        <v>694317503</v>
      </c>
      <c r="C12" s="23">
        <f>C15+C18+C21+C24+C27+C30+C33+C36+C39+C42+C45+C48+C51+C54+C57+C60+C63+C66+C68+C71+C74+C77+C79+C81+C84+C86+C89+C92+C95</f>
        <v>471655503</v>
      </c>
      <c r="D12" s="23">
        <f>D15+D18+D21+D24+D27+D30+D33+D36+D39+D42+D45+D48+D51+D54+D57+D60+D63+D66+D68+D71+D74+D77+D79+D81+D84+D86+D89+D92+D95</f>
        <v>438530406</v>
      </c>
      <c r="E12" s="56">
        <f aca="true" t="shared" si="2" ref="E12:E75">IF(ISERROR(D12/B12)," ",(D12/B12))</f>
        <v>0.6315992382522438</v>
      </c>
      <c r="F12" s="56">
        <f aca="true" t="shared" si="3" ref="F12:F75">IF(ISERROR(D12/C12)," ",(D12/C12))</f>
        <v>0.9297684500884537</v>
      </c>
      <c r="G12" s="23">
        <f>G15+G18+G21+G24+G27+G30+G33+G36+G39+G42+G45+G48+G51+G54+G57+G60+G63+G66+G68+G71+G74+G77+G79+G81+G84+G86+G89+G92+G95</f>
        <v>47923558.38</v>
      </c>
      <c r="H12" s="119" t="s">
        <v>234</v>
      </c>
      <c r="I12" s="177">
        <f>I15+I18+I21+I24+I27+I30+I33+I36+I39+I42+I45+I48+I51+I54+I57+I60+I63+I66+I68+I71+I74+I77+I79+I81+I84+I86+I89+I92+I95-2</f>
        <v>694318</v>
      </c>
      <c r="J12" s="177">
        <f>J15+J18+J21+J24+J27+J30+J33+J36+J39+J42+J45+J48+J51+J54+J57+J60+J63+J66+J68+J71+J74+J77+J79+J81+J84+J86+J89+J92+J95</f>
        <v>471658</v>
      </c>
      <c r="K12" s="177">
        <f>K15+K18+K21+K24+K27+K30+K33+K36+K39+K42+K45+K48+K51+K54+K57+K60+K63+K68+K71+K74+K81+K86+K89+K92+K66+K77+K79+K84+K95+1</f>
        <v>438530</v>
      </c>
      <c r="L12" s="178">
        <f>IF(ISERROR(ROUND(K12,0)/ROUND(I12,0))," ",(ROUND(K12,)/ROUND(I12,)))*100</f>
        <v>63.1598201400511</v>
      </c>
      <c r="M12" s="178">
        <f>IF(ISERROR(ROUND(K12,0)/ROUND(J12,0))," ",(ROUND(K12,)/ROUND(J12,)))*100</f>
        <v>92.9762667017203</v>
      </c>
      <c r="N12" s="177">
        <f>N15+N18+N21+N24+N27+N30+N33+N36+N39+N42+N45+N48+N51+N54+N57+N60+N63+N66+N68+N71+N74+N77+N79+N81+N84+N86+N89+N92+N95+1</f>
        <v>47924</v>
      </c>
      <c r="O12" s="87" t="str">
        <f t="shared" si="0"/>
        <v>     Uzturēšanas izdevumi</v>
      </c>
      <c r="P12" s="87">
        <f t="shared" si="1"/>
        <v>438530</v>
      </c>
      <c r="Q12" s="169">
        <v>339043</v>
      </c>
      <c r="R12" s="179">
        <v>438530</v>
      </c>
      <c r="S12" s="54">
        <v>390607</v>
      </c>
      <c r="T12" s="39"/>
      <c r="U12" s="2">
        <f aca="true" t="shared" si="4" ref="U12:U75">R12-S12</f>
        <v>47923</v>
      </c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</row>
    <row r="13" spans="1:104" s="179" customFormat="1" ht="12.75" customHeight="1">
      <c r="A13" s="176" t="s">
        <v>235</v>
      </c>
      <c r="B13" s="23">
        <f>B16+B19+B22+B25+B28+B31+B34+B37+B40+B43+B46+B49+B52+B55+B58+B61+B64+B69+B72+B75+B82+B87+B90+B93</f>
        <v>65529386</v>
      </c>
      <c r="C13" s="23">
        <f>C16+C19+C22+C25+C28+C31+C34+C37+C40+C43+C46+C49+C52+C55+C58+C61+C64+C69+C72+C75+C82+C87+C90+C93</f>
        <v>45322970</v>
      </c>
      <c r="D13" s="23">
        <f>D16+D19+D22+D25+D28+D31+D34+D37+D40+D43+D46+D49+D52+D55+D58+D61+D64+D69+D72+D75+D82+D87+D90+D93</f>
        <v>32925349</v>
      </c>
      <c r="E13" s="56">
        <f t="shared" si="2"/>
        <v>0.5024516634414978</v>
      </c>
      <c r="F13" s="56">
        <f t="shared" si="3"/>
        <v>0.7264605342500723</v>
      </c>
      <c r="G13" s="23">
        <f>G16+G19+G22+G25+G28+G31+G34+G37+G40+G43+G46+G49+G52+G55+G58+G61+G64+G69+G72+G75+G82+G87+G90+G93</f>
        <v>5398452.4</v>
      </c>
      <c r="H13" s="119" t="s">
        <v>235</v>
      </c>
      <c r="I13" s="177">
        <f>I16+I19+I22+I25+I28+I31+I34+I37+I40+I43+I46+I49+I52+I55+I58+I61+I64+I69+I72+I75+I82+I87+I90+I93-1</f>
        <v>65530</v>
      </c>
      <c r="J13" s="177">
        <f>J16+J19+J22+J25+J28+J31+J34+J37+J40+J43+J46+J49+J52+J55+J58+J61+J64+J69+J72+J75+J82+J87+J90+J93-1</f>
        <v>45321</v>
      </c>
      <c r="K13" s="177">
        <f>K16+K19+K22+K25+K28+K31+K34+K37+K40+K43+K46+K49+K52+K55+K58+K61+K64+K69+K72+K75+K82+K87+K90+K93</f>
        <v>32925</v>
      </c>
      <c r="L13" s="178">
        <f>IF(ISERROR(ROUND(K13,0)/ROUND(I13,0))," ",(ROUND(K13,)/ROUND(I13,)))*100</f>
        <v>50.244162978788346</v>
      </c>
      <c r="M13" s="178">
        <f>IF(ISERROR(ROUND(K13,0)/ROUND(J13,0))," ",(ROUND(K13,)/ROUND(J13,)))*100</f>
        <v>72.64844112001059</v>
      </c>
      <c r="N13" s="177">
        <f>N16+N19+N22+N25+N28+N31+N34+N37+N40+N43+N46+N49+N52+N55+N58+N61+N64+N69+N72+N75+N82+N87+N90+N93</f>
        <v>5398</v>
      </c>
      <c r="O13" s="87" t="str">
        <f t="shared" si="0"/>
        <v>     Izdevumi kapitālieguldījumiem</v>
      </c>
      <c r="P13" s="87">
        <f t="shared" si="1"/>
        <v>32925</v>
      </c>
      <c r="Q13" s="169">
        <v>22156</v>
      </c>
      <c r="R13" s="179">
        <v>32925</v>
      </c>
      <c r="S13" s="180">
        <v>27527</v>
      </c>
      <c r="T13" s="39"/>
      <c r="U13" s="2">
        <f t="shared" si="4"/>
        <v>5398</v>
      </c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</row>
    <row r="14" spans="1:104" s="110" customFormat="1" ht="12.75" customHeight="1">
      <c r="A14" s="53" t="s">
        <v>236</v>
      </c>
      <c r="B14" s="181">
        <f>SUM(B15:B16)</f>
        <v>871809</v>
      </c>
      <c r="C14" s="181">
        <f>SUM(C15:C16)</f>
        <v>609031</v>
      </c>
      <c r="D14" s="181">
        <f>SUM(D15:D16)</f>
        <v>599432</v>
      </c>
      <c r="E14" s="172">
        <f t="shared" si="2"/>
        <v>0.6875726219848614</v>
      </c>
      <c r="F14" s="172">
        <f t="shared" si="3"/>
        <v>0.9842388975273837</v>
      </c>
      <c r="G14" s="181">
        <f>SUM(G15:G16)</f>
        <v>65342.02999999999</v>
      </c>
      <c r="H14" s="70" t="s">
        <v>237</v>
      </c>
      <c r="I14" s="182">
        <f>SUM(I15:I16)</f>
        <v>872</v>
      </c>
      <c r="J14" s="182">
        <f>SUM(J15:J16)</f>
        <v>609</v>
      </c>
      <c r="K14" s="182">
        <f>SUM(K15:K16)</f>
        <v>600</v>
      </c>
      <c r="L14" s="174">
        <f aca="true" t="shared" si="5" ref="L14:L77">IF(ISERROR(ROUND(K14,0)/ROUND(I14,0))," ",(ROUND(K14,)/ROUND(I14,)))*100</f>
        <v>68.80733944954129</v>
      </c>
      <c r="M14" s="174">
        <f aca="true" t="shared" si="6" ref="M14:M77">IF(ISERROR(ROUND(K14,0)/ROUND(J14,0))," ",(ROUND(K14,)/ROUND(J14,)))*100</f>
        <v>98.52216748768473</v>
      </c>
      <c r="N14" s="182">
        <f>SUM(N15:N16)</f>
        <v>65</v>
      </c>
      <c r="O14" s="169" t="str">
        <f t="shared" si="0"/>
        <v>Valsts prezidenta kanceleja</v>
      </c>
      <c r="P14" s="169">
        <f t="shared" si="1"/>
        <v>600</v>
      </c>
      <c r="Q14" s="169">
        <v>472</v>
      </c>
      <c r="R14" s="110">
        <v>600</v>
      </c>
      <c r="S14" s="60">
        <v>535</v>
      </c>
      <c r="T14" s="2"/>
      <c r="U14" s="2">
        <f t="shared" si="4"/>
        <v>65</v>
      </c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</row>
    <row r="15" spans="1:104" s="179" customFormat="1" ht="12.75" customHeight="1">
      <c r="A15" s="176" t="s">
        <v>234</v>
      </c>
      <c r="B15" s="183">
        <v>815909</v>
      </c>
      <c r="C15" s="183">
        <v>563231</v>
      </c>
      <c r="D15" s="184">
        <v>553635</v>
      </c>
      <c r="E15" s="56">
        <f t="shared" si="2"/>
        <v>0.6785499363286838</v>
      </c>
      <c r="F15" s="56">
        <f t="shared" si="3"/>
        <v>0.9829625855110958</v>
      </c>
      <c r="G15" s="183">
        <f>D15-'[4]Jūlijs'!D15</f>
        <v>65127.17999999999</v>
      </c>
      <c r="H15" s="119" t="s">
        <v>234</v>
      </c>
      <c r="I15" s="185">
        <f aca="true" t="shared" si="7" ref="I15:K16">ROUND(B15/1000,0)</f>
        <v>816</v>
      </c>
      <c r="J15" s="185">
        <f>ROUND(C15/1000,0)</f>
        <v>563</v>
      </c>
      <c r="K15" s="185">
        <f>ROUND(D15/1000,0)</f>
        <v>554</v>
      </c>
      <c r="L15" s="178">
        <f t="shared" si="5"/>
        <v>67.8921568627451</v>
      </c>
      <c r="M15" s="178">
        <f t="shared" si="6"/>
        <v>98.40142095914743</v>
      </c>
      <c r="N15" s="185">
        <f>K15-'[4]Jūlijs'!K15</f>
        <v>65</v>
      </c>
      <c r="O15" s="87" t="str">
        <f t="shared" si="0"/>
        <v>     Uzturēšanas izdevumi</v>
      </c>
      <c r="P15" s="87">
        <f t="shared" si="1"/>
        <v>554</v>
      </c>
      <c r="Q15" s="169">
        <v>430</v>
      </c>
      <c r="R15" s="179">
        <v>554</v>
      </c>
      <c r="S15" s="54">
        <v>489</v>
      </c>
      <c r="T15" s="39"/>
      <c r="U15" s="2">
        <f t="shared" si="4"/>
        <v>65</v>
      </c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</row>
    <row r="16" spans="1:104" s="179" customFormat="1" ht="12.75" customHeight="1">
      <c r="A16" s="176" t="s">
        <v>235</v>
      </c>
      <c r="B16" s="183">
        <v>55900</v>
      </c>
      <c r="C16" s="183">
        <v>45800</v>
      </c>
      <c r="D16" s="184">
        <v>45797</v>
      </c>
      <c r="E16" s="56">
        <f t="shared" si="2"/>
        <v>0.8192665474060823</v>
      </c>
      <c r="F16" s="56">
        <f t="shared" si="3"/>
        <v>0.9999344978165939</v>
      </c>
      <c r="G16" s="183">
        <f>D16-'[4]Jūlijs'!D16</f>
        <v>214.84999999999854</v>
      </c>
      <c r="H16" s="119" t="s">
        <v>235</v>
      </c>
      <c r="I16" s="185">
        <f t="shared" si="7"/>
        <v>56</v>
      </c>
      <c r="J16" s="185">
        <f>ROUND(C16/1000,0)</f>
        <v>46</v>
      </c>
      <c r="K16" s="185">
        <f t="shared" si="7"/>
        <v>46</v>
      </c>
      <c r="L16" s="178">
        <f t="shared" si="5"/>
        <v>82.14285714285714</v>
      </c>
      <c r="M16" s="178">
        <f t="shared" si="6"/>
        <v>100</v>
      </c>
      <c r="N16" s="185">
        <f>K16-'[4]Jūlijs'!K16</f>
        <v>0</v>
      </c>
      <c r="O16" s="87" t="str">
        <f t="shared" si="0"/>
        <v>     Izdevumi kapitālieguldījumiem</v>
      </c>
      <c r="P16" s="87">
        <f t="shared" si="1"/>
        <v>46</v>
      </c>
      <c r="Q16" s="169">
        <v>42</v>
      </c>
      <c r="R16" s="179">
        <v>46</v>
      </c>
      <c r="S16" s="54">
        <v>46</v>
      </c>
      <c r="T16" s="39"/>
      <c r="U16" s="2">
        <f t="shared" si="4"/>
        <v>0</v>
      </c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</row>
    <row r="17" spans="1:104" s="110" customFormat="1" ht="12.75" customHeight="1">
      <c r="A17" s="67" t="s">
        <v>238</v>
      </c>
      <c r="B17" s="181">
        <f>SUM(B18:B19)</f>
        <v>6668322</v>
      </c>
      <c r="C17" s="181">
        <f>SUM(C18:C19)</f>
        <v>4341952</v>
      </c>
      <c r="D17" s="181">
        <f>SUM(D18:D19)</f>
        <v>4055520</v>
      </c>
      <c r="E17" s="172">
        <f t="shared" si="2"/>
        <v>0.608176989653469</v>
      </c>
      <c r="F17" s="172">
        <f t="shared" si="3"/>
        <v>0.9340315139365889</v>
      </c>
      <c r="G17" s="181">
        <f>SUM(G18:G19)</f>
        <v>441826.3999999999</v>
      </c>
      <c r="H17" s="186" t="s">
        <v>238</v>
      </c>
      <c r="I17" s="182">
        <f>SUM(I18:I19)</f>
        <v>6668</v>
      </c>
      <c r="J17" s="182">
        <f>SUM(J18:J19)</f>
        <v>4342</v>
      </c>
      <c r="K17" s="182">
        <f>SUM(K18:K19)</f>
        <v>4055</v>
      </c>
      <c r="L17" s="174">
        <f t="shared" si="5"/>
        <v>60.8128374325135</v>
      </c>
      <c r="M17" s="174">
        <f t="shared" si="6"/>
        <v>93.3901427913404</v>
      </c>
      <c r="N17" s="182">
        <f>SUM(N18:N19)</f>
        <v>442</v>
      </c>
      <c r="O17" s="169" t="str">
        <f t="shared" si="0"/>
        <v>Saeima</v>
      </c>
      <c r="P17" s="169">
        <f t="shared" si="1"/>
        <v>4055</v>
      </c>
      <c r="Q17" s="169">
        <v>3100</v>
      </c>
      <c r="R17" s="110">
        <v>4055</v>
      </c>
      <c r="S17" s="60">
        <v>3614</v>
      </c>
      <c r="T17" s="2"/>
      <c r="U17" s="2">
        <f t="shared" si="4"/>
        <v>441</v>
      </c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</row>
    <row r="18" spans="1:104" s="179" customFormat="1" ht="12.75" customHeight="1">
      <c r="A18" s="176" t="s">
        <v>234</v>
      </c>
      <c r="B18" s="183">
        <v>5553887</v>
      </c>
      <c r="C18" s="183">
        <v>3563517</v>
      </c>
      <c r="D18" s="183">
        <v>3315306</v>
      </c>
      <c r="E18" s="56">
        <f t="shared" si="2"/>
        <v>0.5969343632666635</v>
      </c>
      <c r="F18" s="56">
        <f t="shared" si="3"/>
        <v>0.9303466210488122</v>
      </c>
      <c r="G18" s="183">
        <f>D18-'[4]Jūlijs'!D18</f>
        <v>357722.93999999994</v>
      </c>
      <c r="H18" s="119" t="s">
        <v>234</v>
      </c>
      <c r="I18" s="185">
        <f aca="true" t="shared" si="8" ref="I18:K19">ROUND(B18/1000,0)</f>
        <v>5554</v>
      </c>
      <c r="J18" s="185">
        <f t="shared" si="8"/>
        <v>3564</v>
      </c>
      <c r="K18" s="185">
        <f t="shared" si="8"/>
        <v>3315</v>
      </c>
      <c r="L18" s="178">
        <f t="shared" si="5"/>
        <v>59.68671227943825</v>
      </c>
      <c r="M18" s="178">
        <f t="shared" si="6"/>
        <v>93.01346801346801</v>
      </c>
      <c r="N18" s="185">
        <f>K18-'[4]Jūlijs'!K18+1</f>
        <v>358</v>
      </c>
      <c r="O18" s="87" t="str">
        <f t="shared" si="0"/>
        <v>     Uzturēšanas izdevumi</v>
      </c>
      <c r="P18" s="87">
        <f t="shared" si="1"/>
        <v>3315</v>
      </c>
      <c r="Q18" s="169">
        <v>2579</v>
      </c>
      <c r="R18" s="179">
        <v>3315</v>
      </c>
      <c r="S18" s="54">
        <v>2958</v>
      </c>
      <c r="T18" s="39"/>
      <c r="U18" s="2">
        <f t="shared" si="4"/>
        <v>357</v>
      </c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</row>
    <row r="19" spans="1:104" s="179" customFormat="1" ht="12.75" customHeight="1">
      <c r="A19" s="176" t="s">
        <v>235</v>
      </c>
      <c r="B19" s="183">
        <v>1114435</v>
      </c>
      <c r="C19" s="183">
        <v>778435</v>
      </c>
      <c r="D19" s="183">
        <v>740214</v>
      </c>
      <c r="E19" s="56">
        <f t="shared" si="2"/>
        <v>0.6642056288612616</v>
      </c>
      <c r="F19" s="56">
        <f t="shared" si="3"/>
        <v>0.9509002036136608</v>
      </c>
      <c r="G19" s="183">
        <f>D19-'[4]Jūlijs'!D19</f>
        <v>84103.45999999996</v>
      </c>
      <c r="H19" s="119" t="s">
        <v>235</v>
      </c>
      <c r="I19" s="185">
        <f t="shared" si="8"/>
        <v>1114</v>
      </c>
      <c r="J19" s="185">
        <f t="shared" si="8"/>
        <v>778</v>
      </c>
      <c r="K19" s="185">
        <f t="shared" si="8"/>
        <v>740</v>
      </c>
      <c r="L19" s="178">
        <f t="shared" si="5"/>
        <v>66.42728904847397</v>
      </c>
      <c r="M19" s="178">
        <f t="shared" si="6"/>
        <v>95.11568123393316</v>
      </c>
      <c r="N19" s="185">
        <f>K19-'[4]Jūlijs'!K19</f>
        <v>84</v>
      </c>
      <c r="O19" s="87" t="str">
        <f t="shared" si="0"/>
        <v>     Izdevumi kapitālieguldījumiem</v>
      </c>
      <c r="P19" s="87">
        <f t="shared" si="1"/>
        <v>740</v>
      </c>
      <c r="Q19" s="169">
        <v>521</v>
      </c>
      <c r="R19" s="179">
        <v>740</v>
      </c>
      <c r="S19" s="54">
        <v>656</v>
      </c>
      <c r="T19" s="39"/>
      <c r="U19" s="2">
        <f t="shared" si="4"/>
        <v>84</v>
      </c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</row>
    <row r="20" spans="1:104" s="110" customFormat="1" ht="12.75" customHeight="1">
      <c r="A20" s="67" t="s">
        <v>239</v>
      </c>
      <c r="B20" s="181">
        <f>SUM(B21:B22)</f>
        <v>3229056</v>
      </c>
      <c r="C20" s="181">
        <f>SUM(C21:C22)</f>
        <v>2163032</v>
      </c>
      <c r="D20" s="181">
        <f>SUM(D21:D22)</f>
        <v>1925416</v>
      </c>
      <c r="E20" s="172">
        <f t="shared" si="2"/>
        <v>0.5962782930986641</v>
      </c>
      <c r="F20" s="172">
        <f t="shared" si="3"/>
        <v>0.890146793944796</v>
      </c>
      <c r="G20" s="181">
        <f>SUM(G21:G22)</f>
        <v>188378.6400000001</v>
      </c>
      <c r="H20" s="186" t="s">
        <v>239</v>
      </c>
      <c r="I20" s="182">
        <f>SUM(I21:I22)</f>
        <v>3229</v>
      </c>
      <c r="J20" s="182">
        <f>SUM(J21:J22)</f>
        <v>2163</v>
      </c>
      <c r="K20" s="182">
        <f>SUM(K21:K22)</f>
        <v>1925</v>
      </c>
      <c r="L20" s="174">
        <f t="shared" si="5"/>
        <v>59.61598017962218</v>
      </c>
      <c r="M20" s="174">
        <f t="shared" si="6"/>
        <v>88.9967637540453</v>
      </c>
      <c r="N20" s="182">
        <f>SUM(N21:N22)</f>
        <v>188</v>
      </c>
      <c r="O20" s="169" t="str">
        <f t="shared" si="0"/>
        <v>Ministru Kabinets</v>
      </c>
      <c r="P20" s="169">
        <f t="shared" si="1"/>
        <v>1925</v>
      </c>
      <c r="Q20" s="169">
        <v>1471</v>
      </c>
      <c r="R20" s="110">
        <v>1925</v>
      </c>
      <c r="S20" s="60">
        <v>1737</v>
      </c>
      <c r="T20" s="2"/>
      <c r="U20" s="2">
        <f t="shared" si="4"/>
        <v>188</v>
      </c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</row>
    <row r="21" spans="1:104" s="179" customFormat="1" ht="12.75" customHeight="1">
      <c r="A21" s="176" t="s">
        <v>234</v>
      </c>
      <c r="B21" s="183">
        <v>3092876</v>
      </c>
      <c r="C21" s="183">
        <v>2073902</v>
      </c>
      <c r="D21" s="183">
        <v>1899037</v>
      </c>
      <c r="E21" s="56">
        <f t="shared" si="2"/>
        <v>0.6140036005323201</v>
      </c>
      <c r="F21" s="56">
        <f t="shared" si="3"/>
        <v>0.9156830939938339</v>
      </c>
      <c r="G21" s="187">
        <f>D21-'[4]Jūlijs'!D21</f>
        <v>188633.8500000001</v>
      </c>
      <c r="H21" s="119" t="s">
        <v>234</v>
      </c>
      <c r="I21" s="185">
        <f>ROUND(B21/1000,0)</f>
        <v>3093</v>
      </c>
      <c r="J21" s="185">
        <f aca="true" t="shared" si="9" ref="I21:K22">ROUND(C21/1000,0)</f>
        <v>2074</v>
      </c>
      <c r="K21" s="185">
        <f>ROUND(D21/1000,0)</f>
        <v>1899</v>
      </c>
      <c r="L21" s="178">
        <f t="shared" si="5"/>
        <v>61.396702230843836</v>
      </c>
      <c r="M21" s="178">
        <f t="shared" si="6"/>
        <v>91.56219864995178</v>
      </c>
      <c r="N21" s="185">
        <f>K21-'[4]Jūlijs'!K21</f>
        <v>189</v>
      </c>
      <c r="O21" s="87" t="str">
        <f t="shared" si="0"/>
        <v>     Uzturēšanas izdevumi</v>
      </c>
      <c r="P21" s="87">
        <f t="shared" si="1"/>
        <v>1899</v>
      </c>
      <c r="Q21" s="169">
        <v>1447</v>
      </c>
      <c r="R21" s="179">
        <v>1899</v>
      </c>
      <c r="S21" s="54">
        <v>1710</v>
      </c>
      <c r="T21" s="39"/>
      <c r="U21" s="2">
        <f t="shared" si="4"/>
        <v>189</v>
      </c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</row>
    <row r="22" spans="1:104" s="179" customFormat="1" ht="12.75" customHeight="1">
      <c r="A22" s="176" t="s">
        <v>235</v>
      </c>
      <c r="B22" s="183">
        <v>136180</v>
      </c>
      <c r="C22" s="183">
        <v>89130</v>
      </c>
      <c r="D22" s="183">
        <v>26379</v>
      </c>
      <c r="E22" s="56">
        <f t="shared" si="2"/>
        <v>0.1937068585695403</v>
      </c>
      <c r="F22" s="56">
        <f t="shared" si="3"/>
        <v>0.295960955907102</v>
      </c>
      <c r="G22" s="187">
        <f>D22-'[4]Jūlijs'!D22</f>
        <v>-255.20999999999913</v>
      </c>
      <c r="H22" s="119" t="s">
        <v>235</v>
      </c>
      <c r="I22" s="185">
        <f t="shared" si="9"/>
        <v>136</v>
      </c>
      <c r="J22" s="185">
        <f t="shared" si="9"/>
        <v>89</v>
      </c>
      <c r="K22" s="185">
        <f t="shared" si="9"/>
        <v>26</v>
      </c>
      <c r="L22" s="178">
        <f t="shared" si="5"/>
        <v>19.11764705882353</v>
      </c>
      <c r="M22" s="178">
        <f t="shared" si="6"/>
        <v>29.213483146067414</v>
      </c>
      <c r="N22" s="185">
        <f>K22-'[4]Jūlijs'!K22</f>
        <v>-1</v>
      </c>
      <c r="O22" s="87" t="str">
        <f t="shared" si="0"/>
        <v>     Izdevumi kapitālieguldījumiem</v>
      </c>
      <c r="P22" s="87">
        <f t="shared" si="1"/>
        <v>26</v>
      </c>
      <c r="Q22" s="169">
        <v>24</v>
      </c>
      <c r="R22" s="179">
        <v>26</v>
      </c>
      <c r="S22" s="54">
        <v>27</v>
      </c>
      <c r="T22" s="39"/>
      <c r="U22" s="2">
        <f t="shared" si="4"/>
        <v>-1</v>
      </c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</row>
    <row r="23" spans="1:104" s="110" customFormat="1" ht="12.75" customHeight="1">
      <c r="A23" s="67" t="s">
        <v>240</v>
      </c>
      <c r="B23" s="181">
        <f>SUM(B24:B25)</f>
        <v>43048485</v>
      </c>
      <c r="C23" s="181">
        <f>SUM(C24:C25)</f>
        <v>27390402</v>
      </c>
      <c r="D23" s="181">
        <f>SUM(D24:D25)</f>
        <v>24759863</v>
      </c>
      <c r="E23" s="172">
        <f t="shared" si="2"/>
        <v>0.5751622385781985</v>
      </c>
      <c r="F23" s="172">
        <f t="shared" si="3"/>
        <v>0.9039612854166945</v>
      </c>
      <c r="G23" s="181">
        <f>SUM(G24:G25)</f>
        <v>3244012.650000001</v>
      </c>
      <c r="H23" s="186" t="s">
        <v>240</v>
      </c>
      <c r="I23" s="182">
        <f>SUM(I24:I25)</f>
        <v>43048</v>
      </c>
      <c r="J23" s="182">
        <f>SUM(J24:J25)</f>
        <v>27390</v>
      </c>
      <c r="K23" s="182">
        <f>SUM(K24:K25)</f>
        <v>24760</v>
      </c>
      <c r="L23" s="174">
        <f t="shared" si="5"/>
        <v>57.51719011336183</v>
      </c>
      <c r="M23" s="174">
        <f t="shared" si="6"/>
        <v>90.39795545819642</v>
      </c>
      <c r="N23" s="182">
        <f>SUM(N24:N25)</f>
        <v>3244</v>
      </c>
      <c r="O23" s="169" t="str">
        <f t="shared" si="0"/>
        <v>Aizsardzības ministrija</v>
      </c>
      <c r="P23" s="169">
        <f t="shared" si="1"/>
        <v>24760</v>
      </c>
      <c r="Q23" s="169">
        <v>18301</v>
      </c>
      <c r="R23" s="110">
        <v>24760</v>
      </c>
      <c r="S23" s="60">
        <v>21516</v>
      </c>
      <c r="T23" s="2"/>
      <c r="U23" s="2">
        <f t="shared" si="4"/>
        <v>3244</v>
      </c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</row>
    <row r="24" spans="1:104" s="179" customFormat="1" ht="12.75" customHeight="1">
      <c r="A24" s="176" t="s">
        <v>234</v>
      </c>
      <c r="B24" s="183">
        <v>38658304</v>
      </c>
      <c r="C24" s="183">
        <v>25184334</v>
      </c>
      <c r="D24" s="183">
        <v>23679236</v>
      </c>
      <c r="E24" s="56">
        <f t="shared" si="2"/>
        <v>0.6125265091815719</v>
      </c>
      <c r="F24" s="56">
        <f t="shared" si="3"/>
        <v>0.9402367360598061</v>
      </c>
      <c r="G24" s="183">
        <f>D24-'[4]Jūlijs'!D24</f>
        <v>2988420.210000001</v>
      </c>
      <c r="H24" s="119" t="s">
        <v>234</v>
      </c>
      <c r="I24" s="185">
        <f aca="true" t="shared" si="10" ref="I24:K25">ROUND(B24/1000,0)</f>
        <v>38658</v>
      </c>
      <c r="J24" s="185">
        <f>ROUND(C24/1000,0)</f>
        <v>25184</v>
      </c>
      <c r="K24" s="185">
        <f t="shared" si="10"/>
        <v>23679</v>
      </c>
      <c r="L24" s="178">
        <f t="shared" si="5"/>
        <v>61.25252211702623</v>
      </c>
      <c r="M24" s="178">
        <f t="shared" si="6"/>
        <v>94.0239834815756</v>
      </c>
      <c r="N24" s="185">
        <f>K24-'[4]Jūlijs'!K24</f>
        <v>2988</v>
      </c>
      <c r="O24" s="87" t="str">
        <f t="shared" si="0"/>
        <v>     Uzturēšanas izdevumi</v>
      </c>
      <c r="P24" s="87">
        <f t="shared" si="1"/>
        <v>23679</v>
      </c>
      <c r="Q24" s="169">
        <v>17682</v>
      </c>
      <c r="R24" s="179">
        <v>23679</v>
      </c>
      <c r="S24" s="54">
        <v>20691</v>
      </c>
      <c r="T24" s="39"/>
      <c r="U24" s="2">
        <f t="shared" si="4"/>
        <v>2988</v>
      </c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</row>
    <row r="25" spans="1:104" s="179" customFormat="1" ht="12.75" customHeight="1">
      <c r="A25" s="176" t="s">
        <v>235</v>
      </c>
      <c r="B25" s="183">
        <v>4390181</v>
      </c>
      <c r="C25" s="183">
        <v>2206068</v>
      </c>
      <c r="D25" s="183">
        <v>1080627</v>
      </c>
      <c r="E25" s="56">
        <f t="shared" si="2"/>
        <v>0.24614634339677566</v>
      </c>
      <c r="F25" s="56">
        <f t="shared" si="3"/>
        <v>0.4898430148118734</v>
      </c>
      <c r="G25" s="183">
        <f>D25-'[4]Jūlijs'!D25</f>
        <v>255592.43999999994</v>
      </c>
      <c r="H25" s="119" t="s">
        <v>235</v>
      </c>
      <c r="I25" s="185">
        <f t="shared" si="10"/>
        <v>4390</v>
      </c>
      <c r="J25" s="185">
        <f t="shared" si="10"/>
        <v>2206</v>
      </c>
      <c r="K25" s="185">
        <f t="shared" si="10"/>
        <v>1081</v>
      </c>
      <c r="L25" s="178">
        <f t="shared" si="5"/>
        <v>24.624145785876994</v>
      </c>
      <c r="M25" s="178">
        <f t="shared" si="6"/>
        <v>49.00271985494107</v>
      </c>
      <c r="N25" s="185">
        <f>K25-'[4]Jūlijs'!K25</f>
        <v>256</v>
      </c>
      <c r="O25" s="87" t="str">
        <f t="shared" si="0"/>
        <v>     Izdevumi kapitālieguldījumiem</v>
      </c>
      <c r="P25" s="87">
        <f t="shared" si="1"/>
        <v>1081</v>
      </c>
      <c r="Q25" s="169">
        <v>619</v>
      </c>
      <c r="R25" s="179">
        <v>1081</v>
      </c>
      <c r="S25" s="54">
        <v>825</v>
      </c>
      <c r="T25" s="39"/>
      <c r="U25" s="2">
        <f t="shared" si="4"/>
        <v>256</v>
      </c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</row>
    <row r="26" spans="1:104" s="110" customFormat="1" ht="12.75" customHeight="1">
      <c r="A26" s="67" t="s">
        <v>241</v>
      </c>
      <c r="B26" s="181">
        <f>SUM(B27:B28)</f>
        <v>10927250</v>
      </c>
      <c r="C26" s="181">
        <f>SUM(C27:C28)</f>
        <v>7074920</v>
      </c>
      <c r="D26" s="181">
        <f>SUM(D27:D28)</f>
        <v>6888916</v>
      </c>
      <c r="E26" s="172">
        <f t="shared" si="2"/>
        <v>0.6304345558123041</v>
      </c>
      <c r="F26" s="172">
        <f t="shared" si="3"/>
        <v>0.9737093846997563</v>
      </c>
      <c r="G26" s="181">
        <f>SUM(G27:G28)</f>
        <v>1087034.8399999996</v>
      </c>
      <c r="H26" s="186" t="s">
        <v>241</v>
      </c>
      <c r="I26" s="182">
        <f>SUM(I27:I28)</f>
        <v>10927</v>
      </c>
      <c r="J26" s="182">
        <f>SUM(J27:J28)</f>
        <v>7075</v>
      </c>
      <c r="K26" s="182">
        <f>SUM(K27:K28)</f>
        <v>6888</v>
      </c>
      <c r="L26" s="174">
        <f t="shared" si="5"/>
        <v>63.036515054452266</v>
      </c>
      <c r="M26" s="174">
        <f t="shared" si="6"/>
        <v>97.35689045936395</v>
      </c>
      <c r="N26" s="182">
        <f>SUM(N27:N28)</f>
        <v>1087</v>
      </c>
      <c r="O26" s="169" t="str">
        <f t="shared" si="0"/>
        <v>Ārlietu ministrija</v>
      </c>
      <c r="P26" s="169">
        <f t="shared" si="1"/>
        <v>6888</v>
      </c>
      <c r="Q26" s="169">
        <v>5075</v>
      </c>
      <c r="R26" s="110">
        <v>6889</v>
      </c>
      <c r="S26" s="60">
        <v>5802</v>
      </c>
      <c r="T26" s="2"/>
      <c r="U26" s="2">
        <f t="shared" si="4"/>
        <v>1087</v>
      </c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</row>
    <row r="27" spans="1:104" s="179" customFormat="1" ht="12.75" customHeight="1">
      <c r="A27" s="176" t="s">
        <v>234</v>
      </c>
      <c r="B27" s="183">
        <v>10619950</v>
      </c>
      <c r="C27" s="183">
        <v>6816620</v>
      </c>
      <c r="D27" s="183">
        <v>6655342</v>
      </c>
      <c r="E27" s="56">
        <f t="shared" si="2"/>
        <v>0.6266829881496617</v>
      </c>
      <c r="F27" s="56">
        <f t="shared" si="3"/>
        <v>0.9763404737245145</v>
      </c>
      <c r="G27" s="183">
        <f>D27-'[4]Jūlijs'!D27</f>
        <v>1058530.1399999997</v>
      </c>
      <c r="H27" s="119" t="s">
        <v>234</v>
      </c>
      <c r="I27" s="185">
        <f aca="true" t="shared" si="11" ref="I27:K28">ROUND(B27/1000,0)</f>
        <v>10620</v>
      </c>
      <c r="J27" s="185">
        <f>ROUND(C27/1000,0)</f>
        <v>6817</v>
      </c>
      <c r="K27" s="185">
        <f t="shared" si="11"/>
        <v>6655</v>
      </c>
      <c r="L27" s="178">
        <f t="shared" si="5"/>
        <v>62.664783427495294</v>
      </c>
      <c r="M27" s="178">
        <f t="shared" si="6"/>
        <v>97.62358808860202</v>
      </c>
      <c r="N27" s="185">
        <f>K27-'[4]Jūlijs'!K27+1</f>
        <v>1059</v>
      </c>
      <c r="O27" s="87" t="str">
        <f t="shared" si="0"/>
        <v>     Uzturēšanas izdevumi</v>
      </c>
      <c r="P27" s="87">
        <f t="shared" si="1"/>
        <v>6655</v>
      </c>
      <c r="Q27" s="169">
        <v>4884</v>
      </c>
      <c r="R27" s="179">
        <v>6655</v>
      </c>
      <c r="S27" s="54">
        <v>5597</v>
      </c>
      <c r="T27" s="39"/>
      <c r="U27" s="2">
        <f t="shared" si="4"/>
        <v>1058</v>
      </c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</row>
    <row r="28" spans="1:104" s="179" customFormat="1" ht="12.75" customHeight="1">
      <c r="A28" s="176" t="s">
        <v>235</v>
      </c>
      <c r="B28" s="183">
        <v>307300</v>
      </c>
      <c r="C28" s="183">
        <v>258300</v>
      </c>
      <c r="D28" s="183">
        <v>233574</v>
      </c>
      <c r="E28" s="56">
        <f t="shared" si="2"/>
        <v>0.7600846078750407</v>
      </c>
      <c r="F28" s="56">
        <f t="shared" si="3"/>
        <v>0.904274099883856</v>
      </c>
      <c r="G28" s="183">
        <f>D28-'[4]Jūlijs'!D28</f>
        <v>28504.70000000001</v>
      </c>
      <c r="H28" s="119" t="s">
        <v>235</v>
      </c>
      <c r="I28" s="185">
        <f t="shared" si="11"/>
        <v>307</v>
      </c>
      <c r="J28" s="185">
        <f t="shared" si="11"/>
        <v>258</v>
      </c>
      <c r="K28" s="185">
        <f>ROUND(D28/1000,0)-1</f>
        <v>233</v>
      </c>
      <c r="L28" s="178">
        <f t="shared" si="5"/>
        <v>75.8957654723127</v>
      </c>
      <c r="M28" s="178">
        <f t="shared" si="6"/>
        <v>90.31007751937985</v>
      </c>
      <c r="N28" s="185">
        <f>K28-'[4]Jūlijs'!K28</f>
        <v>28</v>
      </c>
      <c r="O28" s="87" t="str">
        <f t="shared" si="0"/>
        <v>     Izdevumi kapitālieguldījumiem</v>
      </c>
      <c r="P28" s="87">
        <f t="shared" si="1"/>
        <v>233</v>
      </c>
      <c r="Q28" s="169">
        <v>191</v>
      </c>
      <c r="R28" s="179">
        <v>234</v>
      </c>
      <c r="S28" s="54">
        <v>205</v>
      </c>
      <c r="T28" s="39"/>
      <c r="U28" s="2">
        <f t="shared" si="4"/>
        <v>29</v>
      </c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</row>
    <row r="29" spans="1:104" s="110" customFormat="1" ht="12.75" customHeight="1">
      <c r="A29" s="67" t="s">
        <v>242</v>
      </c>
      <c r="B29" s="181">
        <f>SUM(B30:B31)</f>
        <v>8644865</v>
      </c>
      <c r="C29" s="181">
        <f>SUM(C30:C31)</f>
        <v>6658664</v>
      </c>
      <c r="D29" s="181">
        <f>SUM(D30:D31)</f>
        <v>3857946</v>
      </c>
      <c r="E29" s="172">
        <f t="shared" si="2"/>
        <v>0.44627024250812475</v>
      </c>
      <c r="F29" s="172">
        <f>IF(ISERROR(D29/C29)," ",(D29/C29))</f>
        <v>0.5793873966309158</v>
      </c>
      <c r="G29" s="181">
        <f>SUM(G30:G31)</f>
        <v>562194.4400000002</v>
      </c>
      <c r="H29" s="186" t="s">
        <v>242</v>
      </c>
      <c r="I29" s="182">
        <f>SUM(I30:I31)</f>
        <v>8645</v>
      </c>
      <c r="J29" s="188">
        <f>SUM(J30:J31)</f>
        <v>6659</v>
      </c>
      <c r="K29" s="182">
        <f>SUM(K30:K31)</f>
        <v>3858</v>
      </c>
      <c r="L29" s="174">
        <f t="shared" si="5"/>
        <v>44.62695199537305</v>
      </c>
      <c r="M29" s="174">
        <f t="shared" si="6"/>
        <v>57.93662712118937</v>
      </c>
      <c r="N29" s="182">
        <f>SUM(N30:N31)</f>
        <v>562</v>
      </c>
      <c r="O29" s="169" t="str">
        <f t="shared" si="0"/>
        <v>Ekonomikas ministrija</v>
      </c>
      <c r="P29" s="169">
        <f t="shared" si="1"/>
        <v>3858</v>
      </c>
      <c r="Q29" s="169">
        <v>2735</v>
      </c>
      <c r="R29" s="110">
        <v>3858</v>
      </c>
      <c r="S29" s="60">
        <v>3296</v>
      </c>
      <c r="T29" s="2"/>
      <c r="U29" s="2">
        <f t="shared" si="4"/>
        <v>562</v>
      </c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</row>
    <row r="30" spans="1:104" s="179" customFormat="1" ht="12.75" customHeight="1">
      <c r="A30" s="176" t="s">
        <v>234</v>
      </c>
      <c r="B30" s="183">
        <v>6804899</v>
      </c>
      <c r="C30" s="183">
        <v>4904994</v>
      </c>
      <c r="D30" s="183">
        <v>3752899</v>
      </c>
      <c r="E30" s="56">
        <f t="shared" si="2"/>
        <v>0.5514995887521622</v>
      </c>
      <c r="F30" s="56">
        <f>IF(ISERROR(D30/C30)," ",(D30/C30))</f>
        <v>0.7651179593695732</v>
      </c>
      <c r="G30" s="183">
        <f>D30-'[4]Jūlijs'!D30</f>
        <v>543532.7000000002</v>
      </c>
      <c r="H30" s="119" t="s">
        <v>234</v>
      </c>
      <c r="I30" s="185">
        <f aca="true" t="shared" si="12" ref="I30:K31">ROUND(B30/1000,0)</f>
        <v>6805</v>
      </c>
      <c r="J30" s="185">
        <f t="shared" si="12"/>
        <v>4905</v>
      </c>
      <c r="K30" s="189">
        <f t="shared" si="12"/>
        <v>3753</v>
      </c>
      <c r="L30" s="178">
        <f t="shared" si="5"/>
        <v>55.150624540778836</v>
      </c>
      <c r="M30" s="178">
        <f t="shared" si="6"/>
        <v>76.5137614678899</v>
      </c>
      <c r="N30" s="185">
        <f>K30-'[4]Jūlijs'!K30</f>
        <v>543</v>
      </c>
      <c r="O30" s="87" t="str">
        <f t="shared" si="0"/>
        <v>     Uzturēšanas izdevumi</v>
      </c>
      <c r="P30" s="87">
        <f t="shared" si="1"/>
        <v>3753</v>
      </c>
      <c r="Q30" s="169">
        <v>2656</v>
      </c>
      <c r="R30" s="179">
        <v>3753</v>
      </c>
      <c r="S30" s="54">
        <v>3210</v>
      </c>
      <c r="T30" s="39"/>
      <c r="U30" s="2">
        <f t="shared" si="4"/>
        <v>543</v>
      </c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</row>
    <row r="31" spans="1:104" s="179" customFormat="1" ht="12.75" customHeight="1">
      <c r="A31" s="176" t="s">
        <v>235</v>
      </c>
      <c r="B31" s="183">
        <v>1839966</v>
      </c>
      <c r="C31" s="183">
        <v>1753670</v>
      </c>
      <c r="D31" s="183">
        <v>105047</v>
      </c>
      <c r="E31" s="56">
        <f t="shared" si="2"/>
        <v>0.057091815827031586</v>
      </c>
      <c r="F31" s="56">
        <f>IF(ISERROR(D31/C31)," ",(D31/C31))</f>
        <v>0.05990123569428684</v>
      </c>
      <c r="G31" s="183">
        <f>D31-'[4]Jūlijs'!D31</f>
        <v>18661.740000000005</v>
      </c>
      <c r="H31" s="119" t="s">
        <v>235</v>
      </c>
      <c r="I31" s="185">
        <f t="shared" si="12"/>
        <v>1840</v>
      </c>
      <c r="J31" s="185">
        <f t="shared" si="12"/>
        <v>1754</v>
      </c>
      <c r="K31" s="185">
        <f t="shared" si="12"/>
        <v>105</v>
      </c>
      <c r="L31" s="178">
        <f t="shared" si="5"/>
        <v>5.706521739130435</v>
      </c>
      <c r="M31" s="178">
        <f t="shared" si="6"/>
        <v>5.986316989737742</v>
      </c>
      <c r="N31" s="185">
        <f>K31-'[4]Jūlijs'!K31</f>
        <v>19</v>
      </c>
      <c r="O31" s="87" t="str">
        <f t="shared" si="0"/>
        <v>     Izdevumi kapitālieguldījumiem</v>
      </c>
      <c r="P31" s="87">
        <f t="shared" si="1"/>
        <v>105</v>
      </c>
      <c r="Q31" s="169">
        <v>79</v>
      </c>
      <c r="R31" s="179">
        <v>105</v>
      </c>
      <c r="S31" s="54">
        <v>86</v>
      </c>
      <c r="T31" s="39"/>
      <c r="U31" s="2">
        <f t="shared" si="4"/>
        <v>19</v>
      </c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</row>
    <row r="32" spans="1:104" s="110" customFormat="1" ht="12.75" customHeight="1">
      <c r="A32" s="67" t="s">
        <v>243</v>
      </c>
      <c r="B32" s="181">
        <f>SUM(B33:B34)</f>
        <v>94170225</v>
      </c>
      <c r="C32" s="181">
        <f>SUM(C33:C34)</f>
        <v>65537294</v>
      </c>
      <c r="D32" s="181">
        <f>SUM(D33:D34)</f>
        <v>61579046</v>
      </c>
      <c r="E32" s="172">
        <f t="shared" si="2"/>
        <v>0.6539120619070412</v>
      </c>
      <c r="F32" s="172">
        <f t="shared" si="3"/>
        <v>0.9396031212396411</v>
      </c>
      <c r="G32" s="181">
        <f>SUM(G33:G34)</f>
        <v>5217296.950000001</v>
      </c>
      <c r="H32" s="186" t="s">
        <v>243</v>
      </c>
      <c r="I32" s="182">
        <f>SUM(I33:I34)</f>
        <v>94171</v>
      </c>
      <c r="J32" s="182">
        <f>SUM(J33:J34)</f>
        <v>65537</v>
      </c>
      <c r="K32" s="182">
        <f>SUM(K33:K34)</f>
        <v>61579</v>
      </c>
      <c r="L32" s="174">
        <f t="shared" si="5"/>
        <v>65.39061919274512</v>
      </c>
      <c r="M32" s="174">
        <f t="shared" si="6"/>
        <v>93.96066344202512</v>
      </c>
      <c r="N32" s="182">
        <f>N33+N34</f>
        <v>5218</v>
      </c>
      <c r="O32" s="169" t="str">
        <f t="shared" si="0"/>
        <v>Finansu ministrija</v>
      </c>
      <c r="P32" s="169">
        <f t="shared" si="1"/>
        <v>61579</v>
      </c>
      <c r="Q32" s="169">
        <v>50028</v>
      </c>
      <c r="R32" s="110">
        <v>61579</v>
      </c>
      <c r="S32" s="60">
        <v>56361</v>
      </c>
      <c r="T32" s="2"/>
      <c r="U32" s="2">
        <f t="shared" si="4"/>
        <v>5218</v>
      </c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</row>
    <row r="33" spans="1:104" s="179" customFormat="1" ht="12.75" customHeight="1">
      <c r="A33" s="176" t="s">
        <v>234</v>
      </c>
      <c r="B33" s="183">
        <v>85269146</v>
      </c>
      <c r="C33" s="183">
        <v>58894905</v>
      </c>
      <c r="D33" s="183">
        <v>56101923</v>
      </c>
      <c r="E33" s="56">
        <f t="shared" si="2"/>
        <v>0.6579393090204047</v>
      </c>
      <c r="F33" s="56">
        <f t="shared" si="3"/>
        <v>0.9525768485406335</v>
      </c>
      <c r="G33" s="183">
        <f>D33-'[4]Jūlijs'!D33</f>
        <v>4904722.710000001</v>
      </c>
      <c r="H33" s="119" t="s">
        <v>234</v>
      </c>
      <c r="I33" s="185">
        <f>ROUND(B33/1000,0)+1</f>
        <v>85270</v>
      </c>
      <c r="J33" s="185">
        <f>ROUND(C33/1000,0)</f>
        <v>58895</v>
      </c>
      <c r="K33" s="185">
        <f>ROUND(D33/1000,0)</f>
        <v>56102</v>
      </c>
      <c r="L33" s="178">
        <f t="shared" si="5"/>
        <v>65.79336226105312</v>
      </c>
      <c r="M33" s="178">
        <f t="shared" si="6"/>
        <v>95.257661940742</v>
      </c>
      <c r="N33" s="185">
        <f>K33-'[4]Jūlijs'!K33</f>
        <v>4905</v>
      </c>
      <c r="O33" s="87" t="str">
        <f t="shared" si="0"/>
        <v>     Uzturēšanas izdevumi</v>
      </c>
      <c r="P33" s="87">
        <f t="shared" si="1"/>
        <v>56102</v>
      </c>
      <c r="Q33" s="169">
        <v>45350</v>
      </c>
      <c r="R33" s="179">
        <v>56102</v>
      </c>
      <c r="S33" s="54">
        <v>51197</v>
      </c>
      <c r="T33" s="39"/>
      <c r="U33" s="2">
        <f t="shared" si="4"/>
        <v>4905</v>
      </c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</row>
    <row r="34" spans="1:104" s="179" customFormat="1" ht="12.75" customHeight="1">
      <c r="A34" s="176" t="s">
        <v>235</v>
      </c>
      <c r="B34" s="183">
        <v>8901079</v>
      </c>
      <c r="C34" s="183">
        <v>6642389</v>
      </c>
      <c r="D34" s="183">
        <v>5477123</v>
      </c>
      <c r="E34" s="56">
        <f t="shared" si="2"/>
        <v>0.61533247823101</v>
      </c>
      <c r="F34" s="56">
        <f t="shared" si="3"/>
        <v>0.8245712498921698</v>
      </c>
      <c r="G34" s="183">
        <f>D34-'[4]Jūlijs'!D34</f>
        <v>312574.2400000002</v>
      </c>
      <c r="H34" s="119" t="s">
        <v>235</v>
      </c>
      <c r="I34" s="185">
        <f>ROUND(B34/1000,0)</f>
        <v>8901</v>
      </c>
      <c r="J34" s="185">
        <f>ROUND(C34/1000,0)</f>
        <v>6642</v>
      </c>
      <c r="K34" s="185">
        <f>ROUND(D34/1000,0)</f>
        <v>5477</v>
      </c>
      <c r="L34" s="178">
        <f t="shared" si="5"/>
        <v>61.53241208852938</v>
      </c>
      <c r="M34" s="178">
        <f t="shared" si="6"/>
        <v>82.46010237880157</v>
      </c>
      <c r="N34" s="185">
        <f>K34-'[4]Jūlijs'!K34</f>
        <v>313</v>
      </c>
      <c r="O34" s="87" t="str">
        <f t="shared" si="0"/>
        <v>     Izdevumi kapitālieguldījumiem</v>
      </c>
      <c r="P34" s="87">
        <f t="shared" si="1"/>
        <v>5477</v>
      </c>
      <c r="Q34" s="169">
        <v>4678</v>
      </c>
      <c r="R34" s="179">
        <v>5477</v>
      </c>
      <c r="S34" s="54">
        <v>5164</v>
      </c>
      <c r="T34" s="39"/>
      <c r="U34" s="2">
        <f t="shared" si="4"/>
        <v>313</v>
      </c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</row>
    <row r="35" spans="1:104" s="110" customFormat="1" ht="12.75" customHeight="1">
      <c r="A35" s="67" t="s">
        <v>244</v>
      </c>
      <c r="B35" s="181">
        <f>SUM(B36:B37)</f>
        <v>80356226</v>
      </c>
      <c r="C35" s="181">
        <f>SUM(C36:C37)</f>
        <v>53648552</v>
      </c>
      <c r="D35" s="181">
        <f>SUM(D36:D37)</f>
        <v>52269991</v>
      </c>
      <c r="E35" s="172">
        <f t="shared" si="2"/>
        <v>0.6504784209253431</v>
      </c>
      <c r="F35" s="172">
        <f t="shared" si="3"/>
        <v>0.9743038544637701</v>
      </c>
      <c r="G35" s="181">
        <f>SUM(G36:G37)</f>
        <v>6147549.949999999</v>
      </c>
      <c r="H35" s="186" t="s">
        <v>244</v>
      </c>
      <c r="I35" s="182">
        <f>SUM(I36:I37)</f>
        <v>80356</v>
      </c>
      <c r="J35" s="188">
        <f>SUM(J36:J37)</f>
        <v>53648</v>
      </c>
      <c r="K35" s="182">
        <f>SUM(K36:K37)</f>
        <v>52269</v>
      </c>
      <c r="L35" s="174">
        <f t="shared" si="5"/>
        <v>65.04679177659416</v>
      </c>
      <c r="M35" s="174">
        <f t="shared" si="6"/>
        <v>97.42954070981212</v>
      </c>
      <c r="N35" s="182">
        <f>SUM(N36:N37)</f>
        <v>6147</v>
      </c>
      <c r="O35" s="169" t="str">
        <f t="shared" si="0"/>
        <v>Iekšlietu ministrija</v>
      </c>
      <c r="P35" s="169">
        <f t="shared" si="1"/>
        <v>52269</v>
      </c>
      <c r="Q35" s="169">
        <v>39365</v>
      </c>
      <c r="R35" s="110">
        <v>52270</v>
      </c>
      <c r="S35" s="60">
        <v>46122</v>
      </c>
      <c r="T35" s="2"/>
      <c r="U35" s="2">
        <f t="shared" si="4"/>
        <v>6148</v>
      </c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</row>
    <row r="36" spans="1:104" s="179" customFormat="1" ht="12.75" customHeight="1">
      <c r="A36" s="176" t="s">
        <v>234</v>
      </c>
      <c r="B36" s="183">
        <v>71471397</v>
      </c>
      <c r="C36" s="183">
        <v>48454376</v>
      </c>
      <c r="D36" s="183">
        <v>47509420</v>
      </c>
      <c r="E36" s="56">
        <f t="shared" si="2"/>
        <v>0.6647333338118464</v>
      </c>
      <c r="F36" s="56">
        <f t="shared" si="3"/>
        <v>0.9804980256066036</v>
      </c>
      <c r="G36" s="187">
        <f>D36-'[4]Jūlijs'!D36</f>
        <v>5826871.219999999</v>
      </c>
      <c r="H36" s="119" t="s">
        <v>234</v>
      </c>
      <c r="I36" s="185">
        <f aca="true" t="shared" si="13" ref="I36:K37">ROUND(B36/1000,0)</f>
        <v>71471</v>
      </c>
      <c r="J36" s="185">
        <f t="shared" si="13"/>
        <v>48454</v>
      </c>
      <c r="K36" s="185">
        <f t="shared" si="13"/>
        <v>47509</v>
      </c>
      <c r="L36" s="178">
        <f t="shared" si="5"/>
        <v>66.47311496970799</v>
      </c>
      <c r="M36" s="178">
        <f t="shared" si="6"/>
        <v>98.04969661947413</v>
      </c>
      <c r="N36" s="185">
        <f>K36-'[4]Jūlijs'!K36</f>
        <v>5827</v>
      </c>
      <c r="O36" s="87" t="str">
        <f t="shared" si="0"/>
        <v>     Uzturēšanas izdevumi</v>
      </c>
      <c r="P36" s="87">
        <f t="shared" si="1"/>
        <v>47509</v>
      </c>
      <c r="Q36" s="169">
        <v>35866</v>
      </c>
      <c r="R36" s="179">
        <v>47509</v>
      </c>
      <c r="S36" s="54">
        <v>41682</v>
      </c>
      <c r="T36" s="39"/>
      <c r="U36" s="2">
        <f t="shared" si="4"/>
        <v>5827</v>
      </c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</row>
    <row r="37" spans="1:104" s="179" customFormat="1" ht="12.75" customHeight="1">
      <c r="A37" s="176" t="s">
        <v>235</v>
      </c>
      <c r="B37" s="183">
        <v>8884829</v>
      </c>
      <c r="C37" s="183">
        <v>5194176</v>
      </c>
      <c r="D37" s="183">
        <v>4760571</v>
      </c>
      <c r="E37" s="56">
        <f t="shared" si="2"/>
        <v>0.5358089615455739</v>
      </c>
      <c r="F37" s="56">
        <f t="shared" si="3"/>
        <v>0.9165209265146195</v>
      </c>
      <c r="G37" s="183">
        <f>D37-'[4]Jūlijs'!D37</f>
        <v>320678.73000000045</v>
      </c>
      <c r="H37" s="119" t="s">
        <v>235</v>
      </c>
      <c r="I37" s="185">
        <f t="shared" si="13"/>
        <v>8885</v>
      </c>
      <c r="J37" s="185">
        <f t="shared" si="13"/>
        <v>5194</v>
      </c>
      <c r="K37" s="185">
        <f>ROUND(D37/1000,0)-1</f>
        <v>4760</v>
      </c>
      <c r="L37" s="178">
        <f t="shared" si="5"/>
        <v>53.57343837929094</v>
      </c>
      <c r="M37" s="178">
        <f t="shared" si="6"/>
        <v>91.64420485175202</v>
      </c>
      <c r="N37" s="185">
        <f>K37-'[4]Jūlijs'!K37</f>
        <v>320</v>
      </c>
      <c r="O37" s="87" t="str">
        <f t="shared" si="0"/>
        <v>     Izdevumi kapitālieguldījumiem</v>
      </c>
      <c r="P37" s="87">
        <f t="shared" si="1"/>
        <v>4760</v>
      </c>
      <c r="Q37" s="169">
        <v>3499</v>
      </c>
      <c r="R37" s="179">
        <v>4761</v>
      </c>
      <c r="S37" s="54">
        <v>4440</v>
      </c>
      <c r="T37" s="39"/>
      <c r="U37" s="2">
        <f t="shared" si="4"/>
        <v>321</v>
      </c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</row>
    <row r="38" spans="1:104" s="110" customFormat="1" ht="12.75" customHeight="1">
      <c r="A38" s="53" t="s">
        <v>245</v>
      </c>
      <c r="B38" s="181">
        <f>SUM(B39:B40)</f>
        <v>76848226</v>
      </c>
      <c r="C38" s="181">
        <f>SUM(C39:C40)</f>
        <v>48047000</v>
      </c>
      <c r="D38" s="181">
        <f>SUM(D39:D40)</f>
        <v>42176561</v>
      </c>
      <c r="E38" s="172">
        <f t="shared" si="2"/>
        <v>0.5488293379732669</v>
      </c>
      <c r="F38" s="172">
        <f t="shared" si="3"/>
        <v>0.8778188232355818</v>
      </c>
      <c r="G38" s="181">
        <f>SUM(G39:G40)</f>
        <v>4365544.900000001</v>
      </c>
      <c r="H38" s="70" t="s">
        <v>245</v>
      </c>
      <c r="I38" s="182">
        <f>SUM(I39:I40)</f>
        <v>76848</v>
      </c>
      <c r="J38" s="182">
        <f>SUM(J39:J40)</f>
        <v>48047</v>
      </c>
      <c r="K38" s="182">
        <f>SUM(K39:K40)</f>
        <v>42177</v>
      </c>
      <c r="L38" s="174">
        <f t="shared" si="5"/>
        <v>54.883666458463466</v>
      </c>
      <c r="M38" s="174">
        <f t="shared" si="6"/>
        <v>87.78279601223802</v>
      </c>
      <c r="N38" s="182">
        <f>SUM(N39:N40)</f>
        <v>4365</v>
      </c>
      <c r="O38" s="169" t="str">
        <f t="shared" si="0"/>
        <v>Izglītības un zinātnes ministrija</v>
      </c>
      <c r="P38" s="169">
        <f t="shared" si="1"/>
        <v>42177</v>
      </c>
      <c r="Q38" s="169">
        <v>31605</v>
      </c>
      <c r="R38" s="110">
        <v>42177</v>
      </c>
      <c r="S38" s="60">
        <v>37811</v>
      </c>
      <c r="T38" s="2"/>
      <c r="U38" s="2">
        <f t="shared" si="4"/>
        <v>4366</v>
      </c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</row>
    <row r="39" spans="1:104" s="179" customFormat="1" ht="12.75" customHeight="1">
      <c r="A39" s="176" t="s">
        <v>234</v>
      </c>
      <c r="B39" s="183">
        <v>71672045</v>
      </c>
      <c r="C39" s="183">
        <v>44274898</v>
      </c>
      <c r="D39" s="183">
        <v>39761788</v>
      </c>
      <c r="E39" s="56">
        <f t="shared" si="2"/>
        <v>0.5547740126572361</v>
      </c>
      <c r="F39" s="56">
        <f t="shared" si="3"/>
        <v>0.8980661683286091</v>
      </c>
      <c r="G39" s="183">
        <f>D39-'[4]Jūlijs'!D39</f>
        <v>3962382.780000001</v>
      </c>
      <c r="H39" s="119" t="s">
        <v>234</v>
      </c>
      <c r="I39" s="185">
        <f aca="true" t="shared" si="14" ref="I39:K40">ROUND(B39/1000,0)</f>
        <v>71672</v>
      </c>
      <c r="J39" s="185">
        <f>ROUND(C39/1000,0)</f>
        <v>44275</v>
      </c>
      <c r="K39" s="185">
        <f t="shared" si="14"/>
        <v>39762</v>
      </c>
      <c r="L39" s="178">
        <f t="shared" si="5"/>
        <v>55.47773188971984</v>
      </c>
      <c r="M39" s="178">
        <f t="shared" si="6"/>
        <v>89.8068887634105</v>
      </c>
      <c r="N39" s="185">
        <f>K39-'[4]Jūlijs'!K39-1</f>
        <v>3962</v>
      </c>
      <c r="O39" s="87" t="str">
        <f t="shared" si="0"/>
        <v>     Uzturēšanas izdevumi</v>
      </c>
      <c r="P39" s="87">
        <f t="shared" si="1"/>
        <v>39762</v>
      </c>
      <c r="Q39" s="169">
        <v>30153</v>
      </c>
      <c r="R39" s="179">
        <v>39762</v>
      </c>
      <c r="S39" s="54">
        <v>35799</v>
      </c>
      <c r="T39" s="39"/>
      <c r="U39" s="2">
        <f t="shared" si="4"/>
        <v>3963</v>
      </c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</row>
    <row r="40" spans="1:104" s="179" customFormat="1" ht="12.75" customHeight="1">
      <c r="A40" s="176" t="s">
        <v>235</v>
      </c>
      <c r="B40" s="183">
        <v>5176181</v>
      </c>
      <c r="C40" s="183">
        <v>3772102</v>
      </c>
      <c r="D40" s="183">
        <v>2414773</v>
      </c>
      <c r="E40" s="56">
        <f t="shared" si="2"/>
        <v>0.4665163370446281</v>
      </c>
      <c r="F40" s="56">
        <f t="shared" si="3"/>
        <v>0.6401664111946072</v>
      </c>
      <c r="G40" s="183">
        <f>D40-'[4]Jūlijs'!D40</f>
        <v>403162.1200000001</v>
      </c>
      <c r="H40" s="119" t="s">
        <v>235</v>
      </c>
      <c r="I40" s="185">
        <f t="shared" si="14"/>
        <v>5176</v>
      </c>
      <c r="J40" s="185">
        <f>ROUND(C40/1000,0)</f>
        <v>3772</v>
      </c>
      <c r="K40" s="185">
        <f t="shared" si="14"/>
        <v>2415</v>
      </c>
      <c r="L40" s="178">
        <f t="shared" si="5"/>
        <v>46.65765069551777</v>
      </c>
      <c r="M40" s="178">
        <f t="shared" si="6"/>
        <v>64.02439024390245</v>
      </c>
      <c r="N40" s="185">
        <f>K40-'[4]Jūlijs'!K40</f>
        <v>403</v>
      </c>
      <c r="O40" s="87" t="str">
        <f t="shared" si="0"/>
        <v>     Izdevumi kapitālieguldījumiem</v>
      </c>
      <c r="P40" s="87">
        <f t="shared" si="1"/>
        <v>2415</v>
      </c>
      <c r="Q40" s="169">
        <v>1452</v>
      </c>
      <c r="R40" s="179">
        <v>2415</v>
      </c>
      <c r="S40" s="54">
        <v>2012</v>
      </c>
      <c r="T40" s="39"/>
      <c r="U40" s="2">
        <f t="shared" si="4"/>
        <v>403</v>
      </c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</row>
    <row r="41" spans="1:21" s="2" customFormat="1" ht="12.75" customHeight="1">
      <c r="A41" s="67" t="s">
        <v>246</v>
      </c>
      <c r="B41" s="181">
        <f>SUM(B42:B43)</f>
        <v>71481894</v>
      </c>
      <c r="C41" s="181">
        <f>SUM(C42:C43)</f>
        <v>51455364</v>
      </c>
      <c r="D41" s="181">
        <f>SUM(D42:D43)</f>
        <v>34436861</v>
      </c>
      <c r="E41" s="172">
        <f t="shared" si="2"/>
        <v>0.4817564151280043</v>
      </c>
      <c r="F41" s="172">
        <f t="shared" si="3"/>
        <v>0.6692569699827602</v>
      </c>
      <c r="G41" s="181">
        <f>SUM(G42:G43)</f>
        <v>4840107.370000002</v>
      </c>
      <c r="H41" s="186" t="s">
        <v>246</v>
      </c>
      <c r="I41" s="182">
        <f>SUM(I42:I43)</f>
        <v>71482</v>
      </c>
      <c r="J41" s="182">
        <f>SUM(J42:J43)</f>
        <v>51456</v>
      </c>
      <c r="K41" s="182">
        <f>SUM(K42:K43)</f>
        <v>34437</v>
      </c>
      <c r="L41" s="174">
        <f t="shared" si="5"/>
        <v>48.17576452813296</v>
      </c>
      <c r="M41" s="174">
        <f t="shared" si="6"/>
        <v>66.92513992537313</v>
      </c>
      <c r="N41" s="182">
        <f>SUM(N42:N43)</f>
        <v>4840</v>
      </c>
      <c r="O41" s="169" t="str">
        <f t="shared" si="0"/>
        <v>Zemkopības ministrija</v>
      </c>
      <c r="P41" s="169">
        <f t="shared" si="1"/>
        <v>34437</v>
      </c>
      <c r="Q41" s="169">
        <v>24344</v>
      </c>
      <c r="R41" s="2">
        <v>34437</v>
      </c>
      <c r="S41" s="60">
        <v>29597</v>
      </c>
      <c r="U41" s="2">
        <f t="shared" si="4"/>
        <v>4840</v>
      </c>
    </row>
    <row r="42" spans="1:21" s="39" customFormat="1" ht="12.75" customHeight="1">
      <c r="A42" s="176" t="s">
        <v>234</v>
      </c>
      <c r="B42" s="183">
        <v>66762744</v>
      </c>
      <c r="C42" s="183">
        <v>47605585</v>
      </c>
      <c r="D42" s="183">
        <v>32166809</v>
      </c>
      <c r="E42" s="56">
        <f t="shared" si="2"/>
        <v>0.48180777290999305</v>
      </c>
      <c r="F42" s="56">
        <f t="shared" si="3"/>
        <v>0.675694017834252</v>
      </c>
      <c r="G42" s="187">
        <f>D42-'[4]Jūlijs'!D42</f>
        <v>4419253.920000002</v>
      </c>
      <c r="H42" s="119" t="s">
        <v>234</v>
      </c>
      <c r="I42" s="185">
        <f aca="true" t="shared" si="15" ref="I42:K43">ROUND(B42/1000,0)</f>
        <v>66763</v>
      </c>
      <c r="J42" s="185">
        <f t="shared" si="15"/>
        <v>47606</v>
      </c>
      <c r="K42" s="185">
        <f t="shared" si="15"/>
        <v>32167</v>
      </c>
      <c r="L42" s="178">
        <f t="shared" si="5"/>
        <v>48.180878630379105</v>
      </c>
      <c r="M42" s="178">
        <f t="shared" si="6"/>
        <v>67.5692139646263</v>
      </c>
      <c r="N42" s="185">
        <f>K42-'[4]Jūlijs'!K42</f>
        <v>4419</v>
      </c>
      <c r="O42" s="87" t="str">
        <f t="shared" si="0"/>
        <v>     Uzturēšanas izdevumi</v>
      </c>
      <c r="P42" s="87">
        <f t="shared" si="1"/>
        <v>32167</v>
      </c>
      <c r="Q42" s="169">
        <v>22887</v>
      </c>
      <c r="R42" s="39">
        <v>32167</v>
      </c>
      <c r="S42" s="54">
        <v>27748</v>
      </c>
      <c r="U42" s="2">
        <f t="shared" si="4"/>
        <v>4419</v>
      </c>
    </row>
    <row r="43" spans="1:21" s="39" customFormat="1" ht="12.75" customHeight="1">
      <c r="A43" s="176" t="s">
        <v>235</v>
      </c>
      <c r="B43" s="183">
        <v>4719150</v>
      </c>
      <c r="C43" s="187">
        <v>3849779</v>
      </c>
      <c r="D43" s="183">
        <v>2270052</v>
      </c>
      <c r="E43" s="56">
        <f t="shared" si="2"/>
        <v>0.4810298464765901</v>
      </c>
      <c r="F43" s="56">
        <f t="shared" si="3"/>
        <v>0.5896577439899797</v>
      </c>
      <c r="G43" s="183">
        <f>D43-'[4]Jūlijs'!D43</f>
        <v>420853.44999999995</v>
      </c>
      <c r="H43" s="119" t="s">
        <v>235</v>
      </c>
      <c r="I43" s="185">
        <f t="shared" si="15"/>
        <v>4719</v>
      </c>
      <c r="J43" s="185">
        <f t="shared" si="15"/>
        <v>3850</v>
      </c>
      <c r="K43" s="185">
        <f t="shared" si="15"/>
        <v>2270</v>
      </c>
      <c r="L43" s="178">
        <f t="shared" si="5"/>
        <v>48.103411739775375</v>
      </c>
      <c r="M43" s="178">
        <f t="shared" si="6"/>
        <v>58.96103896103896</v>
      </c>
      <c r="N43" s="185">
        <f>K43-'[4]Jūlijs'!K43</f>
        <v>421</v>
      </c>
      <c r="O43" s="87" t="str">
        <f t="shared" si="0"/>
        <v>     Izdevumi kapitālieguldījumiem</v>
      </c>
      <c r="P43" s="87">
        <f t="shared" si="1"/>
        <v>2270</v>
      </c>
      <c r="Q43" s="169">
        <v>1457</v>
      </c>
      <c r="R43" s="39">
        <v>2270</v>
      </c>
      <c r="S43" s="54">
        <v>1849</v>
      </c>
      <c r="U43" s="2">
        <f t="shared" si="4"/>
        <v>421</v>
      </c>
    </row>
    <row r="44" spans="1:21" s="2" customFormat="1" ht="12.75" customHeight="1">
      <c r="A44" s="67" t="s">
        <v>247</v>
      </c>
      <c r="B44" s="181">
        <f>SUM(B45:B46)</f>
        <v>13889364</v>
      </c>
      <c r="C44" s="181">
        <f>SUM(C45:C46)</f>
        <v>8789609</v>
      </c>
      <c r="D44" s="181">
        <f>SUM(D45:D46)</f>
        <v>7827019</v>
      </c>
      <c r="E44" s="172">
        <f t="shared" si="2"/>
        <v>0.5635260908994825</v>
      </c>
      <c r="F44" s="172">
        <f t="shared" si="3"/>
        <v>0.8904854584544091</v>
      </c>
      <c r="G44" s="181">
        <f>SUM(G45:G46)</f>
        <v>1653606.0100000002</v>
      </c>
      <c r="H44" s="186" t="s">
        <v>247</v>
      </c>
      <c r="I44" s="182">
        <f>SUM(I45:I46)</f>
        <v>13890</v>
      </c>
      <c r="J44" s="182">
        <f>SUM(J45:J46)</f>
        <v>8789</v>
      </c>
      <c r="K44" s="182">
        <f>SUM(K45:K46)</f>
        <v>7827</v>
      </c>
      <c r="L44" s="174">
        <f t="shared" si="5"/>
        <v>56.349892008639316</v>
      </c>
      <c r="M44" s="174">
        <f t="shared" si="6"/>
        <v>89.05449994311071</v>
      </c>
      <c r="N44" s="182">
        <f>SUM(N45:N46)</f>
        <v>1654</v>
      </c>
      <c r="O44" s="169" t="str">
        <f t="shared" si="0"/>
        <v>Satiksmes ministrija</v>
      </c>
      <c r="P44" s="169">
        <f t="shared" si="1"/>
        <v>7827</v>
      </c>
      <c r="Q44" s="169">
        <v>5004</v>
      </c>
      <c r="R44" s="2">
        <v>7827</v>
      </c>
      <c r="S44" s="60">
        <v>6173</v>
      </c>
      <c r="U44" s="2">
        <f t="shared" si="4"/>
        <v>1654</v>
      </c>
    </row>
    <row r="45" spans="1:21" s="39" customFormat="1" ht="12.75" customHeight="1">
      <c r="A45" s="176" t="s">
        <v>234</v>
      </c>
      <c r="B45" s="183">
        <v>6909764</v>
      </c>
      <c r="C45" s="183">
        <v>4626259</v>
      </c>
      <c r="D45" s="183">
        <v>4501020</v>
      </c>
      <c r="E45" s="56">
        <f t="shared" si="2"/>
        <v>0.6513999609827484</v>
      </c>
      <c r="F45" s="56">
        <f t="shared" si="3"/>
        <v>0.972928666553256</v>
      </c>
      <c r="G45" s="183">
        <f>D45-'[4]Jūlijs'!D45</f>
        <v>513809.64000000013</v>
      </c>
      <c r="H45" s="119" t="s">
        <v>234</v>
      </c>
      <c r="I45" s="185">
        <f>ROUND(B45/1000,0)</f>
        <v>6910</v>
      </c>
      <c r="J45" s="185">
        <f>ROUND(C45/1000,0)</f>
        <v>4626</v>
      </c>
      <c r="K45" s="185">
        <f aca="true" t="shared" si="16" ref="I45:K46">ROUND(D45/1000,0)</f>
        <v>4501</v>
      </c>
      <c r="L45" s="178">
        <f t="shared" si="5"/>
        <v>65.13748191027496</v>
      </c>
      <c r="M45" s="178">
        <f t="shared" si="6"/>
        <v>97.29788153912668</v>
      </c>
      <c r="N45" s="185">
        <f>K45-'[4]Jūlijs'!K45</f>
        <v>514</v>
      </c>
      <c r="O45" s="87" t="str">
        <f t="shared" si="0"/>
        <v>     Uzturēšanas izdevumi</v>
      </c>
      <c r="P45" s="87">
        <f t="shared" si="1"/>
        <v>4501</v>
      </c>
      <c r="Q45" s="169">
        <v>3441</v>
      </c>
      <c r="R45" s="39">
        <v>4501</v>
      </c>
      <c r="S45" s="54">
        <v>3987</v>
      </c>
      <c r="U45" s="2">
        <f t="shared" si="4"/>
        <v>514</v>
      </c>
    </row>
    <row r="46" spans="1:21" s="39" customFormat="1" ht="12.75" customHeight="1">
      <c r="A46" s="176" t="s">
        <v>235</v>
      </c>
      <c r="B46" s="183">
        <v>6979600</v>
      </c>
      <c r="C46" s="183">
        <v>4163350</v>
      </c>
      <c r="D46" s="183">
        <v>3325999</v>
      </c>
      <c r="E46" s="56">
        <f t="shared" si="2"/>
        <v>0.4765314631210958</v>
      </c>
      <c r="F46" s="56">
        <f t="shared" si="3"/>
        <v>0.7988756650293634</v>
      </c>
      <c r="G46" s="183">
        <f>D46-'[4]Jūlijs'!D46</f>
        <v>1139796.37</v>
      </c>
      <c r="H46" s="119" t="s">
        <v>235</v>
      </c>
      <c r="I46" s="185">
        <f t="shared" si="16"/>
        <v>6980</v>
      </c>
      <c r="J46" s="185">
        <f>ROUND(C46/1000,0)</f>
        <v>4163</v>
      </c>
      <c r="K46" s="185">
        <f t="shared" si="16"/>
        <v>3326</v>
      </c>
      <c r="L46" s="178">
        <f t="shared" si="5"/>
        <v>47.65042979942694</v>
      </c>
      <c r="M46" s="178">
        <f t="shared" si="6"/>
        <v>79.89430699015134</v>
      </c>
      <c r="N46" s="185">
        <f>K46-'[4]Jūlijs'!K46</f>
        <v>1140</v>
      </c>
      <c r="O46" s="87" t="str">
        <f t="shared" si="0"/>
        <v>     Izdevumi kapitālieguldījumiem</v>
      </c>
      <c r="P46" s="87">
        <f t="shared" si="1"/>
        <v>3326</v>
      </c>
      <c r="Q46" s="169">
        <v>1563</v>
      </c>
      <c r="R46" s="39">
        <v>3326</v>
      </c>
      <c r="S46" s="54">
        <v>2186</v>
      </c>
      <c r="U46" s="2">
        <f t="shared" si="4"/>
        <v>1140</v>
      </c>
    </row>
    <row r="47" spans="1:21" s="2" customFormat="1" ht="12.75" customHeight="1">
      <c r="A47" s="67" t="s">
        <v>248</v>
      </c>
      <c r="B47" s="181">
        <f>SUM(B48:B49)</f>
        <v>157533223</v>
      </c>
      <c r="C47" s="181">
        <f>SUM(C48:C49)</f>
        <v>106882387</v>
      </c>
      <c r="D47" s="181">
        <f>SUM(D48:D49)</f>
        <v>104941719</v>
      </c>
      <c r="E47" s="172">
        <f t="shared" si="2"/>
        <v>0.6661561098131027</v>
      </c>
      <c r="F47" s="172">
        <f t="shared" si="3"/>
        <v>0.9818429579047482</v>
      </c>
      <c r="G47" s="181">
        <f>SUM(G48:G49)</f>
        <v>13030710.049999993</v>
      </c>
      <c r="H47" s="186" t="s">
        <v>248</v>
      </c>
      <c r="I47" s="182">
        <f>SUM(I48:I49)</f>
        <v>157534</v>
      </c>
      <c r="J47" s="188">
        <f>SUM(J48:J49)</f>
        <v>106883</v>
      </c>
      <c r="K47" s="182">
        <f>SUM(K48:K49)</f>
        <v>104942</v>
      </c>
      <c r="L47" s="174">
        <f t="shared" si="5"/>
        <v>66.61546078941689</v>
      </c>
      <c r="M47" s="174">
        <f t="shared" si="6"/>
        <v>98.18399558395629</v>
      </c>
      <c r="N47" s="182">
        <f>SUM(N48:N49)</f>
        <v>13030</v>
      </c>
      <c r="O47" s="169" t="str">
        <f t="shared" si="0"/>
        <v>Labklājības ministrija</v>
      </c>
      <c r="P47" s="169">
        <f t="shared" si="1"/>
        <v>104942</v>
      </c>
      <c r="Q47" s="169">
        <v>79086</v>
      </c>
      <c r="R47" s="2">
        <v>104942</v>
      </c>
      <c r="S47" s="60">
        <v>91911</v>
      </c>
      <c r="U47" s="2">
        <f t="shared" si="4"/>
        <v>13031</v>
      </c>
    </row>
    <row r="48" spans="1:21" s="39" customFormat="1" ht="12.75" customHeight="1">
      <c r="A48" s="176" t="s">
        <v>234</v>
      </c>
      <c r="B48" s="183">
        <v>153188509</v>
      </c>
      <c r="C48" s="183">
        <v>103465717</v>
      </c>
      <c r="D48" s="183">
        <v>102195519</v>
      </c>
      <c r="E48" s="56">
        <f t="shared" si="2"/>
        <v>0.667122616879834</v>
      </c>
      <c r="F48" s="56">
        <f t="shared" si="3"/>
        <v>0.9877234891244218</v>
      </c>
      <c r="G48" s="183">
        <f>D48-'[4]Jūlijs'!D48</f>
        <v>12617565.319999993</v>
      </c>
      <c r="H48" s="119" t="s">
        <v>234</v>
      </c>
      <c r="I48" s="185">
        <f aca="true" t="shared" si="17" ref="I48:K49">ROUND(B48/1000,0)</f>
        <v>153189</v>
      </c>
      <c r="J48" s="185">
        <f t="shared" si="17"/>
        <v>103466</v>
      </c>
      <c r="K48" s="185">
        <f t="shared" si="17"/>
        <v>102196</v>
      </c>
      <c r="L48" s="178">
        <f t="shared" si="5"/>
        <v>66.7123618536579</v>
      </c>
      <c r="M48" s="178">
        <f t="shared" si="6"/>
        <v>98.77254363752344</v>
      </c>
      <c r="N48" s="185">
        <f>K48-'[4]Jūlijs'!K48-1</f>
        <v>12617</v>
      </c>
      <c r="O48" s="87" t="str">
        <f t="shared" si="0"/>
        <v>     Uzturēšanas izdevumi</v>
      </c>
      <c r="P48" s="87">
        <f t="shared" si="1"/>
        <v>102196</v>
      </c>
      <c r="Q48" s="169">
        <v>77053</v>
      </c>
      <c r="R48" s="39">
        <v>102196</v>
      </c>
      <c r="S48" s="54">
        <v>89578</v>
      </c>
      <c r="U48" s="2">
        <f t="shared" si="4"/>
        <v>12618</v>
      </c>
    </row>
    <row r="49" spans="1:21" s="39" customFormat="1" ht="12.75" customHeight="1">
      <c r="A49" s="176" t="s">
        <v>235</v>
      </c>
      <c r="B49" s="183">
        <v>4344714</v>
      </c>
      <c r="C49" s="183">
        <v>3416670</v>
      </c>
      <c r="D49" s="183">
        <v>2746200</v>
      </c>
      <c r="E49" s="56">
        <f t="shared" si="2"/>
        <v>0.6320784290979797</v>
      </c>
      <c r="F49" s="56">
        <f t="shared" si="3"/>
        <v>0.8037650694974932</v>
      </c>
      <c r="G49" s="183">
        <f>D49-'[4]Jūlijs'!D49</f>
        <v>413144.73</v>
      </c>
      <c r="H49" s="119" t="s">
        <v>235</v>
      </c>
      <c r="I49" s="185">
        <f t="shared" si="17"/>
        <v>4345</v>
      </c>
      <c r="J49" s="185">
        <f t="shared" si="17"/>
        <v>3417</v>
      </c>
      <c r="K49" s="185">
        <f t="shared" si="17"/>
        <v>2746</v>
      </c>
      <c r="L49" s="178">
        <f t="shared" si="5"/>
        <v>63.199079401611044</v>
      </c>
      <c r="M49" s="178">
        <f t="shared" si="6"/>
        <v>80.3628914252268</v>
      </c>
      <c r="N49" s="185">
        <f>K49-'[4]Jūlijs'!K49</f>
        <v>413</v>
      </c>
      <c r="O49" s="87" t="str">
        <f t="shared" si="0"/>
        <v>     Izdevumi kapitālieguldījumiem</v>
      </c>
      <c r="P49" s="87">
        <f t="shared" si="1"/>
        <v>2746</v>
      </c>
      <c r="Q49" s="169">
        <v>2033</v>
      </c>
      <c r="R49" s="39">
        <v>2746</v>
      </c>
      <c r="S49" s="54">
        <v>2333</v>
      </c>
      <c r="U49" s="2">
        <f t="shared" si="4"/>
        <v>413</v>
      </c>
    </row>
    <row r="50" spans="1:21" s="2" customFormat="1" ht="12.75" customHeight="1">
      <c r="A50" s="67" t="s">
        <v>249</v>
      </c>
      <c r="B50" s="181">
        <f>SUM(B51:B52)</f>
        <v>28718346</v>
      </c>
      <c r="C50" s="181">
        <f>SUM(C51:C52)</f>
        <v>19412778</v>
      </c>
      <c r="D50" s="181">
        <f>SUM(D51:D52)</f>
        <v>17937317</v>
      </c>
      <c r="E50" s="172">
        <f t="shared" si="2"/>
        <v>0.6245943620847803</v>
      </c>
      <c r="F50" s="172">
        <f t="shared" si="3"/>
        <v>0.9239953704719643</v>
      </c>
      <c r="G50" s="181">
        <f>SUM(G51:G52)</f>
        <v>2212929.520000001</v>
      </c>
      <c r="H50" s="186" t="s">
        <v>249</v>
      </c>
      <c r="I50" s="182">
        <f>SUM(I51:I52)</f>
        <v>28718</v>
      </c>
      <c r="J50" s="182">
        <f>SUM(J51:J52)</f>
        <v>19413</v>
      </c>
      <c r="K50" s="182">
        <f>SUM(K51:K52)</f>
        <v>17937</v>
      </c>
      <c r="L50" s="174">
        <f t="shared" si="5"/>
        <v>62.459084894491255</v>
      </c>
      <c r="M50" s="174">
        <f t="shared" si="6"/>
        <v>92.3968474733426</v>
      </c>
      <c r="N50" s="182">
        <f>SUM(N51:N52)</f>
        <v>2212</v>
      </c>
      <c r="O50" s="169" t="str">
        <f t="shared" si="0"/>
        <v>Tieslietu ministrija</v>
      </c>
      <c r="P50" s="169">
        <f t="shared" si="1"/>
        <v>17937</v>
      </c>
      <c r="Q50" s="169">
        <v>13601</v>
      </c>
      <c r="R50" s="2">
        <v>17937</v>
      </c>
      <c r="S50" s="60">
        <v>15725</v>
      </c>
      <c r="U50" s="2">
        <f t="shared" si="4"/>
        <v>2212</v>
      </c>
    </row>
    <row r="51" spans="1:21" s="39" customFormat="1" ht="12.75" customHeight="1">
      <c r="A51" s="176" t="s">
        <v>234</v>
      </c>
      <c r="B51" s="183">
        <v>25357301</v>
      </c>
      <c r="C51" s="183">
        <v>16822568</v>
      </c>
      <c r="D51" s="183">
        <v>15965950</v>
      </c>
      <c r="E51" s="56">
        <f t="shared" si="2"/>
        <v>0.6296391717714752</v>
      </c>
      <c r="F51" s="56">
        <f t="shared" si="3"/>
        <v>0.9490792368917754</v>
      </c>
      <c r="G51" s="183">
        <f>D51-'[4]Jūlijs'!D51</f>
        <v>1899126.460000001</v>
      </c>
      <c r="H51" s="119" t="s">
        <v>234</v>
      </c>
      <c r="I51" s="185">
        <f aca="true" t="shared" si="18" ref="I51:K52">ROUND(B51/1000,0)</f>
        <v>25357</v>
      </c>
      <c r="J51" s="185">
        <f t="shared" si="18"/>
        <v>16823</v>
      </c>
      <c r="K51" s="185">
        <f>ROUND(D51/1000,0)</f>
        <v>15966</v>
      </c>
      <c r="L51" s="178">
        <f t="shared" si="5"/>
        <v>62.96486177386915</v>
      </c>
      <c r="M51" s="178">
        <f t="shared" si="6"/>
        <v>94.90578374843963</v>
      </c>
      <c r="N51" s="185">
        <f>K51-'[4]Jūlijs'!K51</f>
        <v>1899</v>
      </c>
      <c r="O51" s="87" t="str">
        <f t="shared" si="0"/>
        <v>     Uzturēšanas izdevumi</v>
      </c>
      <c r="P51" s="87">
        <f t="shared" si="1"/>
        <v>15966</v>
      </c>
      <c r="Q51" s="169">
        <v>12255</v>
      </c>
      <c r="R51" s="39">
        <v>15966</v>
      </c>
      <c r="S51" s="54">
        <v>14067</v>
      </c>
      <c r="U51" s="2">
        <f t="shared" si="4"/>
        <v>1899</v>
      </c>
    </row>
    <row r="52" spans="1:21" s="39" customFormat="1" ht="12.75" customHeight="1">
      <c r="A52" s="176" t="s">
        <v>235</v>
      </c>
      <c r="B52" s="183">
        <v>3361045</v>
      </c>
      <c r="C52" s="183">
        <v>2590210</v>
      </c>
      <c r="D52" s="183">
        <v>1971367</v>
      </c>
      <c r="E52" s="56">
        <f t="shared" si="2"/>
        <v>0.58653395000662</v>
      </c>
      <c r="F52" s="56">
        <f t="shared" si="3"/>
        <v>0.7610838503441806</v>
      </c>
      <c r="G52" s="183">
        <f>D52-'[4]Jūlijs'!D52</f>
        <v>313803.06000000006</v>
      </c>
      <c r="H52" s="119" t="s">
        <v>235</v>
      </c>
      <c r="I52" s="185">
        <f t="shared" si="18"/>
        <v>3361</v>
      </c>
      <c r="J52" s="185">
        <f t="shared" si="18"/>
        <v>2590</v>
      </c>
      <c r="K52" s="185">
        <f t="shared" si="18"/>
        <v>1971</v>
      </c>
      <c r="L52" s="178">
        <f t="shared" si="5"/>
        <v>58.64326093424575</v>
      </c>
      <c r="M52" s="178">
        <f t="shared" si="6"/>
        <v>76.1003861003861</v>
      </c>
      <c r="N52" s="185">
        <f>K52-'[4]Jūlijs'!K52</f>
        <v>313</v>
      </c>
      <c r="O52" s="87" t="str">
        <f t="shared" si="0"/>
        <v>     Izdevumi kapitālieguldījumiem</v>
      </c>
      <c r="P52" s="87">
        <f t="shared" si="1"/>
        <v>1971</v>
      </c>
      <c r="Q52" s="169">
        <v>1346</v>
      </c>
      <c r="R52" s="39">
        <v>1971</v>
      </c>
      <c r="S52" s="54">
        <v>1658</v>
      </c>
      <c r="U52" s="2">
        <f t="shared" si="4"/>
        <v>313</v>
      </c>
    </row>
    <row r="53" spans="1:21" s="2" customFormat="1" ht="12.75" customHeight="1">
      <c r="A53" s="53" t="s">
        <v>250</v>
      </c>
      <c r="B53" s="181">
        <f>SUM(B54:B55)</f>
        <v>8868401</v>
      </c>
      <c r="C53" s="181">
        <f>SUM(C54:C55)</f>
        <v>5732434</v>
      </c>
      <c r="D53" s="181">
        <f>SUM(D54:D55)</f>
        <v>5023366</v>
      </c>
      <c r="E53" s="172">
        <f t="shared" si="2"/>
        <v>0.566434242204429</v>
      </c>
      <c r="F53" s="172">
        <f t="shared" si="3"/>
        <v>0.8763059461303871</v>
      </c>
      <c r="G53" s="181">
        <f>SUM(G54:G55)</f>
        <v>703106.77</v>
      </c>
      <c r="H53" s="70" t="s">
        <v>250</v>
      </c>
      <c r="I53" s="182">
        <f>SUM(I54:I55)</f>
        <v>8868</v>
      </c>
      <c r="J53" s="188">
        <f>SUM(J54:J55)</f>
        <v>5733</v>
      </c>
      <c r="K53" s="182">
        <f>SUM(K54:K55)</f>
        <v>5023</v>
      </c>
      <c r="L53" s="174">
        <f t="shared" si="5"/>
        <v>56.64185836716283</v>
      </c>
      <c r="M53" s="174">
        <f t="shared" si="6"/>
        <v>87.61555904413048</v>
      </c>
      <c r="N53" s="182">
        <f>SUM(N54:N55)</f>
        <v>703</v>
      </c>
      <c r="O53" s="169" t="str">
        <f t="shared" si="0"/>
        <v>Vides aizsardzības un reģionālās attīstības ministrija</v>
      </c>
      <c r="P53" s="169">
        <f t="shared" si="1"/>
        <v>5023</v>
      </c>
      <c r="Q53" s="169">
        <v>3736</v>
      </c>
      <c r="R53" s="2">
        <v>5023</v>
      </c>
      <c r="S53" s="60">
        <v>4320</v>
      </c>
      <c r="U53" s="2">
        <f t="shared" si="4"/>
        <v>703</v>
      </c>
    </row>
    <row r="54" spans="1:21" s="39" customFormat="1" ht="12.75" customHeight="1">
      <c r="A54" s="176" t="s">
        <v>234</v>
      </c>
      <c r="B54" s="183">
        <v>7581021</v>
      </c>
      <c r="C54" s="183">
        <v>4887655</v>
      </c>
      <c r="D54" s="183">
        <v>4412952</v>
      </c>
      <c r="E54" s="50">
        <f t="shared" si="2"/>
        <v>0.5821052335826533</v>
      </c>
      <c r="F54" s="50">
        <f t="shared" si="3"/>
        <v>0.9028771466071153</v>
      </c>
      <c r="G54" s="183">
        <f>D54-'[4]Jūlijs'!D54</f>
        <v>645456.52</v>
      </c>
      <c r="H54" s="119" t="s">
        <v>234</v>
      </c>
      <c r="I54" s="185">
        <f aca="true" t="shared" si="19" ref="I54:K57">ROUND(B54/1000,0)</f>
        <v>7581</v>
      </c>
      <c r="J54" s="185">
        <f>ROUND(C54/1000,0)</f>
        <v>4888</v>
      </c>
      <c r="K54" s="185">
        <f>ROUND(D54/1000,0)</f>
        <v>4413</v>
      </c>
      <c r="L54" s="178">
        <f t="shared" si="5"/>
        <v>58.21131776810448</v>
      </c>
      <c r="M54" s="178">
        <f t="shared" si="6"/>
        <v>90.28232405891981</v>
      </c>
      <c r="N54" s="185">
        <f>K54-'[4]Jūlijs'!K54</f>
        <v>646</v>
      </c>
      <c r="O54" s="87" t="str">
        <f t="shared" si="0"/>
        <v>     Uzturēšanas izdevumi</v>
      </c>
      <c r="P54" s="87">
        <f t="shared" si="1"/>
        <v>4413</v>
      </c>
      <c r="Q54" s="169">
        <v>3262</v>
      </c>
      <c r="R54" s="39">
        <v>4413</v>
      </c>
      <c r="S54" s="54">
        <v>3767</v>
      </c>
      <c r="U54" s="2">
        <f t="shared" si="4"/>
        <v>646</v>
      </c>
    </row>
    <row r="55" spans="1:21" s="39" customFormat="1" ht="12.75" customHeight="1">
      <c r="A55" s="190" t="s">
        <v>235</v>
      </c>
      <c r="B55" s="183">
        <v>1287380</v>
      </c>
      <c r="C55" s="183">
        <v>844779</v>
      </c>
      <c r="D55" s="183">
        <v>610414</v>
      </c>
      <c r="E55" s="50">
        <f t="shared" si="2"/>
        <v>0.47415215398716776</v>
      </c>
      <c r="F55" s="50">
        <f t="shared" si="3"/>
        <v>0.7225724124297598</v>
      </c>
      <c r="G55" s="183">
        <f>D55-'[4]Jūlijs'!D55</f>
        <v>57650.25</v>
      </c>
      <c r="H55" s="191" t="s">
        <v>235</v>
      </c>
      <c r="I55" s="185">
        <f t="shared" si="19"/>
        <v>1287</v>
      </c>
      <c r="J55" s="185">
        <f t="shared" si="19"/>
        <v>845</v>
      </c>
      <c r="K55" s="185">
        <f t="shared" si="19"/>
        <v>610</v>
      </c>
      <c r="L55" s="178">
        <f t="shared" si="5"/>
        <v>47.3970473970474</v>
      </c>
      <c r="M55" s="178">
        <f t="shared" si="6"/>
        <v>72.18934911242604</v>
      </c>
      <c r="N55" s="185">
        <f>K55-'[4]Jūlijs'!K55</f>
        <v>57</v>
      </c>
      <c r="O55" s="87" t="str">
        <f t="shared" si="0"/>
        <v>     Izdevumi kapitālieguldījumiem</v>
      </c>
      <c r="P55" s="87">
        <f t="shared" si="1"/>
        <v>610</v>
      </c>
      <c r="Q55" s="169">
        <v>474</v>
      </c>
      <c r="R55" s="39">
        <v>610</v>
      </c>
      <c r="S55" s="54">
        <v>553</v>
      </c>
      <c r="U55" s="2">
        <f t="shared" si="4"/>
        <v>57</v>
      </c>
    </row>
    <row r="56" spans="1:21" s="2" customFormat="1" ht="12.75" customHeight="1">
      <c r="A56" s="67" t="s">
        <v>251</v>
      </c>
      <c r="B56" s="181">
        <f>B57+B58</f>
        <v>16429548</v>
      </c>
      <c r="C56" s="181">
        <f>C57+C58</f>
        <v>11539467</v>
      </c>
      <c r="D56" s="192">
        <f>D57+D58</f>
        <v>11294774</v>
      </c>
      <c r="E56" s="172">
        <f t="shared" si="2"/>
        <v>0.687467117172061</v>
      </c>
      <c r="F56" s="172">
        <f t="shared" si="3"/>
        <v>0.9787951211264784</v>
      </c>
      <c r="G56" s="181">
        <f>SUM(G57:G58)</f>
        <v>1175586.9400000004</v>
      </c>
      <c r="H56" s="186" t="s">
        <v>251</v>
      </c>
      <c r="I56" s="185">
        <f t="shared" si="19"/>
        <v>16430</v>
      </c>
      <c r="J56" s="182">
        <f>SUM(J57:J58)</f>
        <v>11539</v>
      </c>
      <c r="K56" s="182">
        <f>SUM(K57:K58)</f>
        <v>11295</v>
      </c>
      <c r="L56" s="174">
        <f t="shared" si="5"/>
        <v>68.746195982958</v>
      </c>
      <c r="M56" s="174">
        <f t="shared" si="6"/>
        <v>97.88543201317272</v>
      </c>
      <c r="N56" s="182">
        <f>SUM(N57:N58)</f>
        <v>1176</v>
      </c>
      <c r="O56" s="169" t="str">
        <f t="shared" si="0"/>
        <v>Kultūras ministrija</v>
      </c>
      <c r="P56" s="169">
        <f t="shared" si="1"/>
        <v>11295</v>
      </c>
      <c r="Q56" s="169">
        <v>8669</v>
      </c>
      <c r="R56" s="2">
        <v>11295</v>
      </c>
      <c r="S56" s="60">
        <v>10119</v>
      </c>
      <c r="U56" s="2">
        <f t="shared" si="4"/>
        <v>1176</v>
      </c>
    </row>
    <row r="57" spans="1:21" s="39" customFormat="1" ht="12.75" customHeight="1">
      <c r="A57" s="176" t="s">
        <v>234</v>
      </c>
      <c r="B57" s="183">
        <v>14801982</v>
      </c>
      <c r="C57" s="183">
        <v>10373101</v>
      </c>
      <c r="D57" s="183">
        <v>10184183</v>
      </c>
      <c r="E57" s="56">
        <f t="shared" si="2"/>
        <v>0.688028332962437</v>
      </c>
      <c r="F57" s="56">
        <f t="shared" si="3"/>
        <v>0.9817877026358849</v>
      </c>
      <c r="G57" s="183">
        <f>D57-'[4]Jūlijs'!D57</f>
        <v>1041703.0600000005</v>
      </c>
      <c r="H57" s="119" t="s">
        <v>234</v>
      </c>
      <c r="I57" s="185">
        <f t="shared" si="19"/>
        <v>14802</v>
      </c>
      <c r="J57" s="185">
        <f t="shared" si="19"/>
        <v>10373</v>
      </c>
      <c r="K57" s="185">
        <f>ROUND(D57/1000,0)</f>
        <v>10184</v>
      </c>
      <c r="L57" s="178">
        <f t="shared" si="5"/>
        <v>68.8015133090123</v>
      </c>
      <c r="M57" s="178">
        <f t="shared" si="6"/>
        <v>98.17796201677432</v>
      </c>
      <c r="N57" s="185">
        <f>K57-'[4]Jūlijs'!K57</f>
        <v>1042</v>
      </c>
      <c r="O57" s="87" t="str">
        <f t="shared" si="0"/>
        <v>     Uzturēšanas izdevumi</v>
      </c>
      <c r="P57" s="87">
        <f t="shared" si="1"/>
        <v>10184</v>
      </c>
      <c r="Q57" s="169">
        <v>7833</v>
      </c>
      <c r="R57" s="39">
        <v>10184</v>
      </c>
      <c r="S57" s="54">
        <v>9142</v>
      </c>
      <c r="U57" s="2">
        <f t="shared" si="4"/>
        <v>1042</v>
      </c>
    </row>
    <row r="58" spans="1:21" s="39" customFormat="1" ht="12.75" customHeight="1">
      <c r="A58" s="176" t="s">
        <v>235</v>
      </c>
      <c r="B58" s="183">
        <v>1627566</v>
      </c>
      <c r="C58" s="183">
        <v>1166366</v>
      </c>
      <c r="D58" s="183">
        <v>1110591</v>
      </c>
      <c r="E58" s="56">
        <f t="shared" si="2"/>
        <v>0.6823631115420205</v>
      </c>
      <c r="F58" s="56">
        <f t="shared" si="3"/>
        <v>0.9521805333831748</v>
      </c>
      <c r="G58" s="183">
        <f>D58-'[4]Jūlijs'!D58</f>
        <v>133883.88</v>
      </c>
      <c r="H58" s="119" t="s">
        <v>235</v>
      </c>
      <c r="I58" s="185">
        <f>ROUND(B58/1000,0)</f>
        <v>1628</v>
      </c>
      <c r="J58" s="185">
        <f>ROUND(C58/1000,0)</f>
        <v>1166</v>
      </c>
      <c r="K58" s="185">
        <f>ROUND(D58/1000,0)</f>
        <v>1111</v>
      </c>
      <c r="L58" s="178">
        <f t="shared" si="5"/>
        <v>68.24324324324324</v>
      </c>
      <c r="M58" s="178">
        <f t="shared" si="6"/>
        <v>95.28301886792453</v>
      </c>
      <c r="N58" s="185">
        <f>K58-'[4]Jūlijs'!K58</f>
        <v>134</v>
      </c>
      <c r="O58" s="87" t="str">
        <f t="shared" si="0"/>
        <v>     Izdevumi kapitālieguldījumiem</v>
      </c>
      <c r="P58" s="87">
        <f t="shared" si="1"/>
        <v>1111</v>
      </c>
      <c r="Q58" s="169">
        <v>836</v>
      </c>
      <c r="R58" s="39">
        <v>1111</v>
      </c>
      <c r="S58" s="54">
        <v>977</v>
      </c>
      <c r="U58" s="2">
        <f t="shared" si="4"/>
        <v>134</v>
      </c>
    </row>
    <row r="59" spans="1:21" s="2" customFormat="1" ht="12.75" customHeight="1">
      <c r="A59" s="67" t="s">
        <v>252</v>
      </c>
      <c r="B59" s="181">
        <f>SUM(B60:B61)</f>
        <v>14846381</v>
      </c>
      <c r="C59" s="181">
        <f>SUM(C60:C61)</f>
        <v>9884361</v>
      </c>
      <c r="D59" s="181">
        <f>SUM(D60:D61)</f>
        <v>8989883</v>
      </c>
      <c r="E59" s="172">
        <f t="shared" si="2"/>
        <v>0.6055268957465122</v>
      </c>
      <c r="F59" s="172">
        <f t="shared" si="3"/>
        <v>0.9095057333498847</v>
      </c>
      <c r="G59" s="181">
        <f>SUM(G60:G61)</f>
        <v>1314351.0500000003</v>
      </c>
      <c r="H59" s="186" t="s">
        <v>252</v>
      </c>
      <c r="I59" s="182">
        <f>SUM(I60:I61)</f>
        <v>14847</v>
      </c>
      <c r="J59" s="182">
        <f>SUM(J60:J61)</f>
        <v>9884</v>
      </c>
      <c r="K59" s="182">
        <f>SUM(K60:K61)</f>
        <v>8990</v>
      </c>
      <c r="L59" s="174">
        <f t="shared" si="5"/>
        <v>60.55095305448912</v>
      </c>
      <c r="M59" s="174">
        <f t="shared" si="6"/>
        <v>90.95507891541887</v>
      </c>
      <c r="N59" s="182">
        <f>SUM(N60:N61)</f>
        <v>1315</v>
      </c>
      <c r="O59" s="169" t="str">
        <f t="shared" si="0"/>
        <v>Valsts zemes dienests</v>
      </c>
      <c r="P59" s="169">
        <f t="shared" si="1"/>
        <v>8990</v>
      </c>
      <c r="Q59" s="169">
        <v>6622</v>
      </c>
      <c r="R59" s="2">
        <v>8990</v>
      </c>
      <c r="S59" s="60">
        <v>7675</v>
      </c>
      <c r="U59" s="2">
        <f t="shared" si="4"/>
        <v>1315</v>
      </c>
    </row>
    <row r="60" spans="1:21" s="39" customFormat="1" ht="12.75" customHeight="1">
      <c r="A60" s="176" t="s">
        <v>234</v>
      </c>
      <c r="B60" s="183">
        <v>13564881</v>
      </c>
      <c r="C60" s="183">
        <v>8979415</v>
      </c>
      <c r="D60" s="183">
        <v>8349954</v>
      </c>
      <c r="E60" s="56">
        <f t="shared" si="2"/>
        <v>0.6155567453927535</v>
      </c>
      <c r="F60" s="56">
        <f t="shared" si="3"/>
        <v>0.9298995535900724</v>
      </c>
      <c r="G60" s="183">
        <f>D60-'[4]Jūlijs'!D60</f>
        <v>1232713.7300000004</v>
      </c>
      <c r="H60" s="119" t="s">
        <v>234</v>
      </c>
      <c r="I60" s="185">
        <f aca="true" t="shared" si="20" ref="I60:K61">ROUND(B60/1000,0)</f>
        <v>13565</v>
      </c>
      <c r="J60" s="185">
        <f t="shared" si="20"/>
        <v>8979</v>
      </c>
      <c r="K60" s="185">
        <f t="shared" si="20"/>
        <v>8350</v>
      </c>
      <c r="L60" s="178">
        <f t="shared" si="5"/>
        <v>61.555473645410984</v>
      </c>
      <c r="M60" s="178">
        <f t="shared" si="6"/>
        <v>92.994765564094</v>
      </c>
      <c r="N60" s="185">
        <f>K60-'[4]Jūlijs'!K60</f>
        <v>1233</v>
      </c>
      <c r="O60" s="87" t="str">
        <f t="shared" si="0"/>
        <v>     Uzturēšanas izdevumi</v>
      </c>
      <c r="P60" s="87">
        <f t="shared" si="1"/>
        <v>8350</v>
      </c>
      <c r="Q60" s="169">
        <v>6112</v>
      </c>
      <c r="R60" s="39">
        <v>8350</v>
      </c>
      <c r="S60" s="54">
        <v>7117</v>
      </c>
      <c r="U60" s="2">
        <f t="shared" si="4"/>
        <v>1233</v>
      </c>
    </row>
    <row r="61" spans="1:21" s="39" customFormat="1" ht="12.75" customHeight="1">
      <c r="A61" s="176" t="s">
        <v>235</v>
      </c>
      <c r="B61" s="183">
        <v>1281500</v>
      </c>
      <c r="C61" s="183">
        <v>904946</v>
      </c>
      <c r="D61" s="183">
        <v>639929</v>
      </c>
      <c r="E61" s="56">
        <f t="shared" si="2"/>
        <v>0.4993593445181428</v>
      </c>
      <c r="F61" s="56">
        <f t="shared" si="3"/>
        <v>0.707146061753961</v>
      </c>
      <c r="G61" s="183">
        <f>D61-'[4]Jūlijs'!D61</f>
        <v>81637.31999999995</v>
      </c>
      <c r="H61" s="119" t="s">
        <v>235</v>
      </c>
      <c r="I61" s="185">
        <f t="shared" si="20"/>
        <v>1282</v>
      </c>
      <c r="J61" s="185">
        <f t="shared" si="20"/>
        <v>905</v>
      </c>
      <c r="K61" s="185">
        <f t="shared" si="20"/>
        <v>640</v>
      </c>
      <c r="L61" s="178">
        <f t="shared" si="5"/>
        <v>49.921996879875195</v>
      </c>
      <c r="M61" s="178">
        <f t="shared" si="6"/>
        <v>70.71823204419888</v>
      </c>
      <c r="N61" s="185">
        <f>K61-'[4]Jūlijs'!K61</f>
        <v>82</v>
      </c>
      <c r="O61" s="87" t="str">
        <f t="shared" si="0"/>
        <v>     Izdevumi kapitālieguldījumiem</v>
      </c>
      <c r="P61" s="87">
        <f t="shared" si="1"/>
        <v>640</v>
      </c>
      <c r="Q61" s="169">
        <v>510</v>
      </c>
      <c r="R61" s="39">
        <v>640</v>
      </c>
      <c r="S61" s="54">
        <v>558</v>
      </c>
      <c r="U61" s="2">
        <f t="shared" si="4"/>
        <v>82</v>
      </c>
    </row>
    <row r="62" spans="1:21" s="2" customFormat="1" ht="12.75" customHeight="1">
      <c r="A62" s="67" t="s">
        <v>253</v>
      </c>
      <c r="B62" s="181">
        <f>SUM(B63:B64)</f>
        <v>1165852</v>
      </c>
      <c r="C62" s="181">
        <f>SUM(C63:C64)</f>
        <v>771052</v>
      </c>
      <c r="D62" s="181">
        <f>SUM(D63:D64)</f>
        <v>757765</v>
      </c>
      <c r="E62" s="172">
        <f t="shared" si="2"/>
        <v>0.6499667196179275</v>
      </c>
      <c r="F62" s="172">
        <f t="shared" si="3"/>
        <v>0.982767699195385</v>
      </c>
      <c r="G62" s="181">
        <f>SUM(G63:G64)</f>
        <v>93477.84999999999</v>
      </c>
      <c r="H62" s="186" t="s">
        <v>253</v>
      </c>
      <c r="I62" s="182">
        <f>SUM(I63:I64)</f>
        <v>1168</v>
      </c>
      <c r="J62" s="182">
        <f>SUM(J63:J64)</f>
        <v>772</v>
      </c>
      <c r="K62" s="182">
        <f>SUM(K63:K64)</f>
        <v>758</v>
      </c>
      <c r="L62" s="174">
        <f t="shared" si="5"/>
        <v>64.8972602739726</v>
      </c>
      <c r="M62" s="174">
        <f t="shared" si="6"/>
        <v>98.18652849740933</v>
      </c>
      <c r="N62" s="182">
        <f>SUM(N63:N64)</f>
        <v>94</v>
      </c>
      <c r="O62" s="169" t="str">
        <f t="shared" si="0"/>
        <v>Valsts kontrole</v>
      </c>
      <c r="P62" s="169">
        <f t="shared" si="1"/>
        <v>758</v>
      </c>
      <c r="Q62" s="169">
        <v>554</v>
      </c>
      <c r="R62" s="2">
        <v>758</v>
      </c>
      <c r="S62" s="60">
        <v>664</v>
      </c>
      <c r="U62" s="2">
        <f t="shared" si="4"/>
        <v>94</v>
      </c>
    </row>
    <row r="63" spans="1:21" s="39" customFormat="1" ht="12.75" customHeight="1">
      <c r="A63" s="176" t="s">
        <v>234</v>
      </c>
      <c r="B63" s="183">
        <v>1150312</v>
      </c>
      <c r="C63" s="183">
        <v>755512</v>
      </c>
      <c r="D63" s="183">
        <v>745264</v>
      </c>
      <c r="E63" s="56">
        <f t="shared" si="2"/>
        <v>0.6478798795457232</v>
      </c>
      <c r="F63" s="56">
        <f t="shared" si="3"/>
        <v>0.9864356886455807</v>
      </c>
      <c r="G63" s="183">
        <f>D63-'[4]Jūlijs'!D63</f>
        <v>93477.37</v>
      </c>
      <c r="H63" s="119" t="s">
        <v>234</v>
      </c>
      <c r="I63" s="185">
        <f>ROUND(B63/1000,0)+1</f>
        <v>1151</v>
      </c>
      <c r="J63" s="185">
        <f>ROUND(C63/1000,0)</f>
        <v>756</v>
      </c>
      <c r="K63" s="185">
        <f>ROUND(D63/1000,0)</f>
        <v>745</v>
      </c>
      <c r="L63" s="178">
        <f t="shared" si="5"/>
        <v>64.72632493483927</v>
      </c>
      <c r="M63" s="178">
        <f t="shared" si="6"/>
        <v>98.54497354497354</v>
      </c>
      <c r="N63" s="54">
        <f>K63-'[4]Jūlijs'!K63</f>
        <v>93</v>
      </c>
      <c r="O63" s="87" t="str">
        <f t="shared" si="0"/>
        <v>     Uzturēšanas izdevumi</v>
      </c>
      <c r="P63" s="87">
        <f t="shared" si="1"/>
        <v>745</v>
      </c>
      <c r="Q63" s="169">
        <v>547</v>
      </c>
      <c r="R63" s="39">
        <v>745</v>
      </c>
      <c r="S63" s="54">
        <v>652</v>
      </c>
      <c r="U63" s="2">
        <f t="shared" si="4"/>
        <v>93</v>
      </c>
    </row>
    <row r="64" spans="1:21" s="39" customFormat="1" ht="12.75" customHeight="1">
      <c r="A64" s="176" t="s">
        <v>235</v>
      </c>
      <c r="B64" s="183">
        <v>15540</v>
      </c>
      <c r="C64" s="183">
        <v>15540</v>
      </c>
      <c r="D64" s="183">
        <v>12501</v>
      </c>
      <c r="E64" s="56">
        <f t="shared" si="2"/>
        <v>0.8044401544401545</v>
      </c>
      <c r="F64" s="56">
        <f t="shared" si="3"/>
        <v>0.8044401544401545</v>
      </c>
      <c r="G64" s="183">
        <f>D64-'[4]Jūlijs'!D64</f>
        <v>0.47999999999956344</v>
      </c>
      <c r="H64" s="119" t="s">
        <v>235</v>
      </c>
      <c r="I64" s="185">
        <f>ROUND(B64/1000,0)+1</f>
        <v>17</v>
      </c>
      <c r="J64" s="185">
        <f>ROUND(C64/1000,0)</f>
        <v>16</v>
      </c>
      <c r="K64" s="189">
        <f>ROUND(D64/1000,0)</f>
        <v>13</v>
      </c>
      <c r="L64" s="178">
        <f t="shared" si="5"/>
        <v>76.47058823529412</v>
      </c>
      <c r="M64" s="178">
        <f t="shared" si="6"/>
        <v>81.25</v>
      </c>
      <c r="N64" s="54">
        <f>K64-'[4]Jūlijs'!K64</f>
        <v>1</v>
      </c>
      <c r="O64" s="87" t="str">
        <f t="shared" si="0"/>
        <v>     Izdevumi kapitālieguldījumiem</v>
      </c>
      <c r="P64" s="87">
        <f t="shared" si="1"/>
        <v>13</v>
      </c>
      <c r="Q64" s="169">
        <v>7</v>
      </c>
      <c r="R64" s="39">
        <v>13</v>
      </c>
      <c r="S64" s="54">
        <v>12</v>
      </c>
      <c r="U64" s="2">
        <f t="shared" si="4"/>
        <v>1</v>
      </c>
    </row>
    <row r="65" spans="1:21" s="2" customFormat="1" ht="12.75" customHeight="1">
      <c r="A65" s="67" t="s">
        <v>254</v>
      </c>
      <c r="B65" s="181">
        <f>B66</f>
        <v>743059</v>
      </c>
      <c r="C65" s="181">
        <f>SUM(C66:C66)</f>
        <v>481100</v>
      </c>
      <c r="D65" s="181">
        <f>SUM(D66:D66)</f>
        <v>481070</v>
      </c>
      <c r="E65" s="172">
        <f t="shared" si="2"/>
        <v>0.6474183072945755</v>
      </c>
      <c r="F65" s="172">
        <f t="shared" si="3"/>
        <v>0.9999376429016836</v>
      </c>
      <c r="G65" s="181">
        <f>G66</f>
        <v>59970.419999999984</v>
      </c>
      <c r="H65" s="186" t="s">
        <v>254</v>
      </c>
      <c r="I65" s="182">
        <f>ROUND(B65/1000,0)</f>
        <v>743</v>
      </c>
      <c r="J65" s="182">
        <f>SUM(J66:J66)</f>
        <v>481</v>
      </c>
      <c r="K65" s="182">
        <f>SUM(K66:K66)</f>
        <v>481</v>
      </c>
      <c r="L65" s="174">
        <f t="shared" si="5"/>
        <v>64.73755047106326</v>
      </c>
      <c r="M65" s="174">
        <f t="shared" si="6"/>
        <v>100</v>
      </c>
      <c r="N65" s="182">
        <f>SUM(N66)</f>
        <v>60</v>
      </c>
      <c r="O65" s="169" t="str">
        <f t="shared" si="0"/>
        <v>Augstākā tiesa</v>
      </c>
      <c r="P65" s="169">
        <f t="shared" si="1"/>
        <v>481</v>
      </c>
      <c r="Q65" s="169">
        <v>356</v>
      </c>
      <c r="R65" s="2">
        <v>481</v>
      </c>
      <c r="S65" s="60">
        <v>421</v>
      </c>
      <c r="U65" s="2">
        <f t="shared" si="4"/>
        <v>60</v>
      </c>
    </row>
    <row r="66" spans="1:21" s="39" customFormat="1" ht="12.75" customHeight="1">
      <c r="A66" s="176" t="s">
        <v>234</v>
      </c>
      <c r="B66" s="183">
        <v>743059</v>
      </c>
      <c r="C66" s="183">
        <v>481100</v>
      </c>
      <c r="D66" s="183">
        <v>481070</v>
      </c>
      <c r="E66" s="56">
        <f t="shared" si="2"/>
        <v>0.6474183072945755</v>
      </c>
      <c r="F66" s="56">
        <f t="shared" si="3"/>
        <v>0.9999376429016836</v>
      </c>
      <c r="G66" s="183">
        <f>D66-'[4]Jūlijs'!D66</f>
        <v>59970.419999999984</v>
      </c>
      <c r="H66" s="119" t="s">
        <v>234</v>
      </c>
      <c r="I66" s="185">
        <f>ROUND(B66/1000,0)</f>
        <v>743</v>
      </c>
      <c r="J66" s="185">
        <f>ROUND(C66/1000,0)</f>
        <v>481</v>
      </c>
      <c r="K66" s="185">
        <f>ROUND(D66/1000,0)</f>
        <v>481</v>
      </c>
      <c r="L66" s="178">
        <f t="shared" si="5"/>
        <v>64.73755047106326</v>
      </c>
      <c r="M66" s="178">
        <f t="shared" si="6"/>
        <v>100</v>
      </c>
      <c r="N66" s="185">
        <f>K66-'[4]Jūlijs'!K66</f>
        <v>60</v>
      </c>
      <c r="O66" s="87" t="str">
        <f t="shared" si="0"/>
        <v>     Uzturēšanas izdevumi</v>
      </c>
      <c r="P66" s="87">
        <f t="shared" si="1"/>
        <v>481</v>
      </c>
      <c r="Q66" s="169">
        <v>356</v>
      </c>
      <c r="R66" s="39">
        <v>481</v>
      </c>
      <c r="S66" s="54">
        <v>421</v>
      </c>
      <c r="U66" s="2">
        <f t="shared" si="4"/>
        <v>60</v>
      </c>
    </row>
    <row r="67" spans="1:21" s="2" customFormat="1" ht="12.75" customHeight="1">
      <c r="A67" s="67" t="s">
        <v>255</v>
      </c>
      <c r="B67" s="181">
        <f>SUM(B68:B69)</f>
        <v>337498</v>
      </c>
      <c r="C67" s="181">
        <f>SUM(C68:C69)</f>
        <v>221500</v>
      </c>
      <c r="D67" s="192">
        <f>SUM(D68:D69)</f>
        <v>210975</v>
      </c>
      <c r="E67" s="172">
        <f t="shared" si="2"/>
        <v>0.625114815495203</v>
      </c>
      <c r="F67" s="172">
        <f t="shared" si="3"/>
        <v>0.9524830699774266</v>
      </c>
      <c r="G67" s="181">
        <f>D67-'[4]Jūnijs'!D67</f>
        <v>58404.97999999998</v>
      </c>
      <c r="H67" s="186" t="s">
        <v>255</v>
      </c>
      <c r="I67" s="182">
        <f>SUM(I68:I69)</f>
        <v>338</v>
      </c>
      <c r="J67" s="182">
        <f>SUM(J68:J69)</f>
        <v>222</v>
      </c>
      <c r="K67" s="182">
        <f>SUM(K68:K69)</f>
        <v>211</v>
      </c>
      <c r="L67" s="174">
        <f t="shared" si="5"/>
        <v>62.42603550295858</v>
      </c>
      <c r="M67" s="174">
        <f t="shared" si="6"/>
        <v>95.04504504504504</v>
      </c>
      <c r="N67" s="182">
        <f>N68+N69</f>
        <v>29</v>
      </c>
      <c r="O67" s="169" t="str">
        <f t="shared" si="0"/>
        <v>Satversmes tiesa</v>
      </c>
      <c r="P67" s="169">
        <f t="shared" si="1"/>
        <v>211</v>
      </c>
      <c r="Q67" s="169">
        <v>153</v>
      </c>
      <c r="R67" s="2">
        <v>211</v>
      </c>
      <c r="S67" s="60">
        <v>182</v>
      </c>
      <c r="U67" s="2">
        <f t="shared" si="4"/>
        <v>29</v>
      </c>
    </row>
    <row r="68" spans="1:21" s="39" customFormat="1" ht="12.75" customHeight="1">
      <c r="A68" s="176" t="s">
        <v>234</v>
      </c>
      <c r="B68" s="183">
        <v>311998</v>
      </c>
      <c r="C68" s="183">
        <v>203500</v>
      </c>
      <c r="D68" s="183">
        <v>192978</v>
      </c>
      <c r="E68" s="56">
        <f t="shared" si="2"/>
        <v>0.6185231956615107</v>
      </c>
      <c r="F68" s="56">
        <f t="shared" si="3"/>
        <v>0.9482948402948403</v>
      </c>
      <c r="G68" s="183">
        <f>D68-'[4]Jūlijs'!D68</f>
        <v>25663.95000000001</v>
      </c>
      <c r="H68" s="119" t="s">
        <v>234</v>
      </c>
      <c r="I68" s="185">
        <f aca="true" t="shared" si="21" ref="I68:K69">ROUND(B68/1000,0)</f>
        <v>312</v>
      </c>
      <c r="J68" s="185">
        <f t="shared" si="21"/>
        <v>204</v>
      </c>
      <c r="K68" s="185">
        <f t="shared" si="21"/>
        <v>193</v>
      </c>
      <c r="L68" s="178">
        <f t="shared" si="5"/>
        <v>61.858974358974365</v>
      </c>
      <c r="M68" s="178">
        <f t="shared" si="6"/>
        <v>94.6078431372549</v>
      </c>
      <c r="N68" s="185">
        <f>K68-'[4]Jūlijs'!K68</f>
        <v>26</v>
      </c>
      <c r="O68" s="87" t="str">
        <f t="shared" si="0"/>
        <v>     Uzturēšanas izdevumi</v>
      </c>
      <c r="P68" s="87">
        <f t="shared" si="1"/>
        <v>193</v>
      </c>
      <c r="Q68" s="169">
        <v>140</v>
      </c>
      <c r="R68" s="39">
        <v>193</v>
      </c>
      <c r="S68" s="54">
        <v>167</v>
      </c>
      <c r="U68" s="2">
        <f t="shared" si="4"/>
        <v>26</v>
      </c>
    </row>
    <row r="69" spans="1:21" s="39" customFormat="1" ht="12.75" customHeight="1">
      <c r="A69" s="176" t="s">
        <v>235</v>
      </c>
      <c r="B69" s="183">
        <v>25500</v>
      </c>
      <c r="C69" s="183">
        <v>18000</v>
      </c>
      <c r="D69" s="184">
        <v>17997</v>
      </c>
      <c r="E69" s="56">
        <f t="shared" si="2"/>
        <v>0.705764705882353</v>
      </c>
      <c r="F69" s="56">
        <f t="shared" si="3"/>
        <v>0.9998333333333334</v>
      </c>
      <c r="G69" s="183">
        <f>D69-'[4]Jūlijs'!D69</f>
        <v>2997</v>
      </c>
      <c r="H69" s="119" t="s">
        <v>235</v>
      </c>
      <c r="I69" s="185">
        <f t="shared" si="21"/>
        <v>26</v>
      </c>
      <c r="J69" s="185">
        <f>ROUND(C69/1000,0)</f>
        <v>18</v>
      </c>
      <c r="K69" s="185">
        <f t="shared" si="21"/>
        <v>18</v>
      </c>
      <c r="L69" s="178">
        <f t="shared" si="5"/>
        <v>69.23076923076923</v>
      </c>
      <c r="M69" s="178">
        <f t="shared" si="6"/>
        <v>100</v>
      </c>
      <c r="N69" s="185">
        <f>K69-'[4]Jūlijs'!K69</f>
        <v>3</v>
      </c>
      <c r="O69" s="87" t="str">
        <f t="shared" si="0"/>
        <v>     Izdevumi kapitālieguldījumiem</v>
      </c>
      <c r="P69" s="87">
        <f t="shared" si="1"/>
        <v>18</v>
      </c>
      <c r="Q69" s="169">
        <v>13</v>
      </c>
      <c r="R69" s="39">
        <v>18</v>
      </c>
      <c r="S69" s="54">
        <v>15</v>
      </c>
      <c r="U69" s="2">
        <f t="shared" si="4"/>
        <v>3</v>
      </c>
    </row>
    <row r="70" spans="1:21" s="2" customFormat="1" ht="15" customHeight="1">
      <c r="A70" s="67" t="s">
        <v>256</v>
      </c>
      <c r="B70" s="181">
        <f>SUM(B71:B72)</f>
        <v>6261805</v>
      </c>
      <c r="C70" s="181">
        <f>SUM(C71:C72)</f>
        <v>4161405</v>
      </c>
      <c r="D70" s="181">
        <f>SUM(D71:D72)</f>
        <v>3997163</v>
      </c>
      <c r="E70" s="172">
        <f t="shared" si="2"/>
        <v>0.6383403826851842</v>
      </c>
      <c r="F70" s="172">
        <f t="shared" si="3"/>
        <v>0.960532079910511</v>
      </c>
      <c r="G70" s="181">
        <f>SUM(G71:G72)</f>
        <v>433464.6600000002</v>
      </c>
      <c r="H70" s="186" t="s">
        <v>256</v>
      </c>
      <c r="I70" s="182">
        <f>SUM(I71:I72)</f>
        <v>6262</v>
      </c>
      <c r="J70" s="182">
        <f>SUM(J71:J72)</f>
        <v>4161</v>
      </c>
      <c r="K70" s="188">
        <f>SUM(K71:K72)</f>
        <v>3997</v>
      </c>
      <c r="L70" s="174">
        <f t="shared" si="5"/>
        <v>63.82944746087512</v>
      </c>
      <c r="M70" s="174">
        <f t="shared" si="6"/>
        <v>96.05863975006008</v>
      </c>
      <c r="N70" s="182">
        <f>SUM(N71:N72)</f>
        <v>433</v>
      </c>
      <c r="O70" s="169" t="str">
        <f t="shared" si="0"/>
        <v>Prokuratūra</v>
      </c>
      <c r="P70" s="169">
        <f t="shared" si="1"/>
        <v>3997</v>
      </c>
      <c r="Q70" s="169">
        <v>3045</v>
      </c>
      <c r="R70" s="2">
        <v>3997</v>
      </c>
      <c r="S70" s="60">
        <v>3564</v>
      </c>
      <c r="U70" s="2">
        <f t="shared" si="4"/>
        <v>433</v>
      </c>
    </row>
    <row r="71" spans="1:21" s="39" customFormat="1" ht="12.75" customHeight="1">
      <c r="A71" s="176" t="s">
        <v>234</v>
      </c>
      <c r="B71" s="183">
        <v>6184745</v>
      </c>
      <c r="C71" s="183">
        <v>4104005</v>
      </c>
      <c r="D71" s="183">
        <v>3946843</v>
      </c>
      <c r="E71" s="56">
        <f t="shared" si="2"/>
        <v>0.6381577575146591</v>
      </c>
      <c r="F71" s="56">
        <f t="shared" si="3"/>
        <v>0.9617052123474509</v>
      </c>
      <c r="G71" s="183">
        <f>D71-'[4]Jūlijs'!D71</f>
        <v>428497.2400000002</v>
      </c>
      <c r="H71" s="119" t="s">
        <v>234</v>
      </c>
      <c r="I71" s="185">
        <f aca="true" t="shared" si="22" ref="I71:K72">ROUND(B71/1000,0)</f>
        <v>6185</v>
      </c>
      <c r="J71" s="185">
        <f t="shared" si="22"/>
        <v>4104</v>
      </c>
      <c r="K71" s="185">
        <f>ROUND(D71/1000,0)</f>
        <v>3947</v>
      </c>
      <c r="L71" s="178">
        <f t="shared" si="5"/>
        <v>63.81568310428456</v>
      </c>
      <c r="M71" s="178">
        <f t="shared" si="6"/>
        <v>96.17446393762184</v>
      </c>
      <c r="N71" s="185">
        <f>K71-'[4]Jūlijs'!K71</f>
        <v>428</v>
      </c>
      <c r="O71" s="87" t="str">
        <f t="shared" si="0"/>
        <v>     Uzturēšanas izdevumi</v>
      </c>
      <c r="P71" s="87">
        <f t="shared" si="1"/>
        <v>3947</v>
      </c>
      <c r="Q71" s="169">
        <v>3006</v>
      </c>
      <c r="R71" s="39">
        <v>3947</v>
      </c>
      <c r="S71" s="54">
        <v>3519</v>
      </c>
      <c r="U71" s="2">
        <f t="shared" si="4"/>
        <v>428</v>
      </c>
    </row>
    <row r="72" spans="1:21" s="39" customFormat="1" ht="12.75" customHeight="1">
      <c r="A72" s="176" t="s">
        <v>235</v>
      </c>
      <c r="B72" s="183">
        <v>77060</v>
      </c>
      <c r="C72" s="187">
        <v>57400</v>
      </c>
      <c r="D72" s="183">
        <v>50320</v>
      </c>
      <c r="E72" s="56">
        <f t="shared" si="2"/>
        <v>0.6529976641577991</v>
      </c>
      <c r="F72" s="56">
        <f t="shared" si="3"/>
        <v>0.8766550522648083</v>
      </c>
      <c r="G72" s="183">
        <f>D72-'[4]Jūlijs'!D72</f>
        <v>4967.419999999998</v>
      </c>
      <c r="H72" s="119" t="s">
        <v>235</v>
      </c>
      <c r="I72" s="185">
        <f t="shared" si="22"/>
        <v>77</v>
      </c>
      <c r="J72" s="185">
        <f t="shared" si="22"/>
        <v>57</v>
      </c>
      <c r="K72" s="185">
        <f t="shared" si="22"/>
        <v>50</v>
      </c>
      <c r="L72" s="178">
        <f t="shared" si="5"/>
        <v>64.93506493506493</v>
      </c>
      <c r="M72" s="178">
        <f t="shared" si="6"/>
        <v>87.71929824561403</v>
      </c>
      <c r="N72" s="185">
        <f>K72-'[4]Jūlijs'!K72</f>
        <v>5</v>
      </c>
      <c r="O72" s="87" t="str">
        <f t="shared" si="0"/>
        <v>     Izdevumi kapitālieguldījumiem</v>
      </c>
      <c r="P72" s="87">
        <f t="shared" si="1"/>
        <v>50</v>
      </c>
      <c r="Q72" s="169">
        <v>39</v>
      </c>
      <c r="R72" s="39">
        <v>50</v>
      </c>
      <c r="S72" s="54">
        <v>45</v>
      </c>
      <c r="U72" s="2">
        <f t="shared" si="4"/>
        <v>5</v>
      </c>
    </row>
    <row r="73" spans="1:21" s="2" customFormat="1" ht="12.75" customHeight="1">
      <c r="A73" s="193" t="s">
        <v>257</v>
      </c>
      <c r="B73" s="181">
        <f>SUM(B74:B75)</f>
        <v>77359</v>
      </c>
      <c r="C73" s="181">
        <f>C74+C75</f>
        <v>50080</v>
      </c>
      <c r="D73" s="181">
        <f>SUM(D74:D75)</f>
        <v>43816</v>
      </c>
      <c r="E73" s="172">
        <f t="shared" si="2"/>
        <v>0.5663982212800062</v>
      </c>
      <c r="F73" s="172">
        <f t="shared" si="3"/>
        <v>0.8749201277955272</v>
      </c>
      <c r="G73" s="181">
        <f>SUM(G74:G75)</f>
        <v>3647.470000000002</v>
      </c>
      <c r="H73" s="194" t="s">
        <v>257</v>
      </c>
      <c r="I73" s="182">
        <f>SUM(I74:I75)</f>
        <v>77</v>
      </c>
      <c r="J73" s="182">
        <f>SUM(J74:J75)</f>
        <v>50</v>
      </c>
      <c r="K73" s="182">
        <f>SUM(K74:K75)</f>
        <v>44</v>
      </c>
      <c r="L73" s="174">
        <f t="shared" si="5"/>
        <v>57.14285714285714</v>
      </c>
      <c r="M73" s="174">
        <f t="shared" si="6"/>
        <v>88</v>
      </c>
      <c r="N73" s="182">
        <f>SUM(N74:N75)</f>
        <v>4</v>
      </c>
      <c r="O73" s="169" t="str">
        <f aca="true" t="shared" si="23" ref="O73:O95">H73</f>
        <v>Centrālā vēlēšanu komisija</v>
      </c>
      <c r="P73" s="169">
        <f aca="true" t="shared" si="24" ref="P73:P95">K73</f>
        <v>44</v>
      </c>
      <c r="Q73" s="169">
        <v>33</v>
      </c>
      <c r="R73" s="2">
        <v>44</v>
      </c>
      <c r="S73" s="60">
        <v>40</v>
      </c>
      <c r="U73" s="2">
        <f t="shared" si="4"/>
        <v>4</v>
      </c>
    </row>
    <row r="74" spans="1:21" s="39" customFormat="1" ht="12.75" customHeight="1">
      <c r="A74" s="176" t="s">
        <v>234</v>
      </c>
      <c r="B74" s="183">
        <v>75359</v>
      </c>
      <c r="C74" s="183">
        <v>48080</v>
      </c>
      <c r="D74" s="183">
        <v>42051</v>
      </c>
      <c r="E74" s="56">
        <f t="shared" si="2"/>
        <v>0.5580089969346727</v>
      </c>
      <c r="F74" s="56">
        <f t="shared" si="3"/>
        <v>0.8746048252911813</v>
      </c>
      <c r="G74" s="183">
        <f>D74-'[4]Jūlijs'!D74</f>
        <v>3580.760000000002</v>
      </c>
      <c r="H74" s="119" t="s">
        <v>234</v>
      </c>
      <c r="I74" s="185">
        <f aca="true" t="shared" si="25" ref="I74:K75">ROUND(B74/1000,0)</f>
        <v>75</v>
      </c>
      <c r="J74" s="185">
        <f t="shared" si="25"/>
        <v>48</v>
      </c>
      <c r="K74" s="185">
        <f t="shared" si="25"/>
        <v>42</v>
      </c>
      <c r="L74" s="178">
        <f t="shared" si="5"/>
        <v>56.00000000000001</v>
      </c>
      <c r="M74" s="178">
        <f t="shared" si="6"/>
        <v>87.5</v>
      </c>
      <c r="N74" s="185">
        <f>K74-'[4]Jūlijs'!K74</f>
        <v>4</v>
      </c>
      <c r="O74" s="87" t="str">
        <f t="shared" si="23"/>
        <v>     Uzturēšanas izdevumi</v>
      </c>
      <c r="P74" s="87">
        <f t="shared" si="24"/>
        <v>42</v>
      </c>
      <c r="Q74" s="169">
        <v>32</v>
      </c>
      <c r="R74" s="39">
        <v>42</v>
      </c>
      <c r="S74" s="54">
        <v>38</v>
      </c>
      <c r="U74" s="2">
        <f t="shared" si="4"/>
        <v>4</v>
      </c>
    </row>
    <row r="75" spans="1:21" s="39" customFormat="1" ht="12.75" customHeight="1">
      <c r="A75" s="176" t="s">
        <v>235</v>
      </c>
      <c r="B75" s="183">
        <v>2000</v>
      </c>
      <c r="C75" s="183">
        <v>2000</v>
      </c>
      <c r="D75" s="183">
        <v>1765</v>
      </c>
      <c r="E75" s="56">
        <f t="shared" si="2"/>
        <v>0.8825</v>
      </c>
      <c r="F75" s="56">
        <f t="shared" si="3"/>
        <v>0.8825</v>
      </c>
      <c r="G75" s="183">
        <f>D75-'[4]Jūlijs'!D75</f>
        <v>66.71000000000004</v>
      </c>
      <c r="H75" s="119" t="s">
        <v>235</v>
      </c>
      <c r="I75" s="185">
        <f t="shared" si="25"/>
        <v>2</v>
      </c>
      <c r="J75" s="185">
        <f t="shared" si="25"/>
        <v>2</v>
      </c>
      <c r="K75" s="185">
        <f t="shared" si="25"/>
        <v>2</v>
      </c>
      <c r="L75" s="178">
        <f t="shared" si="5"/>
        <v>100</v>
      </c>
      <c r="M75" s="178">
        <f t="shared" si="6"/>
        <v>100</v>
      </c>
      <c r="N75" s="185">
        <f>K75-'[4]Jūlijs'!K75</f>
        <v>0</v>
      </c>
      <c r="O75" s="87" t="str">
        <f t="shared" si="23"/>
        <v>     Izdevumi kapitālieguldījumiem</v>
      </c>
      <c r="P75" s="87">
        <f t="shared" si="24"/>
        <v>2</v>
      </c>
      <c r="Q75" s="169">
        <v>1</v>
      </c>
      <c r="R75" s="39">
        <v>2</v>
      </c>
      <c r="S75" s="54">
        <v>2</v>
      </c>
      <c r="U75" s="2">
        <f t="shared" si="4"/>
        <v>0</v>
      </c>
    </row>
    <row r="76" spans="1:21" s="2" customFormat="1" ht="12.75" customHeight="1">
      <c r="A76" s="53" t="s">
        <v>258</v>
      </c>
      <c r="B76" s="181">
        <f>SUM(B77)</f>
        <v>52299</v>
      </c>
      <c r="C76" s="181">
        <f>SUM(C77)</f>
        <v>33860</v>
      </c>
      <c r="D76" s="181">
        <f>SUM(D77)</f>
        <v>30158</v>
      </c>
      <c r="E76" s="172">
        <f aca="true" t="shared" si="26" ref="E76:E95">IF(ISERROR(D76/B76)," ",(D76/B76))</f>
        <v>0.5766458249679726</v>
      </c>
      <c r="F76" s="172">
        <f aca="true" t="shared" si="27" ref="F76:F90">IF(ISERROR(D76/C76)," ",(D76/C76))</f>
        <v>0.8906674542232723</v>
      </c>
      <c r="G76" s="181">
        <f>G77</f>
        <v>2926.470000000001</v>
      </c>
      <c r="H76" s="70" t="s">
        <v>258</v>
      </c>
      <c r="I76" s="182">
        <f>SUM(I77)</f>
        <v>52</v>
      </c>
      <c r="J76" s="182">
        <f>SUM(J77)</f>
        <v>34</v>
      </c>
      <c r="K76" s="182">
        <f>SUM(K77)</f>
        <v>30</v>
      </c>
      <c r="L76" s="174">
        <f t="shared" si="5"/>
        <v>57.692307692307686</v>
      </c>
      <c r="M76" s="174">
        <f t="shared" si="6"/>
        <v>88.23529411764706</v>
      </c>
      <c r="N76" s="182">
        <f>SUM(N77)</f>
        <v>3</v>
      </c>
      <c r="O76" s="169" t="str">
        <f t="shared" si="23"/>
        <v>Centrālā zemes komisija</v>
      </c>
      <c r="P76" s="169">
        <f t="shared" si="24"/>
        <v>30</v>
      </c>
      <c r="Q76" s="169">
        <v>25</v>
      </c>
      <c r="R76" s="2">
        <v>30</v>
      </c>
      <c r="S76" s="60">
        <v>27</v>
      </c>
      <c r="U76" s="2">
        <f aca="true" t="shared" si="28" ref="U76:U95">R76-S76</f>
        <v>3</v>
      </c>
    </row>
    <row r="77" spans="1:21" s="39" customFormat="1" ht="12.75" customHeight="1">
      <c r="A77" s="176" t="s">
        <v>234</v>
      </c>
      <c r="B77" s="183">
        <v>52299</v>
      </c>
      <c r="C77" s="183">
        <v>33860</v>
      </c>
      <c r="D77" s="183">
        <v>30158</v>
      </c>
      <c r="E77" s="56">
        <f t="shared" si="26"/>
        <v>0.5766458249679726</v>
      </c>
      <c r="F77" s="56">
        <f t="shared" si="27"/>
        <v>0.8906674542232723</v>
      </c>
      <c r="G77" s="183">
        <f>D77-'[4]Jūlijs'!D77</f>
        <v>2926.470000000001</v>
      </c>
      <c r="H77" s="119" t="s">
        <v>234</v>
      </c>
      <c r="I77" s="185">
        <f>ROUND(B77/1000,0)</f>
        <v>52</v>
      </c>
      <c r="J77" s="185">
        <f>ROUND(C77/1000,0)</f>
        <v>34</v>
      </c>
      <c r="K77" s="185">
        <f>ROUND(D77/1000,0)</f>
        <v>30</v>
      </c>
      <c r="L77" s="178">
        <f t="shared" si="5"/>
        <v>57.692307692307686</v>
      </c>
      <c r="M77" s="178">
        <f t="shared" si="6"/>
        <v>88.23529411764706</v>
      </c>
      <c r="N77" s="185">
        <f>K77-'[4]Jūlijs'!K77</f>
        <v>3</v>
      </c>
      <c r="O77" s="87" t="str">
        <f t="shared" si="23"/>
        <v>     Uzturēšanas izdevumi</v>
      </c>
      <c r="P77" s="87">
        <f t="shared" si="24"/>
        <v>30</v>
      </c>
      <c r="Q77" s="169">
        <v>25</v>
      </c>
      <c r="R77" s="39">
        <v>30</v>
      </c>
      <c r="S77" s="54">
        <v>27</v>
      </c>
      <c r="U77" s="2">
        <f t="shared" si="28"/>
        <v>3</v>
      </c>
    </row>
    <row r="78" spans="1:21" s="2" customFormat="1" ht="12.75" customHeight="1">
      <c r="A78" s="53" t="s">
        <v>259</v>
      </c>
      <c r="B78" s="181">
        <f>SUM(B79)</f>
        <v>784088</v>
      </c>
      <c r="C78" s="181">
        <f>SUM(C79)</f>
        <v>511870</v>
      </c>
      <c r="D78" s="181">
        <f>SUM(D79)</f>
        <v>511870</v>
      </c>
      <c r="E78" s="172">
        <f t="shared" si="26"/>
        <v>0.6528221322096499</v>
      </c>
      <c r="F78" s="172">
        <f t="shared" si="27"/>
        <v>1</v>
      </c>
      <c r="G78" s="181">
        <f>SUM(G79)</f>
        <v>67352</v>
      </c>
      <c r="H78" s="70" t="s">
        <v>259</v>
      </c>
      <c r="I78" s="182">
        <f>SUM(I79)</f>
        <v>784</v>
      </c>
      <c r="J78" s="182">
        <f>SUM(J79)</f>
        <v>512</v>
      </c>
      <c r="K78" s="182">
        <f>SUM(K79)</f>
        <v>512</v>
      </c>
      <c r="L78" s="174">
        <f aca="true" t="shared" si="29" ref="L78:L95">IF(ISERROR(ROUND(K78,0)/ROUND(I78,0))," ",(ROUND(K78,)/ROUND(I78,)))*100</f>
        <v>65.3061224489796</v>
      </c>
      <c r="M78" s="174">
        <f aca="true" t="shared" si="30" ref="M78:M95">IF(ISERROR(ROUND(K78,0)/ROUND(J78,0))," ",(ROUND(K78,)/ROUND(J78,)))*100</f>
        <v>100</v>
      </c>
      <c r="N78" s="182">
        <f>K78-'[4]Jūlijs'!K78</f>
        <v>67</v>
      </c>
      <c r="O78" s="169" t="str">
        <f t="shared" si="23"/>
        <v>Satversmes aizsardzības birojs</v>
      </c>
      <c r="P78" s="169">
        <f t="shared" si="24"/>
        <v>512</v>
      </c>
      <c r="Q78" s="169">
        <v>385</v>
      </c>
      <c r="R78" s="2">
        <v>512</v>
      </c>
      <c r="S78" s="60">
        <v>445</v>
      </c>
      <c r="U78" s="2">
        <f t="shared" si="28"/>
        <v>67</v>
      </c>
    </row>
    <row r="79" spans="1:21" s="39" customFormat="1" ht="12.75" customHeight="1">
      <c r="A79" s="176" t="s">
        <v>234</v>
      </c>
      <c r="B79" s="183">
        <v>784088</v>
      </c>
      <c r="C79" s="183">
        <v>511870</v>
      </c>
      <c r="D79" s="183">
        <v>511870</v>
      </c>
      <c r="E79" s="56">
        <f t="shared" si="26"/>
        <v>0.6528221322096499</v>
      </c>
      <c r="F79" s="56">
        <f t="shared" si="27"/>
        <v>1</v>
      </c>
      <c r="G79" s="183">
        <f>D79-'[4]Jūlijs'!D79</f>
        <v>67352</v>
      </c>
      <c r="H79" s="119" t="s">
        <v>234</v>
      </c>
      <c r="I79" s="185">
        <f>ROUND(B79/1000,0)</f>
        <v>784</v>
      </c>
      <c r="J79" s="185">
        <f>ROUND(C79/1000,0)</f>
        <v>512</v>
      </c>
      <c r="K79" s="185">
        <f>ROUND(D79/1000,0)</f>
        <v>512</v>
      </c>
      <c r="L79" s="178">
        <f t="shared" si="29"/>
        <v>65.3061224489796</v>
      </c>
      <c r="M79" s="178">
        <f t="shared" si="30"/>
        <v>100</v>
      </c>
      <c r="N79" s="185">
        <f>K79-'[4]Jūlijs'!K79</f>
        <v>67</v>
      </c>
      <c r="O79" s="87" t="str">
        <f t="shared" si="23"/>
        <v>     Uzturēšanas izdevumi</v>
      </c>
      <c r="P79" s="87">
        <f t="shared" si="24"/>
        <v>512</v>
      </c>
      <c r="Q79" s="169">
        <v>385</v>
      </c>
      <c r="R79" s="39">
        <v>512</v>
      </c>
      <c r="S79" s="54">
        <v>445</v>
      </c>
      <c r="U79" s="2">
        <f t="shared" si="28"/>
        <v>67</v>
      </c>
    </row>
    <row r="80" spans="1:21" s="2" customFormat="1" ht="12.75" customHeight="1">
      <c r="A80" s="67" t="s">
        <v>260</v>
      </c>
      <c r="B80" s="181">
        <f>SUM(B81:B82)</f>
        <v>6784329</v>
      </c>
      <c r="C80" s="181">
        <f>SUM(C81:C82)</f>
        <v>4556832</v>
      </c>
      <c r="D80" s="192">
        <f>SUM(D81:D82)</f>
        <v>4551640</v>
      </c>
      <c r="E80" s="172">
        <f t="shared" si="26"/>
        <v>0.6709049634827556</v>
      </c>
      <c r="F80" s="172">
        <f t="shared" si="27"/>
        <v>0.998860611933905</v>
      </c>
      <c r="G80" s="181">
        <f>SUM(G81:G82)</f>
        <v>570975.6899999998</v>
      </c>
      <c r="H80" s="186" t="s">
        <v>260</v>
      </c>
      <c r="I80" s="182">
        <f>SUM(I81:I82)</f>
        <v>6783</v>
      </c>
      <c r="J80" s="182">
        <f>SUM(J81:J82)</f>
        <v>4557</v>
      </c>
      <c r="K80" s="182">
        <f>SUM(K81:K82)</f>
        <v>4552</v>
      </c>
      <c r="L80" s="174">
        <f t="shared" si="29"/>
        <v>67.10894884269497</v>
      </c>
      <c r="M80" s="174">
        <f t="shared" si="30"/>
        <v>99.89027869212201</v>
      </c>
      <c r="N80" s="182">
        <f>K80-'[4]Jūlijs'!K80</f>
        <v>571</v>
      </c>
      <c r="O80" s="169" t="str">
        <f t="shared" si="23"/>
        <v>Radio un televīzija</v>
      </c>
      <c r="P80" s="169">
        <f t="shared" si="24"/>
        <v>4552</v>
      </c>
      <c r="Q80" s="169">
        <v>3431</v>
      </c>
      <c r="R80" s="2">
        <v>4552</v>
      </c>
      <c r="S80" s="60">
        <v>3981</v>
      </c>
      <c r="U80" s="2">
        <f t="shared" si="28"/>
        <v>571</v>
      </c>
    </row>
    <row r="81" spans="1:21" s="39" customFormat="1" ht="12.75" customHeight="1">
      <c r="A81" s="176" t="s">
        <v>234</v>
      </c>
      <c r="B81" s="183">
        <v>6576329</v>
      </c>
      <c r="C81" s="183">
        <v>4375932</v>
      </c>
      <c r="D81" s="183">
        <v>4373135</v>
      </c>
      <c r="E81" s="56">
        <f t="shared" si="26"/>
        <v>0.6649811771886717</v>
      </c>
      <c r="F81" s="56">
        <f t="shared" si="27"/>
        <v>0.9993608218774881</v>
      </c>
      <c r="G81" s="183">
        <f>D81-'[4]Jūlijs'!D81</f>
        <v>550975.5899999999</v>
      </c>
      <c r="H81" s="119" t="s">
        <v>234</v>
      </c>
      <c r="I81" s="185">
        <f aca="true" t="shared" si="31" ref="I81:K82">ROUND(B81/1000,0)</f>
        <v>6576</v>
      </c>
      <c r="J81" s="185">
        <f>ROUND(C81/1000,0)</f>
        <v>4376</v>
      </c>
      <c r="K81" s="185">
        <f t="shared" si="31"/>
        <v>4373</v>
      </c>
      <c r="L81" s="178">
        <f t="shared" si="29"/>
        <v>66.49939172749392</v>
      </c>
      <c r="M81" s="178">
        <f t="shared" si="30"/>
        <v>99.93144424131627</v>
      </c>
      <c r="N81" s="185">
        <f>K81-'[4]Jūlijs'!K81</f>
        <v>551</v>
      </c>
      <c r="O81" s="87" t="str">
        <f t="shared" si="23"/>
        <v>     Uzturēšanas izdevumi</v>
      </c>
      <c r="P81" s="87">
        <f t="shared" si="24"/>
        <v>4373</v>
      </c>
      <c r="Q81" s="169">
        <v>3273</v>
      </c>
      <c r="R81" s="39">
        <v>4373</v>
      </c>
      <c r="S81" s="54">
        <v>3822</v>
      </c>
      <c r="U81" s="2">
        <f t="shared" si="28"/>
        <v>551</v>
      </c>
    </row>
    <row r="82" spans="1:21" s="39" customFormat="1" ht="12.75" customHeight="1">
      <c r="A82" s="176" t="s">
        <v>235</v>
      </c>
      <c r="B82" s="183">
        <v>208000</v>
      </c>
      <c r="C82" s="183">
        <v>180900</v>
      </c>
      <c r="D82" s="183">
        <v>178505</v>
      </c>
      <c r="E82" s="56">
        <f t="shared" si="26"/>
        <v>0.8581971153846154</v>
      </c>
      <c r="F82" s="56">
        <f t="shared" si="27"/>
        <v>0.9867606412382531</v>
      </c>
      <c r="G82" s="183">
        <f>D82-'[4]Jūlijs'!D82</f>
        <v>20000.100000000006</v>
      </c>
      <c r="H82" s="119" t="s">
        <v>235</v>
      </c>
      <c r="I82" s="185">
        <f>ROUND(B82/1000,0)-1</f>
        <v>207</v>
      </c>
      <c r="J82" s="185">
        <f t="shared" si="31"/>
        <v>181</v>
      </c>
      <c r="K82" s="185">
        <f>ROUND(D82/1000,0)</f>
        <v>179</v>
      </c>
      <c r="L82" s="178">
        <f t="shared" si="29"/>
        <v>86.47342995169082</v>
      </c>
      <c r="M82" s="178">
        <f t="shared" si="30"/>
        <v>98.89502762430939</v>
      </c>
      <c r="N82" s="185">
        <f>K82-'[4]Jūlijs'!K82</f>
        <v>20</v>
      </c>
      <c r="O82" s="87" t="str">
        <f t="shared" si="23"/>
        <v>     Izdevumi kapitālieguldījumiem</v>
      </c>
      <c r="P82" s="87">
        <f t="shared" si="24"/>
        <v>179</v>
      </c>
      <c r="Q82" s="169">
        <v>158</v>
      </c>
      <c r="R82" s="39">
        <v>179</v>
      </c>
      <c r="S82" s="54">
        <v>159</v>
      </c>
      <c r="U82" s="2">
        <f t="shared" si="28"/>
        <v>20</v>
      </c>
    </row>
    <row r="83" spans="1:21" s="2" customFormat="1" ht="12.75" customHeight="1">
      <c r="A83" s="53" t="s">
        <v>261</v>
      </c>
      <c r="B83" s="181">
        <f>SUM(B84)</f>
        <v>96621</v>
      </c>
      <c r="C83" s="181">
        <f>SUM(C84)</f>
        <v>66852</v>
      </c>
      <c r="D83" s="181">
        <f>SUM(D84)</f>
        <v>66852</v>
      </c>
      <c r="E83" s="172">
        <f t="shared" si="26"/>
        <v>0.6918992765547862</v>
      </c>
      <c r="F83" s="172">
        <f t="shared" si="27"/>
        <v>1</v>
      </c>
      <c r="G83" s="181">
        <f>SUM(G84)</f>
        <v>8264</v>
      </c>
      <c r="H83" s="70" t="s">
        <v>261</v>
      </c>
      <c r="I83" s="182">
        <f>SUM(I84)</f>
        <v>97</v>
      </c>
      <c r="J83" s="182">
        <f>SUM(J84)</f>
        <v>67</v>
      </c>
      <c r="K83" s="182">
        <f>SUM(K84)</f>
        <v>67</v>
      </c>
      <c r="L83" s="174">
        <f t="shared" si="29"/>
        <v>69.0721649484536</v>
      </c>
      <c r="M83" s="174">
        <f t="shared" si="30"/>
        <v>100</v>
      </c>
      <c r="N83" s="182">
        <f>SUM(N84)</f>
        <v>8</v>
      </c>
      <c r="O83" s="169" t="str">
        <f t="shared" si="23"/>
        <v>Valsts cilvēktiesību birojs</v>
      </c>
      <c r="P83" s="169">
        <f t="shared" si="24"/>
        <v>67</v>
      </c>
      <c r="Q83" s="169">
        <v>50</v>
      </c>
      <c r="R83" s="2">
        <v>67</v>
      </c>
      <c r="S83" s="60">
        <v>59</v>
      </c>
      <c r="U83" s="2">
        <f t="shared" si="28"/>
        <v>8</v>
      </c>
    </row>
    <row r="84" spans="1:21" s="39" customFormat="1" ht="12.75" customHeight="1">
      <c r="A84" s="176" t="s">
        <v>234</v>
      </c>
      <c r="B84" s="183">
        <v>96621</v>
      </c>
      <c r="C84" s="183">
        <v>66852</v>
      </c>
      <c r="D84" s="183">
        <v>66852</v>
      </c>
      <c r="E84" s="56">
        <f t="shared" si="26"/>
        <v>0.6918992765547862</v>
      </c>
      <c r="F84" s="56">
        <f t="shared" si="27"/>
        <v>1</v>
      </c>
      <c r="G84" s="183">
        <f>D84-'[4]Jūlijs'!D84</f>
        <v>8264</v>
      </c>
      <c r="H84" s="119" t="s">
        <v>234</v>
      </c>
      <c r="I84" s="185">
        <f>ROUND(B84/1000,0)</f>
        <v>97</v>
      </c>
      <c r="J84" s="185">
        <f>ROUND(C84/1000,0)</f>
        <v>67</v>
      </c>
      <c r="K84" s="185">
        <f>ROUND(D84/1000,0)</f>
        <v>67</v>
      </c>
      <c r="L84" s="178">
        <f t="shared" si="29"/>
        <v>69.0721649484536</v>
      </c>
      <c r="M84" s="178">
        <f t="shared" si="30"/>
        <v>100</v>
      </c>
      <c r="N84" s="185">
        <f>K84-'[4]Jūlijs'!K84</f>
        <v>8</v>
      </c>
      <c r="O84" s="87" t="str">
        <f t="shared" si="23"/>
        <v>     Uzturēšanas izdevumi</v>
      </c>
      <c r="P84" s="87">
        <f t="shared" si="24"/>
        <v>67</v>
      </c>
      <c r="Q84" s="169">
        <v>50</v>
      </c>
      <c r="R84" s="39">
        <v>67</v>
      </c>
      <c r="S84" s="54">
        <v>59</v>
      </c>
      <c r="U84" s="2">
        <f t="shared" si="28"/>
        <v>8</v>
      </c>
    </row>
    <row r="85" spans="1:21" s="2" customFormat="1" ht="38.25" customHeight="1">
      <c r="A85" s="195" t="s">
        <v>262</v>
      </c>
      <c r="B85" s="181">
        <f>SUM(B86:B87)</f>
        <v>2265881</v>
      </c>
      <c r="C85" s="181">
        <f>SUM(C86:C87)</f>
        <v>1537507</v>
      </c>
      <c r="D85" s="192">
        <f>SUM(D86:D87)</f>
        <v>826458</v>
      </c>
      <c r="E85" s="172">
        <f t="shared" si="26"/>
        <v>0.3647402489362857</v>
      </c>
      <c r="F85" s="172">
        <f t="shared" si="27"/>
        <v>0.5375312112400139</v>
      </c>
      <c r="G85" s="181">
        <f>SUM(G86:G87)</f>
        <v>119191.37</v>
      </c>
      <c r="H85" s="141" t="s">
        <v>262</v>
      </c>
      <c r="I85" s="182">
        <f>SUM(I86:I87)</f>
        <v>2266</v>
      </c>
      <c r="J85" s="182">
        <f>SUM(J86:J87)</f>
        <v>1538</v>
      </c>
      <c r="K85" s="182">
        <f>SUM(K86:K87)</f>
        <v>826</v>
      </c>
      <c r="L85" s="174">
        <f t="shared" si="29"/>
        <v>36.45189761694616</v>
      </c>
      <c r="M85" s="174">
        <f t="shared" si="30"/>
        <v>53.70611183355006</v>
      </c>
      <c r="N85" s="182">
        <f>K85-'[4]Jūlijs'!K85</f>
        <v>119</v>
      </c>
      <c r="O85" s="169" t="str">
        <f t="shared" si="23"/>
        <v>Īpašu uzdevumu ministra sadarbībai  ar starptautiskajām finansu institūcijām sekretariāts</v>
      </c>
      <c r="P85" s="169">
        <f t="shared" si="24"/>
        <v>826</v>
      </c>
      <c r="Q85" s="169">
        <v>673</v>
      </c>
      <c r="R85" s="2">
        <v>826</v>
      </c>
      <c r="S85" s="60">
        <v>707</v>
      </c>
      <c r="U85" s="2">
        <f t="shared" si="28"/>
        <v>119</v>
      </c>
    </row>
    <row r="86" spans="1:21" s="39" customFormat="1" ht="12.75" customHeight="1">
      <c r="A86" s="176" t="s">
        <v>234</v>
      </c>
      <c r="B86" s="183">
        <v>2261881</v>
      </c>
      <c r="C86" s="183">
        <v>1533507</v>
      </c>
      <c r="D86" s="183">
        <v>822458</v>
      </c>
      <c r="E86" s="50">
        <f>IF(ISERROR(D86/B86)," ",(D86/B86))</f>
        <v>0.363616830416808</v>
      </c>
      <c r="F86" s="50">
        <f>IF(ISERROR(D86/C86)," ",(D86/C86))</f>
        <v>0.5363249075485146</v>
      </c>
      <c r="G86" s="183">
        <f>D86-'[4]Jūlijs'!D86</f>
        <v>119191.37</v>
      </c>
      <c r="H86" s="119" t="s">
        <v>234</v>
      </c>
      <c r="I86" s="185">
        <f aca="true" t="shared" si="32" ref="I86:K87">ROUND(B86/1000,0)</f>
        <v>2262</v>
      </c>
      <c r="J86" s="185">
        <f t="shared" si="32"/>
        <v>1534</v>
      </c>
      <c r="K86" s="185">
        <f>ROUND(D86/1000,0)</f>
        <v>822</v>
      </c>
      <c r="L86" s="178">
        <f t="shared" si="29"/>
        <v>36.339522546419104</v>
      </c>
      <c r="M86" s="178">
        <f t="shared" si="30"/>
        <v>53.58539765319426</v>
      </c>
      <c r="N86" s="185">
        <f>K86-'[4]Jūlijs'!K86</f>
        <v>119</v>
      </c>
      <c r="O86" s="87" t="str">
        <f t="shared" si="23"/>
        <v>     Uzturēšanas izdevumi</v>
      </c>
      <c r="P86" s="87">
        <f t="shared" si="24"/>
        <v>822</v>
      </c>
      <c r="Q86" s="169">
        <v>671</v>
      </c>
      <c r="R86" s="39">
        <v>822</v>
      </c>
      <c r="S86" s="54">
        <v>703</v>
      </c>
      <c r="U86" s="2">
        <f t="shared" si="28"/>
        <v>119</v>
      </c>
    </row>
    <row r="87" spans="1:21" s="39" customFormat="1" ht="12.75" customHeight="1">
      <c r="A87" s="176" t="s">
        <v>235</v>
      </c>
      <c r="B87" s="183">
        <v>4000</v>
      </c>
      <c r="C87" s="183">
        <v>4000</v>
      </c>
      <c r="D87" s="183">
        <v>4000</v>
      </c>
      <c r="E87" s="50">
        <f t="shared" si="26"/>
        <v>1</v>
      </c>
      <c r="F87" s="50">
        <f>IF(ISERROR(D87/C87)," ",(D87/C87))</f>
        <v>1</v>
      </c>
      <c r="G87" s="183">
        <f>D87-'[4]Jūlijs'!D87</f>
        <v>0</v>
      </c>
      <c r="H87" s="119" t="s">
        <v>235</v>
      </c>
      <c r="I87" s="185">
        <f t="shared" si="32"/>
        <v>4</v>
      </c>
      <c r="J87" s="185">
        <f t="shared" si="32"/>
        <v>4</v>
      </c>
      <c r="K87" s="185">
        <f t="shared" si="32"/>
        <v>4</v>
      </c>
      <c r="L87" s="178">
        <f t="shared" si="29"/>
        <v>100</v>
      </c>
      <c r="M87" s="178">
        <f t="shared" si="30"/>
        <v>100</v>
      </c>
      <c r="N87" s="185">
        <f>K87-'[4]Jūlijs'!K87</f>
        <v>0</v>
      </c>
      <c r="O87" s="87" t="str">
        <f t="shared" si="23"/>
        <v>     Izdevumi kapitālieguldījumiem</v>
      </c>
      <c r="P87" s="87">
        <f t="shared" si="24"/>
        <v>4</v>
      </c>
      <c r="Q87" s="169">
        <v>2</v>
      </c>
      <c r="R87" s="39">
        <v>4</v>
      </c>
      <c r="S87" s="54">
        <v>4</v>
      </c>
      <c r="U87" s="2">
        <f t="shared" si="28"/>
        <v>0</v>
      </c>
    </row>
    <row r="88" spans="1:21" s="2" customFormat="1" ht="36" customHeight="1">
      <c r="A88" s="195" t="s">
        <v>263</v>
      </c>
      <c r="B88" s="181">
        <f>SUM(B89:B90)</f>
        <v>2790200</v>
      </c>
      <c r="C88" s="181">
        <f>SUM(C89:C90)</f>
        <v>2141123</v>
      </c>
      <c r="D88" s="192">
        <f>SUM(D89:D90)</f>
        <v>686041</v>
      </c>
      <c r="E88" s="172">
        <f t="shared" si="26"/>
        <v>0.2458752060784173</v>
      </c>
      <c r="F88" s="172">
        <f t="shared" si="27"/>
        <v>0.3204117652278734</v>
      </c>
      <c r="G88" s="181">
        <f>SUM(G89:G90)</f>
        <v>50968.18999999996</v>
      </c>
      <c r="H88" s="141" t="s">
        <v>264</v>
      </c>
      <c r="I88" s="182">
        <f>SUM(I89:I90)</f>
        <v>2791</v>
      </c>
      <c r="J88" s="182">
        <f>SUM(J89:J90)</f>
        <v>2142</v>
      </c>
      <c r="K88" s="182">
        <f>SUM(K89:K90)</f>
        <v>686</v>
      </c>
      <c r="L88" s="174">
        <f t="shared" si="29"/>
        <v>24.579003941239698</v>
      </c>
      <c r="M88" s="174">
        <f t="shared" si="30"/>
        <v>32.02614379084967</v>
      </c>
      <c r="N88" s="182">
        <f>K88-'[4]Jūlijs'!K88</f>
        <v>51</v>
      </c>
      <c r="O88" s="169" t="str">
        <f t="shared" si="23"/>
        <v>Īpašu uzdevumu ministra valsts pārvaldes  un  pašvaldību  reformas jautājumos  sekretariāts</v>
      </c>
      <c r="P88" s="169">
        <f t="shared" si="24"/>
        <v>686</v>
      </c>
      <c r="Q88" s="169">
        <v>579</v>
      </c>
      <c r="R88" s="2">
        <v>686</v>
      </c>
      <c r="S88" s="60">
        <v>635</v>
      </c>
      <c r="U88" s="2">
        <f t="shared" si="28"/>
        <v>51</v>
      </c>
    </row>
    <row r="89" spans="1:21" s="39" customFormat="1" ht="12.75" customHeight="1">
      <c r="A89" s="176" t="s">
        <v>234</v>
      </c>
      <c r="B89" s="183">
        <v>2764643</v>
      </c>
      <c r="C89" s="183">
        <v>2121566</v>
      </c>
      <c r="D89" s="183">
        <v>675407</v>
      </c>
      <c r="E89" s="50">
        <f t="shared" si="26"/>
        <v>0.24430170550049318</v>
      </c>
      <c r="F89" s="50">
        <f t="shared" si="27"/>
        <v>0.31835304675885645</v>
      </c>
      <c r="G89" s="183">
        <f>D89-'[4]Jūlijs'!D89</f>
        <v>50471.82999999996</v>
      </c>
      <c r="H89" s="119" t="s">
        <v>234</v>
      </c>
      <c r="I89" s="185">
        <f aca="true" t="shared" si="33" ref="I89:K90">ROUND(B89/1000,0)</f>
        <v>2765</v>
      </c>
      <c r="J89" s="185">
        <f t="shared" si="33"/>
        <v>2122</v>
      </c>
      <c r="K89" s="185">
        <f>ROUND(D89/1000,0)</f>
        <v>675</v>
      </c>
      <c r="L89" s="178">
        <f t="shared" si="29"/>
        <v>24.412296564195298</v>
      </c>
      <c r="M89" s="178">
        <f t="shared" si="30"/>
        <v>31.809613572101792</v>
      </c>
      <c r="N89" s="185">
        <f>K89-'[4]Jūlijs'!K89</f>
        <v>50</v>
      </c>
      <c r="O89" s="87" t="str">
        <f t="shared" si="23"/>
        <v>     Uzturēšanas izdevumi</v>
      </c>
      <c r="P89" s="87">
        <f t="shared" si="24"/>
        <v>675</v>
      </c>
      <c r="Q89" s="169">
        <v>569</v>
      </c>
      <c r="R89" s="39">
        <v>675</v>
      </c>
      <c r="S89" s="54">
        <v>625</v>
      </c>
      <c r="U89" s="2">
        <f t="shared" si="28"/>
        <v>50</v>
      </c>
    </row>
    <row r="90" spans="1:21" s="39" customFormat="1" ht="12.75" customHeight="1">
      <c r="A90" s="176" t="s">
        <v>235</v>
      </c>
      <c r="B90" s="183">
        <v>25557</v>
      </c>
      <c r="C90" s="183">
        <v>19557</v>
      </c>
      <c r="D90" s="183">
        <v>10634</v>
      </c>
      <c r="E90" s="50">
        <f t="shared" si="26"/>
        <v>0.4160895253746527</v>
      </c>
      <c r="F90" s="50">
        <f t="shared" si="27"/>
        <v>0.5437439280053178</v>
      </c>
      <c r="G90" s="183">
        <f>D90-'[4]Jūlijs'!D90</f>
        <v>496.3600000000006</v>
      </c>
      <c r="H90" s="119" t="s">
        <v>235</v>
      </c>
      <c r="I90" s="185">
        <f t="shared" si="33"/>
        <v>26</v>
      </c>
      <c r="J90" s="185">
        <f>ROUND(C90/1000,0)</f>
        <v>20</v>
      </c>
      <c r="K90" s="185">
        <f t="shared" si="33"/>
        <v>11</v>
      </c>
      <c r="L90" s="178">
        <f t="shared" si="29"/>
        <v>42.30769230769231</v>
      </c>
      <c r="M90" s="178">
        <f t="shared" si="30"/>
        <v>55.00000000000001</v>
      </c>
      <c r="N90" s="185">
        <f>K90-'[4]Jūlijs'!K90</f>
        <v>1</v>
      </c>
      <c r="O90" s="87" t="str">
        <f t="shared" si="23"/>
        <v>     Izdevumi kapitālieguldījumiem</v>
      </c>
      <c r="P90" s="87">
        <f t="shared" si="24"/>
        <v>11</v>
      </c>
      <c r="Q90" s="169">
        <v>10</v>
      </c>
      <c r="R90" s="39">
        <v>11</v>
      </c>
      <c r="S90" s="54">
        <v>10</v>
      </c>
      <c r="U90" s="2">
        <f t="shared" si="28"/>
        <v>1</v>
      </c>
    </row>
    <row r="91" spans="1:21" s="2" customFormat="1" ht="12.75" customHeight="1">
      <c r="A91" s="53" t="s">
        <v>265</v>
      </c>
      <c r="B91" s="181">
        <f>SUM(B92:B93)</f>
        <v>94493267</v>
      </c>
      <c r="C91" s="181">
        <f>SUM(C92:C93)</f>
        <v>68203765</v>
      </c>
      <c r="D91" s="181">
        <f>SUM(D92:D93)</f>
        <v>65945251</v>
      </c>
      <c r="E91" s="172">
        <f t="shared" si="26"/>
        <v>0.6978830671607533</v>
      </c>
      <c r="F91" s="172">
        <f>IF(ISERROR(D91/C91)," ",(D91/C91))</f>
        <v>0.9668857870236343</v>
      </c>
      <c r="G91" s="181">
        <f>SUM(G92:G93)</f>
        <v>5074566.2</v>
      </c>
      <c r="H91" s="70" t="s">
        <v>265</v>
      </c>
      <c r="I91" s="182">
        <f>SUM(I92:I93)</f>
        <v>94494</v>
      </c>
      <c r="J91" s="182">
        <f>SUM(J92:J93)</f>
        <v>68203</v>
      </c>
      <c r="K91" s="182">
        <f>SUM(K92:K93)</f>
        <v>65945</v>
      </c>
      <c r="L91" s="174">
        <f t="shared" si="29"/>
        <v>69.78749973543293</v>
      </c>
      <c r="M91" s="174">
        <f t="shared" si="30"/>
        <v>96.68929519229359</v>
      </c>
      <c r="N91" s="182">
        <f>SUM(N92:N93)</f>
        <v>5075</v>
      </c>
      <c r="O91" s="169" t="str">
        <f t="shared" si="23"/>
        <v>Mērķdotācijas pašvaldībām</v>
      </c>
      <c r="P91" s="169">
        <f t="shared" si="24"/>
        <v>65945</v>
      </c>
      <c r="Q91" s="169">
        <v>55029</v>
      </c>
      <c r="R91" s="2">
        <v>65945</v>
      </c>
      <c r="S91" s="60">
        <v>60871</v>
      </c>
      <c r="U91" s="2">
        <f t="shared" si="28"/>
        <v>5074</v>
      </c>
    </row>
    <row r="92" spans="1:21" s="39" customFormat="1" ht="12.75" customHeight="1">
      <c r="A92" s="176" t="s">
        <v>234</v>
      </c>
      <c r="B92" s="183">
        <v>83728544</v>
      </c>
      <c r="C92" s="183">
        <v>60854362</v>
      </c>
      <c r="D92" s="183">
        <v>60854281</v>
      </c>
      <c r="E92" s="56">
        <f t="shared" si="26"/>
        <v>0.7268044813964518</v>
      </c>
      <c r="F92" s="56">
        <f>IF(ISERROR(D92/C92)," ",(D92/C92))</f>
        <v>0.9999986689532625</v>
      </c>
      <c r="G92" s="183">
        <f>D92-'[4]Jūlijs'!D92</f>
        <v>3688648</v>
      </c>
      <c r="H92" s="119" t="s">
        <v>234</v>
      </c>
      <c r="I92" s="185">
        <f aca="true" t="shared" si="34" ref="I92:K93">ROUND(B92/1000,0)</f>
        <v>83729</v>
      </c>
      <c r="J92" s="185">
        <f t="shared" si="34"/>
        <v>60854</v>
      </c>
      <c r="K92" s="185">
        <f t="shared" si="34"/>
        <v>60854</v>
      </c>
      <c r="L92" s="178">
        <f t="shared" si="29"/>
        <v>72.67971670508426</v>
      </c>
      <c r="M92" s="178">
        <f t="shared" si="30"/>
        <v>100</v>
      </c>
      <c r="N92" s="185">
        <f>K92-'[4]Jūlijs'!K92+1</f>
        <v>3689</v>
      </c>
      <c r="O92" s="87" t="str">
        <f t="shared" si="23"/>
        <v>     Uzturēšanas izdevumi</v>
      </c>
      <c r="P92" s="87">
        <f t="shared" si="24"/>
        <v>60854</v>
      </c>
      <c r="Q92" s="169">
        <v>52427</v>
      </c>
      <c r="R92" s="39">
        <v>60854</v>
      </c>
      <c r="S92" s="54">
        <v>57166</v>
      </c>
      <c r="U92" s="2">
        <f t="shared" si="28"/>
        <v>3688</v>
      </c>
    </row>
    <row r="93" spans="1:21" s="39" customFormat="1" ht="12.75" customHeight="1">
      <c r="A93" s="176" t="s">
        <v>235</v>
      </c>
      <c r="B93" s="183">
        <v>10764723</v>
      </c>
      <c r="C93" s="183">
        <v>7349403</v>
      </c>
      <c r="D93" s="183">
        <v>5090970</v>
      </c>
      <c r="E93" s="56">
        <f t="shared" si="26"/>
        <v>0.4729308873066218</v>
      </c>
      <c r="F93" s="56">
        <f>IF(ISERROR(D93/C93)," ",(D93/C93))</f>
        <v>0.6927052442218776</v>
      </c>
      <c r="G93" s="183">
        <f>D93-'[4]Jūlijs'!D93</f>
        <v>1385918.2000000002</v>
      </c>
      <c r="H93" s="119" t="s">
        <v>235</v>
      </c>
      <c r="I93" s="185">
        <f t="shared" si="34"/>
        <v>10765</v>
      </c>
      <c r="J93" s="185">
        <f>ROUND(C93/1000,0)</f>
        <v>7349</v>
      </c>
      <c r="K93" s="185">
        <f t="shared" si="34"/>
        <v>5091</v>
      </c>
      <c r="L93" s="178">
        <f t="shared" si="29"/>
        <v>47.29215048769159</v>
      </c>
      <c r="M93" s="178">
        <f t="shared" si="30"/>
        <v>69.2747312559532</v>
      </c>
      <c r="N93" s="185">
        <f>K93-'[4]Jūlijs'!K93</f>
        <v>1386</v>
      </c>
      <c r="O93" s="87" t="str">
        <f t="shared" si="23"/>
        <v>     Izdevumi kapitālieguldījumiem</v>
      </c>
      <c r="P93" s="87">
        <f t="shared" si="24"/>
        <v>5091</v>
      </c>
      <c r="Q93" s="169">
        <v>2602</v>
      </c>
      <c r="R93" s="39">
        <v>5091</v>
      </c>
      <c r="S93" s="54">
        <v>3705</v>
      </c>
      <c r="U93" s="2">
        <f t="shared" si="28"/>
        <v>1386</v>
      </c>
    </row>
    <row r="94" spans="1:21" s="2" customFormat="1" ht="12.75" customHeight="1">
      <c r="A94" s="53" t="s">
        <v>266</v>
      </c>
      <c r="B94" s="181">
        <f>SUM(B95)</f>
        <v>7463010</v>
      </c>
      <c r="C94" s="181">
        <f>SUM(C95)</f>
        <v>5074280</v>
      </c>
      <c r="D94" s="181">
        <f>SUM(D95)</f>
        <v>4783066</v>
      </c>
      <c r="E94" s="172">
        <f t="shared" si="26"/>
        <v>0.6409030672610649</v>
      </c>
      <c r="F94" s="172">
        <f>IF(ISERROR(D94/C94)," ",(D94/C94))</f>
        <v>0.9426097889749876</v>
      </c>
      <c r="G94" s="181">
        <f>G95</f>
        <v>558967</v>
      </c>
      <c r="H94" s="70" t="s">
        <v>266</v>
      </c>
      <c r="I94" s="182">
        <f>SUM(I95)</f>
        <v>7463</v>
      </c>
      <c r="J94" s="182">
        <f>SUM(J95)</f>
        <v>5074</v>
      </c>
      <c r="K94" s="182">
        <f>SUM(K95)</f>
        <v>4783</v>
      </c>
      <c r="L94" s="174">
        <f t="shared" si="29"/>
        <v>64.08950824065388</v>
      </c>
      <c r="M94" s="174">
        <f t="shared" si="30"/>
        <v>94.26487977926685</v>
      </c>
      <c r="N94" s="182">
        <f>SUM(N95)</f>
        <v>559</v>
      </c>
      <c r="O94" s="169" t="str">
        <f t="shared" si="23"/>
        <v>Dotācija pašvaldībām</v>
      </c>
      <c r="P94" s="169">
        <f t="shared" si="24"/>
        <v>4783</v>
      </c>
      <c r="Q94" s="169">
        <v>3672</v>
      </c>
      <c r="R94" s="2">
        <v>4783</v>
      </c>
      <c r="S94" s="60">
        <v>4224</v>
      </c>
      <c r="U94" s="2">
        <f t="shared" si="28"/>
        <v>559</v>
      </c>
    </row>
    <row r="95" spans="1:21" s="39" customFormat="1" ht="12.75" customHeight="1">
      <c r="A95" s="196" t="s">
        <v>234</v>
      </c>
      <c r="B95" s="183">
        <v>7463010</v>
      </c>
      <c r="C95" s="183">
        <v>5074280</v>
      </c>
      <c r="D95" s="183">
        <v>4783066</v>
      </c>
      <c r="E95" s="56">
        <f t="shared" si="26"/>
        <v>0.6409030672610649</v>
      </c>
      <c r="F95" s="56">
        <f>IF(ISERROR(D95/C95)," ",(D95/C95))</f>
        <v>0.9426097889749876</v>
      </c>
      <c r="G95" s="183">
        <f>D95-'[4]Jūlijs'!D95</f>
        <v>558967</v>
      </c>
      <c r="H95" s="62" t="s">
        <v>234</v>
      </c>
      <c r="I95" s="185">
        <f>ROUND(B95/1000,0)</f>
        <v>7463</v>
      </c>
      <c r="J95" s="185">
        <f>ROUND(C95/1000,0)</f>
        <v>5074</v>
      </c>
      <c r="K95" s="185">
        <f>ROUND(D95/1000,0)</f>
        <v>4783</v>
      </c>
      <c r="L95" s="178">
        <f t="shared" si="29"/>
        <v>64.08950824065388</v>
      </c>
      <c r="M95" s="178">
        <f t="shared" si="30"/>
        <v>94.26487977926685</v>
      </c>
      <c r="N95" s="185">
        <f>K95-'[4]Jūlijs'!K95</f>
        <v>559</v>
      </c>
      <c r="O95" s="87" t="str">
        <f t="shared" si="23"/>
        <v>     Uzturēšanas izdevumi</v>
      </c>
      <c r="P95" s="87">
        <f t="shared" si="24"/>
        <v>4783</v>
      </c>
      <c r="Q95" s="169">
        <v>3672</v>
      </c>
      <c r="R95" s="39">
        <v>4783</v>
      </c>
      <c r="S95" s="54">
        <v>4224</v>
      </c>
      <c r="U95" s="2">
        <f t="shared" si="28"/>
        <v>559</v>
      </c>
    </row>
    <row r="96" spans="1:22" ht="12" customHeight="1">
      <c r="A96" s="197"/>
      <c r="B96" s="198"/>
      <c r="C96" s="198"/>
      <c r="D96" s="198"/>
      <c r="E96" s="199"/>
      <c r="F96" s="199"/>
      <c r="H96" s="197"/>
      <c r="I96" s="198"/>
      <c r="J96" s="198"/>
      <c r="K96" s="198"/>
      <c r="L96" s="200"/>
      <c r="M96" s="200"/>
      <c r="U96" s="39"/>
      <c r="V96" s="39"/>
    </row>
    <row r="97" spans="1:22" ht="12" customHeight="1">
      <c r="A97" s="197"/>
      <c r="B97" s="198"/>
      <c r="C97" s="198"/>
      <c r="D97" s="198"/>
      <c r="E97" s="201"/>
      <c r="F97" s="202"/>
      <c r="H97" s="32"/>
      <c r="I97" s="35"/>
      <c r="J97" s="34"/>
      <c r="K97" s="203"/>
      <c r="L97" s="204"/>
      <c r="M97" s="205"/>
      <c r="U97" s="39"/>
      <c r="V97" s="39"/>
    </row>
    <row r="98" spans="1:13" ht="12" customHeight="1">
      <c r="A98" s="32" t="s">
        <v>267</v>
      </c>
      <c r="B98" s="35"/>
      <c r="C98" s="34"/>
      <c r="D98" s="203"/>
      <c r="E98" s="203"/>
      <c r="F98" s="206"/>
      <c r="L98" s="207"/>
      <c r="M98" s="207"/>
    </row>
    <row r="99" spans="2:14" ht="12" customHeight="1">
      <c r="B99" s="31"/>
      <c r="C99" s="30" t="s">
        <v>268</v>
      </c>
      <c r="D99" s="30"/>
      <c r="E99" s="149"/>
      <c r="F99" s="208"/>
      <c r="I99" s="32"/>
      <c r="J99" s="35"/>
      <c r="K99" s="34"/>
      <c r="L99" s="203"/>
      <c r="M99" s="203"/>
      <c r="N99" s="208"/>
    </row>
    <row r="100" spans="2:13" ht="12" customHeight="1">
      <c r="B100" s="31"/>
      <c r="C100" s="30"/>
      <c r="D100" s="30"/>
      <c r="E100" s="149"/>
      <c r="F100" s="208"/>
      <c r="M100" s="203"/>
    </row>
    <row r="101" spans="2:19" ht="12" customHeight="1">
      <c r="B101" s="31"/>
      <c r="C101" s="30"/>
      <c r="D101" s="30"/>
      <c r="E101" s="149"/>
      <c r="F101" s="208"/>
      <c r="M101" s="203"/>
      <c r="P101" s="31"/>
      <c r="Q101" s="30"/>
      <c r="R101" s="30"/>
      <c r="S101" s="149"/>
    </row>
    <row r="102" spans="2:13" ht="12" customHeight="1">
      <c r="B102" s="31"/>
      <c r="C102" s="30"/>
      <c r="D102" s="30"/>
      <c r="E102" s="149"/>
      <c r="F102" s="208"/>
      <c r="J102" s="30"/>
      <c r="K102" s="30"/>
      <c r="L102" s="149"/>
      <c r="M102" s="203"/>
    </row>
    <row r="103" spans="8:13" ht="12.75">
      <c r="H103" s="43" t="s">
        <v>269</v>
      </c>
      <c r="I103" s="29"/>
      <c r="J103" s="79"/>
      <c r="K103" s="30"/>
      <c r="M103" s="203"/>
    </row>
    <row r="104" spans="3:4" ht="12.75">
      <c r="C104" s="30"/>
      <c r="D104" s="30"/>
    </row>
    <row r="108" ht="12.75">
      <c r="A108" s="43" t="s">
        <v>174</v>
      </c>
    </row>
    <row r="109" ht="12.75">
      <c r="A109" s="43" t="s">
        <v>270</v>
      </c>
    </row>
    <row r="110" ht="12.75">
      <c r="H110" s="39" t="s">
        <v>174</v>
      </c>
    </row>
    <row r="111" ht="12.75">
      <c r="H111" s="39" t="s">
        <v>271</v>
      </c>
    </row>
    <row r="113" spans="3:4" ht="12.75">
      <c r="C113" s="30"/>
      <c r="D113" s="30"/>
    </row>
    <row r="114" spans="3:4" ht="12.75">
      <c r="C114" s="30"/>
      <c r="D114" s="30"/>
    </row>
    <row r="118" ht="12.75">
      <c r="I118" s="39"/>
    </row>
    <row r="119" ht="12.75">
      <c r="I119" s="39"/>
    </row>
  </sheetData>
  <mergeCells count="5">
    <mergeCell ref="H7:M7"/>
    <mergeCell ref="A4:F4"/>
    <mergeCell ref="H4:M4"/>
    <mergeCell ref="A5:F5"/>
    <mergeCell ref="H5:M5"/>
  </mergeCells>
  <printOptions/>
  <pageMargins left="0.7480314960629921" right="0.1968503937007874" top="0.21" bottom="0.59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84"/>
  <sheetViews>
    <sheetView workbookViewId="0" topLeftCell="H25">
      <selection activeCell="H85" sqref="H85"/>
    </sheetView>
  </sheetViews>
  <sheetFormatPr defaultColWidth="9.140625" defaultRowHeight="12.75"/>
  <cols>
    <col min="1" max="1" width="38.140625" style="43" hidden="1" customWidth="1"/>
    <col min="2" max="2" width="11.7109375" style="43" hidden="1" customWidth="1"/>
    <col min="3" max="3" width="12.57421875" style="43" hidden="1" customWidth="1"/>
    <col min="4" max="4" width="11.57421875" style="43" hidden="1" customWidth="1"/>
    <col min="5" max="5" width="7.28125" style="36" hidden="1" customWidth="1"/>
    <col min="6" max="6" width="14.00390625" style="36" hidden="1" customWidth="1"/>
    <col min="7" max="7" width="10.00390625" style="43" hidden="1" customWidth="1"/>
    <col min="8" max="8" width="36.57421875" style="43" customWidth="1"/>
    <col min="9" max="9" width="11.7109375" style="43" customWidth="1"/>
    <col min="10" max="10" width="9.7109375" style="43" customWidth="1"/>
    <col min="11" max="11" width="8.7109375" style="43" customWidth="1"/>
    <col min="12" max="12" width="8.140625" style="43" customWidth="1"/>
    <col min="13" max="14" width="9.140625" style="43" customWidth="1"/>
    <col min="15" max="15" width="2.00390625" style="43" hidden="1" customWidth="1"/>
    <col min="16" max="16" width="12.8515625" style="43" hidden="1" customWidth="1"/>
    <col min="17" max="17" width="14.7109375" style="43" hidden="1" customWidth="1"/>
    <col min="18" max="18" width="14.421875" style="43" hidden="1" customWidth="1"/>
    <col min="19" max="19" width="13.8515625" style="43" hidden="1" customWidth="1"/>
    <col min="20" max="20" width="14.421875" style="43" hidden="1" customWidth="1"/>
    <col min="21" max="16384" width="7.8515625" style="43" customWidth="1"/>
  </cols>
  <sheetData>
    <row r="1" spans="7:14" ht="12.75">
      <c r="G1" s="43" t="s">
        <v>272</v>
      </c>
      <c r="H1" s="75"/>
      <c r="I1" s="75"/>
      <c r="J1" s="75"/>
      <c r="K1" s="75"/>
      <c r="L1" s="75"/>
      <c r="M1" s="75"/>
      <c r="N1" s="75" t="s">
        <v>272</v>
      </c>
    </row>
    <row r="2" spans="1:14" ht="16.5" customHeight="1">
      <c r="A2" s="32" t="s">
        <v>273</v>
      </c>
      <c r="B2" s="32"/>
      <c r="C2" s="32"/>
      <c r="D2" s="32"/>
      <c r="H2" s="209" t="s">
        <v>98</v>
      </c>
      <c r="I2" s="209"/>
      <c r="J2" s="209"/>
      <c r="K2" s="209"/>
      <c r="L2" s="209"/>
      <c r="M2" s="209"/>
      <c r="N2" s="75"/>
    </row>
    <row r="3" spans="1:14" ht="4.5" customHeight="1" hidden="1">
      <c r="A3" s="82"/>
      <c r="H3" s="210"/>
      <c r="I3" s="75"/>
      <c r="J3" s="75"/>
      <c r="K3" s="75"/>
      <c r="L3" s="75"/>
      <c r="M3" s="75"/>
      <c r="N3" s="75"/>
    </row>
    <row r="4" spans="1:14" ht="12" customHeight="1">
      <c r="A4" s="82"/>
      <c r="H4" s="210"/>
      <c r="I4" s="75"/>
      <c r="J4" s="75"/>
      <c r="K4" s="75"/>
      <c r="L4" s="75"/>
      <c r="M4" s="75"/>
      <c r="N4" s="75"/>
    </row>
    <row r="5" spans="1:14" ht="15.75">
      <c r="A5" s="83" t="s">
        <v>274</v>
      </c>
      <c r="B5" s="32"/>
      <c r="C5" s="32"/>
      <c r="D5" s="32"/>
      <c r="H5" s="211" t="s">
        <v>275</v>
      </c>
      <c r="I5" s="212"/>
      <c r="J5" s="212"/>
      <c r="K5" s="212"/>
      <c r="L5" s="209"/>
      <c r="M5" s="209"/>
      <c r="N5" s="75"/>
    </row>
    <row r="6" spans="1:14" ht="15.75">
      <c r="A6" s="83" t="s">
        <v>276</v>
      </c>
      <c r="B6" s="32"/>
      <c r="C6" s="32"/>
      <c r="D6" s="32"/>
      <c r="H6" s="211" t="s">
        <v>276</v>
      </c>
      <c r="I6" s="212"/>
      <c r="J6" s="212"/>
      <c r="K6" s="212"/>
      <c r="L6" s="209"/>
      <c r="M6" s="209"/>
      <c r="N6" s="75"/>
    </row>
    <row r="7" spans="1:14" ht="15.75" customHeight="1">
      <c r="A7" s="83" t="s">
        <v>277</v>
      </c>
      <c r="B7" s="32"/>
      <c r="C7" s="32"/>
      <c r="D7" s="32"/>
      <c r="H7" s="83" t="s">
        <v>277</v>
      </c>
      <c r="I7" s="212"/>
      <c r="J7" s="212"/>
      <c r="K7" s="212"/>
      <c r="L7" s="209"/>
      <c r="M7" s="209"/>
      <c r="N7" s="75"/>
    </row>
    <row r="8" spans="1:14" s="84" customFormat="1" ht="23.25" customHeight="1">
      <c r="A8" s="43"/>
      <c r="B8" s="43"/>
      <c r="C8" s="43"/>
      <c r="D8" s="43"/>
      <c r="E8" s="36"/>
      <c r="F8" s="36"/>
      <c r="G8" s="43" t="s">
        <v>101</v>
      </c>
      <c r="H8" s="75"/>
      <c r="I8" s="75"/>
      <c r="J8" s="75"/>
      <c r="K8" s="75"/>
      <c r="L8" s="75"/>
      <c r="M8" s="75"/>
      <c r="N8" s="75" t="s">
        <v>101</v>
      </c>
    </row>
    <row r="9" spans="1:17" s="75" customFormat="1" ht="92.25" customHeight="1">
      <c r="A9" s="169" t="s">
        <v>54</v>
      </c>
      <c r="B9" s="169" t="s">
        <v>102</v>
      </c>
      <c r="C9" s="169" t="s">
        <v>278</v>
      </c>
      <c r="D9" s="169" t="s">
        <v>103</v>
      </c>
      <c r="E9" s="169" t="s">
        <v>279</v>
      </c>
      <c r="F9" s="169" t="s">
        <v>280</v>
      </c>
      <c r="G9" s="169" t="s">
        <v>281</v>
      </c>
      <c r="H9" s="169" t="s">
        <v>54</v>
      </c>
      <c r="I9" s="169" t="s">
        <v>102</v>
      </c>
      <c r="J9" s="169" t="s">
        <v>278</v>
      </c>
      <c r="K9" s="169" t="s">
        <v>103</v>
      </c>
      <c r="L9" s="169" t="s">
        <v>279</v>
      </c>
      <c r="M9" s="169" t="s">
        <v>282</v>
      </c>
      <c r="N9" s="169" t="s">
        <v>281</v>
      </c>
      <c r="O9" s="75" t="str">
        <f>H9</f>
        <v>Rādītāji</v>
      </c>
      <c r="P9" s="213" t="str">
        <f>K9</f>
        <v>Izpilde no gada sākuma</v>
      </c>
      <c r="Q9" s="197" t="str">
        <f>'[5]Februāris'!K9</f>
        <v>Izpilde no gada sākuma</v>
      </c>
    </row>
    <row r="10" spans="1:17" s="75" customFormat="1" ht="12.75" customHeight="1">
      <c r="A10" s="169">
        <v>1</v>
      </c>
      <c r="B10" s="169">
        <v>2</v>
      </c>
      <c r="C10" s="169">
        <v>3</v>
      </c>
      <c r="D10" s="169">
        <v>4</v>
      </c>
      <c r="E10" s="169">
        <v>5</v>
      </c>
      <c r="F10" s="169">
        <v>6</v>
      </c>
      <c r="G10" s="169">
        <v>7</v>
      </c>
      <c r="H10" s="87">
        <v>1</v>
      </c>
      <c r="I10" s="87">
        <v>2</v>
      </c>
      <c r="J10" s="87">
        <v>3</v>
      </c>
      <c r="K10" s="87">
        <v>4</v>
      </c>
      <c r="L10" s="87">
        <v>5</v>
      </c>
      <c r="M10" s="87">
        <v>6</v>
      </c>
      <c r="N10" s="87">
        <v>7</v>
      </c>
      <c r="O10" s="84">
        <f aca="true" t="shared" si="0" ref="O10:O54">H10</f>
        <v>1</v>
      </c>
      <c r="P10" s="75" t="s">
        <v>283</v>
      </c>
      <c r="Q10" s="213" t="s">
        <v>284</v>
      </c>
    </row>
    <row r="11" spans="1:20" s="75" customFormat="1" ht="18" customHeight="1">
      <c r="A11" s="53" t="s">
        <v>285</v>
      </c>
      <c r="B11" s="67">
        <v>737531269</v>
      </c>
      <c r="C11" s="214"/>
      <c r="D11" s="215">
        <f>'[3]Augusts'!$D$13</f>
        <v>442685566.02000004</v>
      </c>
      <c r="E11" s="216">
        <f>IF(ISERROR(D11/B12)," ",(D11/B12))*100</f>
        <v>58.25620599337571</v>
      </c>
      <c r="F11" s="217" t="str">
        <f>IF(ISERROR(D11/C11)," ",(D11/C11))</f>
        <v> </v>
      </c>
      <c r="G11" s="214"/>
      <c r="H11" s="70" t="s">
        <v>285</v>
      </c>
      <c r="I11" s="218">
        <f aca="true" t="shared" si="1" ref="I11:I16">ROUND(B11/1000,0)</f>
        <v>737531</v>
      </c>
      <c r="J11" s="218"/>
      <c r="K11" s="218">
        <f>D11/1000+3</f>
        <v>442688.56602</v>
      </c>
      <c r="L11" s="174">
        <f>IF(ISERROR(K11/I12)," ",(K11/I12))*100</f>
        <v>58.25662079447923</v>
      </c>
      <c r="M11" s="219" t="str">
        <f>IF(ISERROR(ROUND(K11,0)/ROUND(J11,0))," ",(ROUND(K11,)/ROUND(J11,)))</f>
        <v> </v>
      </c>
      <c r="N11" s="220">
        <v>53847</v>
      </c>
      <c r="O11" s="75" t="str">
        <f t="shared" si="0"/>
        <v>1. Ieņēmumi - kopā</v>
      </c>
      <c r="P11" s="221">
        <f>K11</f>
        <v>442688.56602</v>
      </c>
      <c r="Q11" s="213">
        <v>441534</v>
      </c>
      <c r="R11" s="222">
        <v>388842</v>
      </c>
      <c r="T11" s="222">
        <f>Q11-R11</f>
        <v>52692</v>
      </c>
    </row>
    <row r="12" spans="1:20" s="75" customFormat="1" ht="12.75" customHeight="1">
      <c r="A12" s="223" t="s">
        <v>286</v>
      </c>
      <c r="B12" s="224">
        <f>SUM(B13:B16)</f>
        <v>759894261</v>
      </c>
      <c r="C12" s="224">
        <f>C13+C14+C15+C16</f>
        <v>516952177</v>
      </c>
      <c r="D12" s="225">
        <f>SUM(D13:D16)</f>
        <v>487966447.37</v>
      </c>
      <c r="E12" s="226">
        <f>IF(ISERROR(D12/B12)," ",(D12/B12))*100</f>
        <v>64.21504575226685</v>
      </c>
      <c r="F12" s="226">
        <f>IF(ISERROR(D12/C12)," ",(D12/C12))*100</f>
        <v>94.39295723673875</v>
      </c>
      <c r="G12" s="227">
        <f>SUM(G13:G16)</f>
        <v>0</v>
      </c>
      <c r="H12" s="62" t="s">
        <v>286</v>
      </c>
      <c r="I12" s="228">
        <f t="shared" si="1"/>
        <v>759894</v>
      </c>
      <c r="J12" s="229">
        <f>ROUND(C12/1000,0)+1</f>
        <v>516953</v>
      </c>
      <c r="K12" s="230">
        <f>K13+K14+K15+K16</f>
        <v>487966.698</v>
      </c>
      <c r="L12" s="231">
        <f>IF(ISERROR(K12/I12)," ",(K12/I12))*100</f>
        <v>64.2151007903734</v>
      </c>
      <c r="M12" s="231">
        <f>IF(ISERROR(K12/J12)," ",(K12/J12))*100</f>
        <v>94.39285544333818</v>
      </c>
      <c r="N12" s="220">
        <f>N13+N14+N15+N16</f>
        <v>56153.698</v>
      </c>
      <c r="O12" s="75" t="str">
        <f t="shared" si="0"/>
        <v>Resursi izdevumu segšanai </v>
      </c>
      <c r="P12" s="221">
        <f aca="true" t="shared" si="2" ref="P12:P54">K12</f>
        <v>487966.698</v>
      </c>
      <c r="Q12" s="213">
        <v>487967</v>
      </c>
      <c r="R12" s="222">
        <v>431813</v>
      </c>
      <c r="T12" s="222">
        <f aca="true" t="shared" si="3" ref="T12:T54">Q12-R12</f>
        <v>56154</v>
      </c>
    </row>
    <row r="13" spans="1:20" s="75" customFormat="1" ht="12.75" customHeight="1">
      <c r="A13" s="61" t="s">
        <v>287</v>
      </c>
      <c r="B13" s="232">
        <v>667558079</v>
      </c>
      <c r="C13" s="232">
        <v>449891504</v>
      </c>
      <c r="D13" s="232">
        <f>C13</f>
        <v>449891504</v>
      </c>
      <c r="E13" s="226">
        <f>IF(ISERROR(D13/B13)," ",(D13/B13))*100</f>
        <v>67.39361235413945</v>
      </c>
      <c r="F13" s="226">
        <f>IF(ISERROR(D13/C13)," ",(D13/C13))*100</f>
        <v>100</v>
      </c>
      <c r="G13" s="233"/>
      <c r="H13" s="62" t="s">
        <v>287</v>
      </c>
      <c r="I13" s="234">
        <f t="shared" si="1"/>
        <v>667558</v>
      </c>
      <c r="J13" s="234">
        <f>ROUND(C13/1000,0)</f>
        <v>449892</v>
      </c>
      <c r="K13" s="234">
        <f>ROUND(D13/1000,0)</f>
        <v>449892</v>
      </c>
      <c r="L13" s="231">
        <f>IF(ISERROR(K13/I13)," ",(K13/I13))*100</f>
        <v>67.39369463027933</v>
      </c>
      <c r="M13" s="231">
        <f aca="true" t="shared" si="4" ref="M13:M20">IF(ISERROR(K13/J13)," ",(K13/J13))*100</f>
        <v>100</v>
      </c>
      <c r="N13" s="220">
        <f>K13-'[5]Jūlijs'!K13</f>
        <v>51268</v>
      </c>
      <c r="O13" s="75" t="str">
        <f t="shared" si="0"/>
        <v>   Dotācija no vispārējiem ieņēmumiem</v>
      </c>
      <c r="P13" s="221">
        <f t="shared" si="2"/>
        <v>449892</v>
      </c>
      <c r="Q13" s="213">
        <v>449892</v>
      </c>
      <c r="R13" s="222">
        <v>398624</v>
      </c>
      <c r="T13" s="222">
        <f t="shared" si="3"/>
        <v>51268</v>
      </c>
    </row>
    <row r="14" spans="1:20" s="75" customFormat="1" ht="12.75" customHeight="1">
      <c r="A14" s="61" t="s">
        <v>288</v>
      </c>
      <c r="B14" s="232">
        <v>1433000</v>
      </c>
      <c r="C14" s="232">
        <v>539000</v>
      </c>
      <c r="D14" s="232"/>
      <c r="E14" s="226"/>
      <c r="F14" s="235"/>
      <c r="G14" s="233"/>
      <c r="H14" s="62" t="s">
        <v>288</v>
      </c>
      <c r="I14" s="234">
        <f t="shared" si="1"/>
        <v>1433</v>
      </c>
      <c r="J14" s="234">
        <f>ROUND(C14/1000,0)</f>
        <v>539</v>
      </c>
      <c r="K14" s="228"/>
      <c r="L14" s="231"/>
      <c r="M14" s="231"/>
      <c r="N14" s="220"/>
      <c r="O14" s="75" t="str">
        <f t="shared" si="0"/>
        <v>   Dotācija īpašiem mērķiem</v>
      </c>
      <c r="P14" s="221">
        <f t="shared" si="2"/>
        <v>0</v>
      </c>
      <c r="Q14" s="213">
        <v>0</v>
      </c>
      <c r="R14" s="222">
        <v>0</v>
      </c>
      <c r="T14" s="222">
        <f t="shared" si="3"/>
        <v>0</v>
      </c>
    </row>
    <row r="15" spans="1:20" s="75" customFormat="1" ht="24" customHeight="1">
      <c r="A15" s="61" t="s">
        <v>289</v>
      </c>
      <c r="B15" s="232">
        <v>59260125</v>
      </c>
      <c r="C15" s="232">
        <v>40555884</v>
      </c>
      <c r="D15" s="236">
        <f>'[3]Augusts'!$D$36</f>
        <v>35548245.37</v>
      </c>
      <c r="E15" s="226">
        <f aca="true" t="shared" si="5" ref="E15:E20">IF(ISERROR(D15/B15)," ",(D15/B15))*100</f>
        <v>59.98678769239854</v>
      </c>
      <c r="F15" s="237">
        <f aca="true" t="shared" si="6" ref="F15:F20">IF(ISERROR(D15/C15)," ",(D15/C15))*100</f>
        <v>87.65249789648279</v>
      </c>
      <c r="G15" s="233"/>
      <c r="H15" s="62" t="s">
        <v>289</v>
      </c>
      <c r="I15" s="234">
        <f t="shared" si="1"/>
        <v>59260</v>
      </c>
      <c r="J15" s="234">
        <f>ROUND(C15/1000,0)</f>
        <v>40556</v>
      </c>
      <c r="K15" s="234">
        <f>ROUND(D15/1000,0)</f>
        <v>35548</v>
      </c>
      <c r="L15" s="231">
        <f aca="true" t="shared" si="7" ref="L15:L20">IF(ISERROR(K15/I15)," ",(K15/I15))*100</f>
        <v>59.986500168747895</v>
      </c>
      <c r="M15" s="231">
        <f t="shared" si="4"/>
        <v>87.6516421737844</v>
      </c>
      <c r="N15" s="220">
        <f>K15-'[5]Jūlijs'!K15</f>
        <v>4578</v>
      </c>
      <c r="O15" s="75" t="str">
        <f t="shared" si="0"/>
        <v>   Maksas pakalpojumi un citi pašu ieņēmumi</v>
      </c>
      <c r="P15" s="221">
        <f t="shared" si="2"/>
        <v>35548</v>
      </c>
      <c r="Q15" s="213">
        <v>35548</v>
      </c>
      <c r="R15" s="222">
        <v>30970</v>
      </c>
      <c r="T15" s="222">
        <f t="shared" si="3"/>
        <v>4578</v>
      </c>
    </row>
    <row r="16" spans="1:20" s="75" customFormat="1" ht="12.75" customHeight="1">
      <c r="A16" s="223" t="s">
        <v>290</v>
      </c>
      <c r="B16" s="238">
        <v>31643057</v>
      </c>
      <c r="C16" s="238">
        <v>25965789</v>
      </c>
      <c r="D16" s="238">
        <v>2526698</v>
      </c>
      <c r="E16" s="226">
        <f t="shared" si="5"/>
        <v>7.984999679392544</v>
      </c>
      <c r="F16" s="237">
        <f t="shared" si="6"/>
        <v>9.730873188563613</v>
      </c>
      <c r="G16" s="239"/>
      <c r="H16" s="62" t="s">
        <v>291</v>
      </c>
      <c r="I16" s="234">
        <f t="shared" si="1"/>
        <v>31643</v>
      </c>
      <c r="J16" s="234">
        <f>ROUND(C16/1000,0)</f>
        <v>25966</v>
      </c>
      <c r="K16" s="234">
        <f>D16/1000</f>
        <v>2526.698</v>
      </c>
      <c r="L16" s="231">
        <f t="shared" si="7"/>
        <v>7.985014063141927</v>
      </c>
      <c r="M16" s="231">
        <f t="shared" si="4"/>
        <v>9.730794115381652</v>
      </c>
      <c r="N16" s="220">
        <f>K16-'[5]Jūlijs'!K16</f>
        <v>307.69799999999987</v>
      </c>
      <c r="O16" s="75" t="str">
        <f t="shared" si="0"/>
        <v> Ārvalstu finansu palīdzība </v>
      </c>
      <c r="P16" s="221">
        <f t="shared" si="2"/>
        <v>2526.698</v>
      </c>
      <c r="Q16" s="213">
        <v>2527</v>
      </c>
      <c r="R16" s="222">
        <v>2219</v>
      </c>
      <c r="T16" s="222">
        <f t="shared" si="3"/>
        <v>308</v>
      </c>
    </row>
    <row r="17" spans="1:20" s="75" customFormat="1" ht="18" customHeight="1">
      <c r="A17" s="53" t="s">
        <v>292</v>
      </c>
      <c r="B17" s="240">
        <f>SUM(B18,B40)</f>
        <v>759846889</v>
      </c>
      <c r="C17" s="240">
        <f>C18+C40</f>
        <v>516978473</v>
      </c>
      <c r="D17" s="215">
        <f>SUM(D18,D40)</f>
        <v>471455751.59000003</v>
      </c>
      <c r="E17" s="226">
        <f t="shared" si="5"/>
        <v>62.04615145696807</v>
      </c>
      <c r="F17" s="216">
        <f t="shared" si="6"/>
        <v>91.19446480124522</v>
      </c>
      <c r="G17" s="239"/>
      <c r="H17" s="70" t="s">
        <v>292</v>
      </c>
      <c r="I17" s="241">
        <f>SUM(I18,I40)</f>
        <v>759847</v>
      </c>
      <c r="J17" s="241">
        <f>SUM(J18,J40)</f>
        <v>516979</v>
      </c>
      <c r="K17" s="6">
        <f>SUM(K18,K40)</f>
        <v>471455</v>
      </c>
      <c r="L17" s="231">
        <f t="shared" si="7"/>
        <v>62.0460434798058</v>
      </c>
      <c r="M17" s="231">
        <f t="shared" si="4"/>
        <v>91.19422645794123</v>
      </c>
      <c r="N17" s="225">
        <f>N18+N40</f>
        <v>53322</v>
      </c>
      <c r="O17" s="75" t="str">
        <f t="shared" si="0"/>
        <v>2. Izdevumi - kopā (2.1.+2.2.)</v>
      </c>
      <c r="P17" s="221">
        <f t="shared" si="2"/>
        <v>471455</v>
      </c>
      <c r="Q17" s="213">
        <v>471455</v>
      </c>
      <c r="R17" s="222">
        <v>418134</v>
      </c>
      <c r="T17" s="222">
        <f t="shared" si="3"/>
        <v>53321</v>
      </c>
    </row>
    <row r="18" spans="1:20" s="75" customFormat="1" ht="18" customHeight="1">
      <c r="A18" s="170" t="s">
        <v>293</v>
      </c>
      <c r="B18" s="181">
        <v>694317503</v>
      </c>
      <c r="C18" s="181">
        <f>C19+C23+C27</f>
        <v>471655503</v>
      </c>
      <c r="D18" s="242">
        <f>SUM(D19,D23,D27)</f>
        <v>438530404.59000003</v>
      </c>
      <c r="E18" s="226">
        <f t="shared" si="5"/>
        <v>63.15992362214726</v>
      </c>
      <c r="F18" s="216">
        <f t="shared" si="6"/>
        <v>92.97684470989836</v>
      </c>
      <c r="G18" s="239"/>
      <c r="H18" s="173" t="s">
        <v>293</v>
      </c>
      <c r="I18" s="218">
        <f aca="true" t="shared" si="8" ref="I18:J20">ROUND(B18/1000,0)</f>
        <v>694318</v>
      </c>
      <c r="J18" s="218">
        <f t="shared" si="8"/>
        <v>471656</v>
      </c>
      <c r="K18" s="182">
        <f>SUM(K19,K23,K27)</f>
        <v>438530</v>
      </c>
      <c r="L18" s="231">
        <f t="shared" si="7"/>
        <v>63.1598201400511</v>
      </c>
      <c r="M18" s="231">
        <f t="shared" si="4"/>
        <v>92.97666095629017</v>
      </c>
      <c r="N18" s="225">
        <f>N19+N23+N27</f>
        <v>47924</v>
      </c>
      <c r="O18" s="75" t="str">
        <f t="shared" si="0"/>
        <v>2.1. Uzturēšanas izdevumi</v>
      </c>
      <c r="P18" s="221">
        <f t="shared" si="2"/>
        <v>438530</v>
      </c>
      <c r="Q18" s="213">
        <v>438530</v>
      </c>
      <c r="R18" s="222">
        <v>390607</v>
      </c>
      <c r="T18" s="222">
        <f t="shared" si="3"/>
        <v>47923</v>
      </c>
    </row>
    <row r="19" spans="1:20" s="75" customFormat="1" ht="18" customHeight="1">
      <c r="A19" s="243" t="s">
        <v>294</v>
      </c>
      <c r="B19" s="181">
        <v>354644600</v>
      </c>
      <c r="C19" s="233">
        <v>232806048</v>
      </c>
      <c r="D19" s="242">
        <f>D20+D21+D22</f>
        <v>217825934.59</v>
      </c>
      <c r="E19" s="226">
        <f t="shared" si="5"/>
        <v>61.42090830933278</v>
      </c>
      <c r="F19" s="216">
        <f t="shared" si="6"/>
        <v>93.56541054723802</v>
      </c>
      <c r="G19" s="239"/>
      <c r="H19" s="106" t="s">
        <v>294</v>
      </c>
      <c r="I19" s="218">
        <f t="shared" si="8"/>
        <v>354645</v>
      </c>
      <c r="J19" s="218">
        <f>C19/1000</f>
        <v>232806.048</v>
      </c>
      <c r="K19" s="49">
        <f>SUM(K20,K21,K22,)</f>
        <v>217826</v>
      </c>
      <c r="L19" s="231">
        <f t="shared" si="7"/>
        <v>61.4208574771955</v>
      </c>
      <c r="M19" s="231">
        <f t="shared" si="4"/>
        <v>93.56543864358713</v>
      </c>
      <c r="N19" s="225">
        <f>N20+N21+N22</f>
        <v>26041</v>
      </c>
      <c r="O19" s="75" t="str">
        <f t="shared" si="0"/>
        <v>Kārtējie izdevumi</v>
      </c>
      <c r="P19" s="221">
        <f t="shared" si="2"/>
        <v>217826</v>
      </c>
      <c r="Q19" s="213">
        <v>217826</v>
      </c>
      <c r="R19" s="222">
        <v>191785</v>
      </c>
      <c r="T19" s="222">
        <f t="shared" si="3"/>
        <v>26041</v>
      </c>
    </row>
    <row r="20" spans="1:20" s="75" customFormat="1" ht="12.75" customHeight="1">
      <c r="A20" s="60" t="s">
        <v>295</v>
      </c>
      <c r="B20" s="233">
        <v>165669282</v>
      </c>
      <c r="C20" s="60">
        <v>107270619</v>
      </c>
      <c r="D20" s="244">
        <v>104247237</v>
      </c>
      <c r="E20" s="226">
        <f t="shared" si="5"/>
        <v>62.92490420764907</v>
      </c>
      <c r="F20" s="237">
        <f t="shared" si="6"/>
        <v>97.18153765850833</v>
      </c>
      <c r="G20" s="233"/>
      <c r="H20" s="54" t="s">
        <v>295</v>
      </c>
      <c r="I20" s="234">
        <f t="shared" si="8"/>
        <v>165669</v>
      </c>
      <c r="J20" s="218">
        <f>C20/1000</f>
        <v>107270.619</v>
      </c>
      <c r="K20" s="234">
        <f>ROUND(D20/1000,0)</f>
        <v>104247</v>
      </c>
      <c r="L20" s="231">
        <f t="shared" si="7"/>
        <v>62.92486826141281</v>
      </c>
      <c r="M20" s="231">
        <f t="shared" si="4"/>
        <v>97.18131672196279</v>
      </c>
      <c r="N20" s="220">
        <f>K20-'[5]Jūlijs'!K20</f>
        <v>11788</v>
      </c>
      <c r="O20" s="75" t="str">
        <f t="shared" si="0"/>
        <v>    atalgojumi</v>
      </c>
      <c r="P20" s="221">
        <f t="shared" si="2"/>
        <v>104247</v>
      </c>
      <c r="Q20" s="213">
        <v>104247</v>
      </c>
      <c r="R20" s="222">
        <v>92459</v>
      </c>
      <c r="T20" s="222">
        <f t="shared" si="3"/>
        <v>11788</v>
      </c>
    </row>
    <row r="21" spans="1:20" s="75" customFormat="1" ht="24.75" customHeight="1">
      <c r="A21" s="61" t="s">
        <v>296</v>
      </c>
      <c r="B21" s="245" t="s">
        <v>61</v>
      </c>
      <c r="C21" s="245" t="s">
        <v>61</v>
      </c>
      <c r="D21" s="244">
        <v>27673834</v>
      </c>
      <c r="E21" s="246" t="s">
        <v>61</v>
      </c>
      <c r="F21" s="247" t="s">
        <v>61</v>
      </c>
      <c r="G21" s="233"/>
      <c r="H21" s="62" t="s">
        <v>296</v>
      </c>
      <c r="I21" s="248" t="s">
        <v>61</v>
      </c>
      <c r="J21" s="248" t="s">
        <v>61</v>
      </c>
      <c r="K21" s="234">
        <f>ROUND(D21/1000,0)</f>
        <v>27674</v>
      </c>
      <c r="L21" s="249" t="s">
        <v>61</v>
      </c>
      <c r="M21" s="250" t="s">
        <v>61</v>
      </c>
      <c r="N21" s="220">
        <f>K21-'[5]Jūlijs'!K21</f>
        <v>3674</v>
      </c>
      <c r="O21" s="197" t="str">
        <f t="shared" si="0"/>
        <v>   valsts sociālās apdrošināšanas obligātās iemaksas</v>
      </c>
      <c r="P21" s="221">
        <f t="shared" si="2"/>
        <v>27674</v>
      </c>
      <c r="Q21" s="213">
        <v>27674</v>
      </c>
      <c r="R21" s="222">
        <v>24000</v>
      </c>
      <c r="T21" s="222">
        <f t="shared" si="3"/>
        <v>3674</v>
      </c>
    </row>
    <row r="22" spans="1:20" s="75" customFormat="1" ht="12.75" customHeight="1">
      <c r="A22" s="61" t="s">
        <v>297</v>
      </c>
      <c r="B22" s="245" t="s">
        <v>61</v>
      </c>
      <c r="C22" s="16">
        <v>125535429</v>
      </c>
      <c r="D22" s="244">
        <f>85883594+21269.59</f>
        <v>85904863.59</v>
      </c>
      <c r="E22" s="246" t="s">
        <v>61</v>
      </c>
      <c r="F22" s="247" t="s">
        <v>61</v>
      </c>
      <c r="G22" s="233"/>
      <c r="H22" s="62" t="s">
        <v>297</v>
      </c>
      <c r="I22" s="248" t="s">
        <v>61</v>
      </c>
      <c r="J22" s="251">
        <f>C22/1000</f>
        <v>125535.429</v>
      </c>
      <c r="K22" s="234">
        <f>ROUND(D22/1000,0)</f>
        <v>85905</v>
      </c>
      <c r="L22" s="249" t="s">
        <v>61</v>
      </c>
      <c r="M22" s="250" t="s">
        <v>61</v>
      </c>
      <c r="N22" s="220">
        <f>K22-'[5]Jūlijs'!K22</f>
        <v>10579</v>
      </c>
      <c r="O22" s="75" t="str">
        <f t="shared" si="0"/>
        <v>    pārējie kārtējie izdevumi</v>
      </c>
      <c r="P22" s="221">
        <f t="shared" si="2"/>
        <v>85905</v>
      </c>
      <c r="Q22" s="213">
        <v>85905</v>
      </c>
      <c r="R22" s="222">
        <v>75326</v>
      </c>
      <c r="T22" s="222">
        <f t="shared" si="3"/>
        <v>10579</v>
      </c>
    </row>
    <row r="23" spans="1:20" s="75" customFormat="1" ht="23.25" customHeight="1">
      <c r="A23" s="53" t="s">
        <v>298</v>
      </c>
      <c r="B23" s="181">
        <v>39335166</v>
      </c>
      <c r="C23" s="181">
        <v>26562998</v>
      </c>
      <c r="D23" s="242">
        <f>SUM(D24,D25,D26)</f>
        <v>25994495</v>
      </c>
      <c r="E23" s="237">
        <f>IF(ISERROR(D23/B23)," ",(D23/B23))*100</f>
        <v>66.08462005727903</v>
      </c>
      <c r="F23" s="216">
        <f>IF(ISERROR(D23/C23)," ",(D23/C23))*100</f>
        <v>97.85979353685906</v>
      </c>
      <c r="G23" s="233"/>
      <c r="H23" s="70" t="s">
        <v>298</v>
      </c>
      <c r="I23" s="252">
        <f>ROUND(B23/1000,0)</f>
        <v>39335</v>
      </c>
      <c r="J23" s="252">
        <f>ROUND(C23/1000,0)</f>
        <v>26563</v>
      </c>
      <c r="K23" s="49">
        <f>SUM(K24,K25,K26)</f>
        <v>25995</v>
      </c>
      <c r="L23" s="103">
        <f>IF(ISERROR(ROUND(K23,0)/ROUND(I23,0))," ",(ROUND(K23,)/ROUND(I23,)))*100</f>
        <v>66.08618278886487</v>
      </c>
      <c r="M23" s="103">
        <f>IF(ISERROR(ROUND(K23,0)/ROUND(J23,0))," ",(ROUND(K23,)/ROUND(J23,)))*100</f>
        <v>97.86168730941536</v>
      </c>
      <c r="N23" s="220">
        <f>K23-'[5]Jūlijs'!K23</f>
        <v>1577</v>
      </c>
      <c r="O23" s="75" t="str">
        <f t="shared" si="0"/>
        <v>Maksājumi par aizņēmumiem un kredītiem</v>
      </c>
      <c r="P23" s="221">
        <f t="shared" si="2"/>
        <v>25995</v>
      </c>
      <c r="Q23" s="213">
        <v>25995</v>
      </c>
      <c r="R23" s="222">
        <v>24418</v>
      </c>
      <c r="T23" s="222">
        <f t="shared" si="3"/>
        <v>1577</v>
      </c>
    </row>
    <row r="24" spans="1:20" s="75" customFormat="1" ht="21.75" customHeight="1">
      <c r="A24" s="61" t="s">
        <v>299</v>
      </c>
      <c r="B24" s="245" t="s">
        <v>61</v>
      </c>
      <c r="C24" s="245" t="s">
        <v>61</v>
      </c>
      <c r="D24" s="244">
        <v>10420133</v>
      </c>
      <c r="E24" s="246" t="s">
        <v>61</v>
      </c>
      <c r="F24" s="247" t="s">
        <v>61</v>
      </c>
      <c r="G24" s="233"/>
      <c r="H24" s="62" t="s">
        <v>299</v>
      </c>
      <c r="I24" s="248" t="s">
        <v>61</v>
      </c>
      <c r="J24" s="248" t="s">
        <v>61</v>
      </c>
      <c r="K24" s="234">
        <f>ROUND(D24/1000,0)</f>
        <v>10420</v>
      </c>
      <c r="L24" s="249" t="s">
        <v>61</v>
      </c>
      <c r="M24" s="250" t="s">
        <v>61</v>
      </c>
      <c r="N24" s="220">
        <f>K24-'[5]Jūlijs'!K24</f>
        <v>817</v>
      </c>
      <c r="O24" s="197" t="str">
        <f t="shared" si="0"/>
        <v>   procentu nomaksa par iekšējiem aizņēmumiem</v>
      </c>
      <c r="P24" s="221">
        <f t="shared" si="2"/>
        <v>10420</v>
      </c>
      <c r="Q24" s="213">
        <v>10420</v>
      </c>
      <c r="R24" s="222">
        <v>9603</v>
      </c>
      <c r="T24" s="222">
        <f t="shared" si="3"/>
        <v>817</v>
      </c>
    </row>
    <row r="25" spans="1:20" s="75" customFormat="1" ht="25.5" customHeight="1">
      <c r="A25" s="61" t="s">
        <v>300</v>
      </c>
      <c r="B25" s="245" t="s">
        <v>61</v>
      </c>
      <c r="C25" s="245" t="s">
        <v>61</v>
      </c>
      <c r="D25" s="244">
        <v>15220692</v>
      </c>
      <c r="E25" s="246" t="s">
        <v>61</v>
      </c>
      <c r="F25" s="247" t="s">
        <v>61</v>
      </c>
      <c r="G25" s="233"/>
      <c r="H25" s="62" t="s">
        <v>300</v>
      </c>
      <c r="I25" s="248" t="s">
        <v>61</v>
      </c>
      <c r="J25" s="248" t="s">
        <v>61</v>
      </c>
      <c r="K25" s="234">
        <f>ROUND(D25/1000,0)</f>
        <v>15221</v>
      </c>
      <c r="L25" s="249" t="s">
        <v>61</v>
      </c>
      <c r="M25" s="250" t="s">
        <v>61</v>
      </c>
      <c r="N25" s="220">
        <f>K25-'[5]Jūlijs'!K25</f>
        <v>727</v>
      </c>
      <c r="O25" s="75" t="str">
        <f t="shared" si="0"/>
        <v>    procentu nomaksa ārvalstu institūcijām</v>
      </c>
      <c r="P25" s="221">
        <f t="shared" si="2"/>
        <v>15221</v>
      </c>
      <c r="Q25" s="213">
        <v>15221</v>
      </c>
      <c r="R25" s="222">
        <v>14494</v>
      </c>
      <c r="T25" s="222">
        <f t="shared" si="3"/>
        <v>727</v>
      </c>
    </row>
    <row r="26" spans="1:20" s="75" customFormat="1" ht="27" customHeight="1">
      <c r="A26" s="61" t="s">
        <v>301</v>
      </c>
      <c r="B26" s="245" t="s">
        <v>61</v>
      </c>
      <c r="C26" s="245" t="s">
        <v>61</v>
      </c>
      <c r="D26" s="244">
        <v>353670</v>
      </c>
      <c r="E26" s="246" t="s">
        <v>61</v>
      </c>
      <c r="F26" s="247" t="s">
        <v>61</v>
      </c>
      <c r="G26" s="233"/>
      <c r="H26" s="62" t="s">
        <v>302</v>
      </c>
      <c r="I26" s="248" t="s">
        <v>61</v>
      </c>
      <c r="J26" s="248" t="s">
        <v>61</v>
      </c>
      <c r="K26" s="234">
        <f>ROUND(D26/1000,0)</f>
        <v>354</v>
      </c>
      <c r="L26" s="249" t="s">
        <v>61</v>
      </c>
      <c r="M26" s="250" t="s">
        <v>61</v>
      </c>
      <c r="N26" s="220">
        <f>K26-'[5]Jūlijs'!K26</f>
        <v>33</v>
      </c>
      <c r="O26" s="197" t="str">
        <f t="shared" si="0"/>
        <v>   Finansu ministrijas maksājumi par valsts     parāda apkalpošanu</v>
      </c>
      <c r="P26" s="221">
        <f t="shared" si="2"/>
        <v>354</v>
      </c>
      <c r="Q26" s="213">
        <v>354</v>
      </c>
      <c r="R26" s="222">
        <v>321</v>
      </c>
      <c r="T26" s="222">
        <f t="shared" si="3"/>
        <v>33</v>
      </c>
    </row>
    <row r="27" spans="1:20" s="75" customFormat="1" ht="15.75" customHeight="1">
      <c r="A27" s="67" t="s">
        <v>303</v>
      </c>
      <c r="B27" s="181">
        <v>300337737</v>
      </c>
      <c r="C27" s="181">
        <v>212286457</v>
      </c>
      <c r="D27" s="242">
        <f>SUM(D28,D29,D30,D31,D34,D39)</f>
        <v>194709975</v>
      </c>
      <c r="E27" s="237">
        <f>IF(ISERROR(D27/B27)," ",(D27/B27))*100</f>
        <v>64.83033965192327</v>
      </c>
      <c r="F27" s="216">
        <f>IF(ISERROR(D27/C27)," ",(D27/C27))*100</f>
        <v>91.72039410879611</v>
      </c>
      <c r="G27" s="233"/>
      <c r="H27" s="186" t="s">
        <v>303</v>
      </c>
      <c r="I27" s="252">
        <f>ROUND(B27/1000,0)</f>
        <v>300338</v>
      </c>
      <c r="J27" s="252">
        <f>ROUND(C27/1000,0)</f>
        <v>212286</v>
      </c>
      <c r="K27" s="252">
        <f>SUM(K28,K29,K30,K31,K34,K39)</f>
        <v>194709</v>
      </c>
      <c r="L27" s="103">
        <f>IF(ISERROR(ROUND(K27,0)/ROUND(I27,0))," ",(ROUND(K27,)/ROUND(I27,)))*100</f>
        <v>64.82995824704166</v>
      </c>
      <c r="M27" s="103">
        <f>IF(ISERROR(ROUND(K27,0)/ROUND(J27,0))," ",(ROUND(K27,)/ROUND(J27,)))*100</f>
        <v>91.72013227438455</v>
      </c>
      <c r="N27" s="225">
        <f>N28+N29+N30+N31+N34+N39+1</f>
        <v>20306</v>
      </c>
      <c r="O27" s="75" t="str">
        <f t="shared" si="0"/>
        <v>Subsīdijas un dotācijas</v>
      </c>
      <c r="P27" s="221">
        <f t="shared" si="2"/>
        <v>194709</v>
      </c>
      <c r="Q27" s="213">
        <v>194709</v>
      </c>
      <c r="R27" s="222">
        <v>174404</v>
      </c>
      <c r="T27" s="222">
        <f t="shared" si="3"/>
        <v>20305</v>
      </c>
    </row>
    <row r="28" spans="1:20" s="75" customFormat="1" ht="13.5" customHeight="1">
      <c r="A28" s="60" t="s">
        <v>304</v>
      </c>
      <c r="B28" s="245" t="s">
        <v>61</v>
      </c>
      <c r="C28" s="245" t="s">
        <v>61</v>
      </c>
      <c r="D28" s="244">
        <v>13942714</v>
      </c>
      <c r="E28" s="246" t="s">
        <v>61</v>
      </c>
      <c r="F28" s="247" t="s">
        <v>61</v>
      </c>
      <c r="G28" s="233"/>
      <c r="H28" s="54" t="s">
        <v>304</v>
      </c>
      <c r="I28" s="248" t="s">
        <v>61</v>
      </c>
      <c r="J28" s="248" t="s">
        <v>61</v>
      </c>
      <c r="K28" s="253">
        <f>ROUND(D28/1000,0)</f>
        <v>13943</v>
      </c>
      <c r="L28" s="249" t="s">
        <v>61</v>
      </c>
      <c r="M28" s="250" t="s">
        <v>61</v>
      </c>
      <c r="N28" s="220">
        <f>K28-'[5]Jūlijs'!K28</f>
        <v>2608</v>
      </c>
      <c r="O28" s="75" t="str">
        <f t="shared" si="0"/>
        <v>    subsīdijas</v>
      </c>
      <c r="P28" s="221">
        <f t="shared" si="2"/>
        <v>13943</v>
      </c>
      <c r="Q28" s="213">
        <v>13943</v>
      </c>
      <c r="R28" s="222">
        <v>11335</v>
      </c>
      <c r="T28" s="222">
        <f t="shared" si="3"/>
        <v>2608</v>
      </c>
    </row>
    <row r="29" spans="1:20" s="75" customFormat="1" ht="13.5" customHeight="1">
      <c r="A29" s="61" t="s">
        <v>305</v>
      </c>
      <c r="B29" s="245" t="s">
        <v>61</v>
      </c>
      <c r="C29" s="245" t="s">
        <v>61</v>
      </c>
      <c r="D29" s="244">
        <v>60854281</v>
      </c>
      <c r="E29" s="246" t="s">
        <v>61</v>
      </c>
      <c r="F29" s="247" t="s">
        <v>61</v>
      </c>
      <c r="G29" s="233"/>
      <c r="H29" s="62" t="s">
        <v>305</v>
      </c>
      <c r="I29" s="248" t="s">
        <v>61</v>
      </c>
      <c r="J29" s="248" t="s">
        <v>61</v>
      </c>
      <c r="K29" s="234">
        <f>ROUND(D29/1000,0)</f>
        <v>60854</v>
      </c>
      <c r="L29" s="249" t="s">
        <v>61</v>
      </c>
      <c r="M29" s="250" t="s">
        <v>61</v>
      </c>
      <c r="N29" s="220">
        <f>K29-'[5]Jūlijs'!K29</f>
        <v>3689</v>
      </c>
      <c r="O29" s="75" t="str">
        <f t="shared" si="0"/>
        <v>    mērķdotācijas pašvaldību budžetiem</v>
      </c>
      <c r="P29" s="221">
        <f t="shared" si="2"/>
        <v>60854</v>
      </c>
      <c r="Q29" s="213">
        <v>60854</v>
      </c>
      <c r="R29" s="222">
        <v>57165</v>
      </c>
      <c r="T29" s="222">
        <f t="shared" si="3"/>
        <v>3689</v>
      </c>
    </row>
    <row r="30" spans="1:20" s="75" customFormat="1" ht="13.5" customHeight="1">
      <c r="A30" s="61" t="s">
        <v>306</v>
      </c>
      <c r="B30" s="245" t="s">
        <v>61</v>
      </c>
      <c r="C30" s="245" t="s">
        <v>61</v>
      </c>
      <c r="D30" s="244">
        <v>4783066</v>
      </c>
      <c r="E30" s="246" t="s">
        <v>61</v>
      </c>
      <c r="F30" s="247" t="s">
        <v>61</v>
      </c>
      <c r="G30" s="233"/>
      <c r="H30" s="62" t="s">
        <v>306</v>
      </c>
      <c r="I30" s="248" t="s">
        <v>61</v>
      </c>
      <c r="J30" s="248" t="s">
        <v>61</v>
      </c>
      <c r="K30" s="234">
        <f>ROUND(D30/1000,0)</f>
        <v>4783</v>
      </c>
      <c r="L30" s="249" t="s">
        <v>61</v>
      </c>
      <c r="M30" s="250" t="s">
        <v>61</v>
      </c>
      <c r="N30" s="220">
        <f>K30-'[5]Jūlijs'!K30</f>
        <v>559</v>
      </c>
      <c r="O30" s="75" t="str">
        <f t="shared" si="0"/>
        <v>    dotācijas pašvaldību budžetiem</v>
      </c>
      <c r="P30" s="221">
        <f t="shared" si="2"/>
        <v>4783</v>
      </c>
      <c r="Q30" s="213">
        <v>4783</v>
      </c>
      <c r="R30" s="222">
        <v>4224</v>
      </c>
      <c r="T30" s="222">
        <f t="shared" si="3"/>
        <v>559</v>
      </c>
    </row>
    <row r="31" spans="1:20" s="75" customFormat="1" ht="13.5" customHeight="1">
      <c r="A31" s="61" t="s">
        <v>307</v>
      </c>
      <c r="B31" s="16">
        <v>33184406</v>
      </c>
      <c r="C31" s="16">
        <v>23686155</v>
      </c>
      <c r="D31" s="244">
        <v>64435586</v>
      </c>
      <c r="E31" s="246" t="s">
        <v>61</v>
      </c>
      <c r="F31" s="247" t="s">
        <v>61</v>
      </c>
      <c r="G31" s="233"/>
      <c r="H31" s="62" t="s">
        <v>307</v>
      </c>
      <c r="I31" s="248" t="s">
        <v>61</v>
      </c>
      <c r="J31" s="251">
        <f>ROUND(C31/1000,0)</f>
        <v>23686</v>
      </c>
      <c r="K31" s="234">
        <f>ROUND(D31/1000,0)-1</f>
        <v>64435</v>
      </c>
      <c r="L31" s="249" t="s">
        <v>61</v>
      </c>
      <c r="M31" s="250" t="s">
        <v>61</v>
      </c>
      <c r="N31" s="220">
        <f>K31-'[5]Jūlijs'!K31</f>
        <v>7421</v>
      </c>
      <c r="O31" s="75" t="str">
        <f t="shared" si="0"/>
        <v>    dotācijas iestādēm un organizācijām</v>
      </c>
      <c r="P31" s="221">
        <f t="shared" si="2"/>
        <v>64435</v>
      </c>
      <c r="Q31" s="213">
        <v>64435</v>
      </c>
      <c r="R31" s="222">
        <v>57014</v>
      </c>
      <c r="T31" s="222">
        <f t="shared" si="3"/>
        <v>7421</v>
      </c>
    </row>
    <row r="32" spans="1:20" s="264" customFormat="1" ht="26.25" customHeight="1">
      <c r="A32" s="254" t="s">
        <v>308</v>
      </c>
      <c r="B32" s="255" t="s">
        <v>61</v>
      </c>
      <c r="C32" s="255" t="s">
        <v>61</v>
      </c>
      <c r="D32" s="256">
        <f>41565168+100100</f>
        <v>41665268</v>
      </c>
      <c r="E32" s="257" t="s">
        <v>61</v>
      </c>
      <c r="F32" s="258" t="s">
        <v>61</v>
      </c>
      <c r="G32" s="233"/>
      <c r="H32" s="259" t="s">
        <v>309</v>
      </c>
      <c r="I32" s="260" t="s">
        <v>61</v>
      </c>
      <c r="J32" s="260" t="s">
        <v>61</v>
      </c>
      <c r="K32" s="261">
        <f>D32/1000</f>
        <v>41665.268</v>
      </c>
      <c r="L32" s="262" t="s">
        <v>61</v>
      </c>
      <c r="M32" s="263" t="s">
        <v>61</v>
      </c>
      <c r="N32" s="220">
        <f>K32-'[5]Jūlijs'!K32</f>
        <v>4929.267999999996</v>
      </c>
      <c r="O32" s="75" t="str">
        <f t="shared" si="0"/>
        <v>                 t.sk.speciālajam budžetam*</v>
      </c>
      <c r="P32" s="221">
        <f t="shared" si="2"/>
        <v>41665.268</v>
      </c>
      <c r="Q32" s="213">
        <v>41565</v>
      </c>
      <c r="R32" s="222">
        <v>36736</v>
      </c>
      <c r="T32" s="222">
        <f t="shared" si="3"/>
        <v>4829</v>
      </c>
    </row>
    <row r="33" spans="1:20" s="264" customFormat="1" ht="13.5" customHeight="1">
      <c r="A33" s="254" t="s">
        <v>310</v>
      </c>
      <c r="B33" s="255" t="s">
        <v>61</v>
      </c>
      <c r="C33" s="255" t="s">
        <v>61</v>
      </c>
      <c r="D33" s="256">
        <f>D31-D32</f>
        <v>22770318</v>
      </c>
      <c r="E33" s="257" t="s">
        <v>61</v>
      </c>
      <c r="F33" s="258" t="s">
        <v>61</v>
      </c>
      <c r="G33" s="233"/>
      <c r="H33" s="132" t="s">
        <v>311</v>
      </c>
      <c r="I33" s="260" t="s">
        <v>61</v>
      </c>
      <c r="J33" s="260" t="s">
        <v>61</v>
      </c>
      <c r="K33" s="261">
        <f>ROUND(D33/1000,0)</f>
        <v>22770</v>
      </c>
      <c r="L33" s="262" t="s">
        <v>61</v>
      </c>
      <c r="M33" s="263" t="s">
        <v>61</v>
      </c>
      <c r="N33" s="220">
        <f>K33-'[5]Jūlijs'!K33</f>
        <v>2493</v>
      </c>
      <c r="O33" s="75" t="str">
        <f t="shared" si="0"/>
        <v>           pārējiem</v>
      </c>
      <c r="P33" s="221">
        <f t="shared" si="2"/>
        <v>22770</v>
      </c>
      <c r="Q33" s="213">
        <v>22870</v>
      </c>
      <c r="R33" s="222">
        <v>20277</v>
      </c>
      <c r="T33" s="222">
        <f t="shared" si="3"/>
        <v>2593</v>
      </c>
    </row>
    <row r="34" spans="1:20" ht="13.5" customHeight="1">
      <c r="A34" s="61" t="s">
        <v>312</v>
      </c>
      <c r="B34" s="16">
        <v>72148552</v>
      </c>
      <c r="C34" s="16">
        <v>48822023</v>
      </c>
      <c r="D34" s="244">
        <v>48185734</v>
      </c>
      <c r="E34" s="246" t="s">
        <v>61</v>
      </c>
      <c r="F34" s="247" t="s">
        <v>61</v>
      </c>
      <c r="G34" s="233"/>
      <c r="H34" s="62" t="s">
        <v>312</v>
      </c>
      <c r="I34" s="248" t="s">
        <v>61</v>
      </c>
      <c r="J34" s="251">
        <f>ROUND(C34/1000,0)</f>
        <v>48822</v>
      </c>
      <c r="K34" s="230">
        <f>SUM(K35,K36,K37,K38)</f>
        <v>48186</v>
      </c>
      <c r="L34" s="249" t="s">
        <v>61</v>
      </c>
      <c r="M34" s="250" t="s">
        <v>61</v>
      </c>
      <c r="N34" s="220">
        <f>K34-'[5]Jūlijs'!K34</f>
        <v>5673</v>
      </c>
      <c r="O34" s="75" t="str">
        <f t="shared" si="0"/>
        <v>     dotācijas iedzīvotājiem</v>
      </c>
      <c r="P34" s="221">
        <f t="shared" si="2"/>
        <v>48186</v>
      </c>
      <c r="Q34" s="213">
        <v>48186</v>
      </c>
      <c r="R34" s="222">
        <v>42513</v>
      </c>
      <c r="T34" s="222">
        <f t="shared" si="3"/>
        <v>5673</v>
      </c>
    </row>
    <row r="35" spans="1:20" s="266" customFormat="1" ht="13.5" customHeight="1">
      <c r="A35" s="254" t="s">
        <v>313</v>
      </c>
      <c r="B35" s="255" t="s">
        <v>61</v>
      </c>
      <c r="C35" s="255" t="s">
        <v>61</v>
      </c>
      <c r="D35" s="265">
        <v>845587</v>
      </c>
      <c r="E35" s="257" t="s">
        <v>61</v>
      </c>
      <c r="F35" s="258" t="s">
        <v>61</v>
      </c>
      <c r="G35" s="233"/>
      <c r="H35" s="259" t="s">
        <v>314</v>
      </c>
      <c r="I35" s="260" t="s">
        <v>61</v>
      </c>
      <c r="J35" s="260" t="s">
        <v>61</v>
      </c>
      <c r="K35" s="261">
        <f>ROUND(D35/1000,0)</f>
        <v>846</v>
      </c>
      <c r="L35" s="262" t="s">
        <v>61</v>
      </c>
      <c r="M35" s="263" t="s">
        <v>61</v>
      </c>
      <c r="N35" s="220">
        <f>K35-'[5]Jūlijs'!K35</f>
        <v>91</v>
      </c>
      <c r="O35" s="75" t="str">
        <f t="shared" si="0"/>
        <v>                 t.sk.        pensijas </v>
      </c>
      <c r="P35" s="221">
        <f t="shared" si="2"/>
        <v>846</v>
      </c>
      <c r="Q35" s="213">
        <v>846</v>
      </c>
      <c r="R35" s="222">
        <v>755</v>
      </c>
      <c r="T35" s="222">
        <f t="shared" si="3"/>
        <v>91</v>
      </c>
    </row>
    <row r="36" spans="1:20" s="266" customFormat="1" ht="13.5" customHeight="1">
      <c r="A36" s="254" t="s">
        <v>315</v>
      </c>
      <c r="B36" s="255" t="s">
        <v>61</v>
      </c>
      <c r="C36" s="255" t="s">
        <v>61</v>
      </c>
      <c r="D36" s="265">
        <v>36246522</v>
      </c>
      <c r="E36" s="257" t="s">
        <v>61</v>
      </c>
      <c r="F36" s="258" t="s">
        <v>61</v>
      </c>
      <c r="G36" s="233"/>
      <c r="H36" s="132" t="s">
        <v>316</v>
      </c>
      <c r="I36" s="260" t="s">
        <v>61</v>
      </c>
      <c r="J36" s="260" t="s">
        <v>61</v>
      </c>
      <c r="K36" s="261">
        <f>ROUND(D36/1000,0)</f>
        <v>36247</v>
      </c>
      <c r="L36" s="262" t="s">
        <v>61</v>
      </c>
      <c r="M36" s="263" t="s">
        <v>61</v>
      </c>
      <c r="N36" s="220">
        <f>K36-'[5]Jūlijs'!K36</f>
        <v>4621</v>
      </c>
      <c r="O36" s="75" t="str">
        <f t="shared" si="0"/>
        <v>         pabalsti</v>
      </c>
      <c r="P36" s="221">
        <f t="shared" si="2"/>
        <v>36247</v>
      </c>
      <c r="Q36" s="213">
        <v>36247</v>
      </c>
      <c r="R36" s="222">
        <v>31626</v>
      </c>
      <c r="T36" s="222">
        <f t="shared" si="3"/>
        <v>4621</v>
      </c>
    </row>
    <row r="37" spans="1:20" s="266" customFormat="1" ht="13.5" customHeight="1">
      <c r="A37" s="254" t="s">
        <v>317</v>
      </c>
      <c r="B37" s="255" t="s">
        <v>61</v>
      </c>
      <c r="C37" s="255" t="s">
        <v>61</v>
      </c>
      <c r="D37" s="265">
        <v>4108246</v>
      </c>
      <c r="E37" s="257" t="s">
        <v>61</v>
      </c>
      <c r="F37" s="258" t="s">
        <v>61</v>
      </c>
      <c r="G37" s="233"/>
      <c r="H37" s="132" t="s">
        <v>318</v>
      </c>
      <c r="I37" s="260" t="s">
        <v>61</v>
      </c>
      <c r="J37" s="260" t="s">
        <v>61</v>
      </c>
      <c r="K37" s="261">
        <f>ROUND(D37/1000,0)</f>
        <v>4108</v>
      </c>
      <c r="L37" s="262" t="s">
        <v>61</v>
      </c>
      <c r="M37" s="263" t="s">
        <v>61</v>
      </c>
      <c r="N37" s="220">
        <f>K37-'[5]Jūlijs'!K37</f>
        <v>92</v>
      </c>
      <c r="O37" s="75" t="str">
        <f t="shared" si="0"/>
        <v>            stipendijas</v>
      </c>
      <c r="P37" s="221">
        <f t="shared" si="2"/>
        <v>4108</v>
      </c>
      <c r="Q37" s="213">
        <v>4108</v>
      </c>
      <c r="R37" s="222">
        <v>4016</v>
      </c>
      <c r="T37" s="222">
        <f t="shared" si="3"/>
        <v>92</v>
      </c>
    </row>
    <row r="38" spans="1:20" s="266" customFormat="1" ht="13.5" customHeight="1">
      <c r="A38" s="254" t="s">
        <v>319</v>
      </c>
      <c r="B38" s="255" t="s">
        <v>61</v>
      </c>
      <c r="C38" s="255" t="s">
        <v>61</v>
      </c>
      <c r="D38" s="265">
        <v>6985379</v>
      </c>
      <c r="E38" s="257" t="s">
        <v>61</v>
      </c>
      <c r="F38" s="258" t="s">
        <v>61</v>
      </c>
      <c r="G38" s="233"/>
      <c r="H38" s="132" t="s">
        <v>320</v>
      </c>
      <c r="I38" s="260" t="s">
        <v>61</v>
      </c>
      <c r="J38" s="260" t="s">
        <v>61</v>
      </c>
      <c r="K38" s="261">
        <f>ROUND(D38/1000,0)</f>
        <v>6985</v>
      </c>
      <c r="L38" s="262" t="s">
        <v>61</v>
      </c>
      <c r="M38" s="263" t="s">
        <v>61</v>
      </c>
      <c r="N38" s="220">
        <f>K38-'[5]Jūlijs'!K38</f>
        <v>869</v>
      </c>
      <c r="O38" s="75" t="str">
        <f t="shared" si="0"/>
        <v>      pārējie</v>
      </c>
      <c r="P38" s="221">
        <f t="shared" si="2"/>
        <v>6985</v>
      </c>
      <c r="Q38" s="213">
        <v>6985</v>
      </c>
      <c r="R38" s="222">
        <v>6116</v>
      </c>
      <c r="T38" s="222">
        <f t="shared" si="3"/>
        <v>869</v>
      </c>
    </row>
    <row r="39" spans="1:20" ht="25.5" customHeight="1">
      <c r="A39" s="61" t="s">
        <v>321</v>
      </c>
      <c r="B39" s="233">
        <v>5151122</v>
      </c>
      <c r="C39" s="233">
        <v>3879995</v>
      </c>
      <c r="D39" s="244">
        <v>2508594</v>
      </c>
      <c r="E39" s="237">
        <f>IF(ISERROR(D39/B39)," ",(D39/B39))*100</f>
        <v>48.69995313642348</v>
      </c>
      <c r="F39" s="216">
        <f>IF(ISERROR(D39/C39)," ",(D39/C39))*100</f>
        <v>64.65456785382455</v>
      </c>
      <c r="G39" s="233"/>
      <c r="H39" s="62" t="s">
        <v>321</v>
      </c>
      <c r="I39" s="251">
        <f>ROUND(B39/1000,0)</f>
        <v>5151</v>
      </c>
      <c r="J39" s="251">
        <f>ROUND(C39/1000,0)</f>
        <v>3880</v>
      </c>
      <c r="K39" s="234">
        <f>ROUND(D39/1000,0)-1</f>
        <v>2508</v>
      </c>
      <c r="L39" s="231">
        <f>IF(ISERROR(ROUND(K39,0)/ROUND(I39,0))," ",(ROUND(K39,)/ROUND(I39,)))*100</f>
        <v>48.68957483983692</v>
      </c>
      <c r="M39" s="231">
        <f>IF(ISERROR(ROUND(K39,0)/ROUND(J39,0))," ",(ROUND(K39,)/ROUND(J39,)))*100</f>
        <v>64.63917525773196</v>
      </c>
      <c r="N39" s="220">
        <f>K39-'[5]Jūlijs'!K39</f>
        <v>355</v>
      </c>
      <c r="O39" s="75" t="str">
        <f t="shared" si="0"/>
        <v>   iemaksas starptautiskajās organizācijās</v>
      </c>
      <c r="P39" s="221">
        <f t="shared" si="2"/>
        <v>2508</v>
      </c>
      <c r="Q39" s="213">
        <v>2508</v>
      </c>
      <c r="R39" s="222">
        <v>2153</v>
      </c>
      <c r="T39" s="222">
        <f t="shared" si="3"/>
        <v>355</v>
      </c>
    </row>
    <row r="40" spans="1:20" ht="20.25" customHeight="1">
      <c r="A40" s="267" t="s">
        <v>322</v>
      </c>
      <c r="B40" s="181">
        <f>B41+B42</f>
        <v>65529386</v>
      </c>
      <c r="C40" s="181">
        <f>C41+C42</f>
        <v>45322970</v>
      </c>
      <c r="D40" s="242">
        <f>SUM(D41:D42)</f>
        <v>32925347</v>
      </c>
      <c r="E40" s="237">
        <f>IF(ISERROR(D40/B40)," ",(D40/B40))*100</f>
        <v>50.24516329208395</v>
      </c>
      <c r="F40" s="216">
        <f>IF(ISERROR(D40/C40)," ",(D40/C40))*100</f>
        <v>72.64604901223375</v>
      </c>
      <c r="G40" s="233"/>
      <c r="H40" s="100" t="s">
        <v>322</v>
      </c>
      <c r="I40" s="49">
        <f>SUM(I41:I42)</f>
        <v>65529</v>
      </c>
      <c r="J40" s="251">
        <f>ROUND(C40/1000,0)</f>
        <v>45323</v>
      </c>
      <c r="K40" s="49">
        <f>SUM(K41:K42)</f>
        <v>32925</v>
      </c>
      <c r="L40" s="103">
        <f>IF(ISERROR(ROUND(K40,0)/ROUND(I40,0))," ",(ROUND(K40,)/ROUND(I40,)))*100</f>
        <v>50.24492972577027</v>
      </c>
      <c r="M40" s="103">
        <f>IF(ISERROR(ROUND(K40,0)/ROUND(J40,0))," ",(ROUND(K40,)/ROUND(J40,)))*100</f>
        <v>72.64523531099</v>
      </c>
      <c r="N40" s="220">
        <f>K40-'[5]Jūlijs'!K40</f>
        <v>5398</v>
      </c>
      <c r="O40" s="75" t="str">
        <f t="shared" si="0"/>
        <v>2.2.Izdevumi kapitālieguldījumiem</v>
      </c>
      <c r="P40" s="221">
        <f t="shared" si="2"/>
        <v>32925</v>
      </c>
      <c r="Q40" s="213">
        <v>32925</v>
      </c>
      <c r="R40" s="222">
        <v>27527</v>
      </c>
      <c r="T40" s="222">
        <f t="shared" si="3"/>
        <v>5398</v>
      </c>
    </row>
    <row r="41" spans="1:20" ht="13.5" customHeight="1">
      <c r="A41" s="68" t="s">
        <v>323</v>
      </c>
      <c r="B41" s="233">
        <v>24236583</v>
      </c>
      <c r="C41" s="233">
        <v>17229297</v>
      </c>
      <c r="D41" s="244">
        <v>9983164</v>
      </c>
      <c r="E41" s="217" t="str">
        <f>IF(ISERROR(#REF!/B41)," ",(#REF!/B41))</f>
        <v> </v>
      </c>
      <c r="F41" s="217" t="str">
        <f>IF(ISERROR(#REF!/C41)," ",(#REF!/C41))</f>
        <v> </v>
      </c>
      <c r="G41" s="233"/>
      <c r="H41" s="268" t="s">
        <v>324</v>
      </c>
      <c r="I41" s="269">
        <f>ROUND(B41/1000,0)</f>
        <v>24237</v>
      </c>
      <c r="J41" s="251">
        <f>ROUND(C41/1000,0)</f>
        <v>17229</v>
      </c>
      <c r="K41" s="234">
        <f>ROUND(D41/1000,0)</f>
        <v>9983</v>
      </c>
      <c r="L41" s="231">
        <f>IF(ISERROR(ROUND(K41,0)/ROUND(I41,0))," ",(ROUND(K41,)/ROUND(I41,)))*100</f>
        <v>41.18909105912448</v>
      </c>
      <c r="M41" s="231">
        <f>IF(ISERROR(ROUND(K41,0)/ROUND(J41,0))," ",(ROUND(K41,)/ROUND(J41,)))*100</f>
        <v>57.94300307620872</v>
      </c>
      <c r="N41" s="220">
        <f>K41-'[5]Jūlijs'!K41</f>
        <v>2206</v>
      </c>
      <c r="O41" s="75" t="str">
        <f t="shared" si="0"/>
        <v>Kapitālie izdevumi</v>
      </c>
      <c r="P41" s="221">
        <f t="shared" si="2"/>
        <v>9983</v>
      </c>
      <c r="Q41" s="213">
        <v>9983</v>
      </c>
      <c r="R41" s="222">
        <v>7777</v>
      </c>
      <c r="T41" s="222">
        <f t="shared" si="3"/>
        <v>2206</v>
      </c>
    </row>
    <row r="42" spans="1:20" ht="13.5" customHeight="1">
      <c r="A42" s="61" t="s">
        <v>325</v>
      </c>
      <c r="B42" s="233">
        <v>41292803</v>
      </c>
      <c r="C42" s="233">
        <v>28093673</v>
      </c>
      <c r="D42" s="244">
        <v>22942183</v>
      </c>
      <c r="E42" s="237">
        <f>IF(ISERROR(D42/B42)," ",(D42/B42))*100</f>
        <v>55.55976183065121</v>
      </c>
      <c r="F42" s="216">
        <f>IF(ISERROR(D42/C42)," ",(D42/C42))*100</f>
        <v>81.6631666496581</v>
      </c>
      <c r="G42" s="233"/>
      <c r="H42" s="62" t="s">
        <v>326</v>
      </c>
      <c r="I42" s="269">
        <f>ROUND(B42/1000,0)-1</f>
        <v>41292</v>
      </c>
      <c r="J42" s="251">
        <f>ROUND(C42/1000,0)</f>
        <v>28094</v>
      </c>
      <c r="K42" s="234">
        <f>ROUND(D42/1000,0)</f>
        <v>22942</v>
      </c>
      <c r="L42" s="231">
        <f>IF(ISERROR(ROUND(K42,0)/ROUND(I42,0))," ",(ROUND(K42,)/ROUND(I42,)))*100</f>
        <v>55.56039910878621</v>
      </c>
      <c r="M42" s="231">
        <f>IF(ISERROR(ROUND(K42,0)/ROUND(J42,0))," ",(ROUND(K42,)/ROUND(J42,)))*100</f>
        <v>81.66156474692106</v>
      </c>
      <c r="N42" s="220">
        <f>K42-'[5]Jūlijs'!K42</f>
        <v>3192</v>
      </c>
      <c r="O42" s="75" t="str">
        <f t="shared" si="0"/>
        <v>Investīcijas</v>
      </c>
      <c r="P42" s="221">
        <f t="shared" si="2"/>
        <v>22942</v>
      </c>
      <c r="Q42" s="213">
        <v>22942</v>
      </c>
      <c r="R42" s="222">
        <v>19750</v>
      </c>
      <c r="T42" s="222">
        <f t="shared" si="3"/>
        <v>3192</v>
      </c>
    </row>
    <row r="43" spans="1:20" ht="13.5" customHeight="1">
      <c r="A43" s="61" t="s">
        <v>327</v>
      </c>
      <c r="B43" s="245" t="s">
        <v>61</v>
      </c>
      <c r="C43" s="245" t="s">
        <v>61</v>
      </c>
      <c r="D43" s="265">
        <v>1310200</v>
      </c>
      <c r="E43" s="270" t="s">
        <v>61</v>
      </c>
      <c r="F43" s="270" t="s">
        <v>61</v>
      </c>
      <c r="G43" s="233"/>
      <c r="H43" s="62" t="s">
        <v>327</v>
      </c>
      <c r="I43" s="271" t="s">
        <v>61</v>
      </c>
      <c r="J43" s="271" t="s">
        <v>61</v>
      </c>
      <c r="K43" s="234">
        <f>ROUND(D43/1000,0)</f>
        <v>1310</v>
      </c>
      <c r="L43" s="272" t="s">
        <v>61</v>
      </c>
      <c r="M43" s="272" t="s">
        <v>61</v>
      </c>
      <c r="N43" s="220">
        <f>K43-'[5]Jūlijs'!K43</f>
        <v>194</v>
      </c>
      <c r="O43" s="75" t="str">
        <f t="shared" si="0"/>
        <v>t.sk. speciālajam budžetam</v>
      </c>
      <c r="P43" s="221">
        <f t="shared" si="2"/>
        <v>1310</v>
      </c>
      <c r="Q43" s="213">
        <v>1310</v>
      </c>
      <c r="R43" s="222">
        <v>1116</v>
      </c>
      <c r="T43" s="222">
        <f t="shared" si="3"/>
        <v>194</v>
      </c>
    </row>
    <row r="44" spans="1:20" ht="13.5" customHeight="1">
      <c r="A44" s="61" t="s">
        <v>328</v>
      </c>
      <c r="B44" s="245" t="s">
        <v>61</v>
      </c>
      <c r="C44" s="245" t="s">
        <v>61</v>
      </c>
      <c r="D44" s="265">
        <v>5090670</v>
      </c>
      <c r="E44" s="270" t="s">
        <v>61</v>
      </c>
      <c r="F44" s="270" t="s">
        <v>61</v>
      </c>
      <c r="G44" s="233"/>
      <c r="H44" s="62" t="s">
        <v>328</v>
      </c>
      <c r="I44" s="271" t="s">
        <v>61</v>
      </c>
      <c r="J44" s="271" t="s">
        <v>61</v>
      </c>
      <c r="K44" s="234">
        <f>ROUND(D44/1000,0)</f>
        <v>5091</v>
      </c>
      <c r="L44" s="272" t="s">
        <v>61</v>
      </c>
      <c r="M44" s="272" t="s">
        <v>61</v>
      </c>
      <c r="N44" s="220">
        <f>K44-'[5]Jūlijs'!K44</f>
        <v>1386</v>
      </c>
      <c r="O44" s="75" t="str">
        <f t="shared" si="0"/>
        <v>t.sk. pašvaldību budžetam</v>
      </c>
      <c r="P44" s="221">
        <f t="shared" si="2"/>
        <v>5091</v>
      </c>
      <c r="Q44" s="213">
        <v>5091</v>
      </c>
      <c r="R44" s="222">
        <v>3705</v>
      </c>
      <c r="T44" s="222">
        <f t="shared" si="3"/>
        <v>1386</v>
      </c>
    </row>
    <row r="45" spans="1:20" ht="24" customHeight="1">
      <c r="A45" s="53" t="s">
        <v>329</v>
      </c>
      <c r="B45" s="273">
        <v>55987963</v>
      </c>
      <c r="C45" s="245" t="s">
        <v>61</v>
      </c>
      <c r="D45" s="274">
        <f>SUM(D46-D48)</f>
        <v>38676616</v>
      </c>
      <c r="E45" s="246" t="s">
        <v>61</v>
      </c>
      <c r="F45" s="247" t="s">
        <v>61</v>
      </c>
      <c r="G45" s="233"/>
      <c r="H45" s="70" t="s">
        <v>329</v>
      </c>
      <c r="I45" s="252">
        <v>55987</v>
      </c>
      <c r="J45" s="248" t="s">
        <v>61</v>
      </c>
      <c r="K45" s="218">
        <f>K46-K48</f>
        <v>38676.616</v>
      </c>
      <c r="L45" s="275" t="s">
        <v>61</v>
      </c>
      <c r="M45" s="276" t="s">
        <v>61</v>
      </c>
      <c r="N45" s="220">
        <f>K45-'[5]Jūlijs'!K45</f>
        <v>2990.616000000002</v>
      </c>
      <c r="O45" s="75" t="str">
        <f t="shared" si="0"/>
        <v>3. Valsts budžeta tīrie aizdevumi (3.1.-3.2.)</v>
      </c>
      <c r="P45" s="221">
        <f t="shared" si="2"/>
        <v>38676.616</v>
      </c>
      <c r="Q45" s="213">
        <v>38382</v>
      </c>
      <c r="R45" s="222">
        <v>35686</v>
      </c>
      <c r="T45" s="222">
        <f t="shared" si="3"/>
        <v>2696</v>
      </c>
    </row>
    <row r="46" spans="1:20" ht="13.5" customHeight="1">
      <c r="A46" s="60" t="s">
        <v>330</v>
      </c>
      <c r="B46" s="244">
        <v>73631361</v>
      </c>
      <c r="C46" s="245" t="s">
        <v>61</v>
      </c>
      <c r="D46" s="277">
        <v>57580760</v>
      </c>
      <c r="E46" s="217"/>
      <c r="F46" s="217"/>
      <c r="G46" s="233"/>
      <c r="H46" s="54" t="s">
        <v>330</v>
      </c>
      <c r="I46" s="278"/>
      <c r="J46" s="93" t="s">
        <v>61</v>
      </c>
      <c r="K46" s="234">
        <f>D46/1000</f>
        <v>57580.76</v>
      </c>
      <c r="L46" s="275" t="s">
        <v>61</v>
      </c>
      <c r="M46" s="276" t="s">
        <v>61</v>
      </c>
      <c r="N46" s="220">
        <f>K46-'[5]Jūlijs'!K46</f>
        <v>4569.760000000002</v>
      </c>
      <c r="O46" s="75" t="str">
        <f t="shared" si="0"/>
        <v>3.1.Valsts budžeta aizdevumi</v>
      </c>
      <c r="P46" s="221">
        <f t="shared" si="2"/>
        <v>57580.76</v>
      </c>
      <c r="Q46" s="213">
        <v>57286</v>
      </c>
      <c r="R46" s="222">
        <v>53011</v>
      </c>
      <c r="T46" s="222">
        <f t="shared" si="3"/>
        <v>4275</v>
      </c>
    </row>
    <row r="47" spans="1:20" ht="15" customHeight="1">
      <c r="A47" s="60" t="s">
        <v>331</v>
      </c>
      <c r="B47" s="244">
        <v>48228571</v>
      </c>
      <c r="C47" s="245" t="s">
        <v>61</v>
      </c>
      <c r="D47" s="277">
        <v>42135546</v>
      </c>
      <c r="E47" s="217"/>
      <c r="F47" s="217"/>
      <c r="G47" s="233"/>
      <c r="H47" s="54" t="s">
        <v>331</v>
      </c>
      <c r="I47" s="278"/>
      <c r="J47" s="93" t="s">
        <v>61</v>
      </c>
      <c r="K47" s="234">
        <f>D47/1000</f>
        <v>42135.546</v>
      </c>
      <c r="L47" s="275" t="s">
        <v>61</v>
      </c>
      <c r="M47" s="276" t="s">
        <v>61</v>
      </c>
      <c r="N47" s="220">
        <f>K47-'[5]Jūlijs'!K47</f>
        <v>2268.546000000002</v>
      </c>
      <c r="O47" s="75" t="str">
        <f t="shared" si="0"/>
        <v>t.sk.speciālajam budžetam</v>
      </c>
      <c r="P47" s="221">
        <f t="shared" si="2"/>
        <v>42135.546</v>
      </c>
      <c r="Q47" s="213">
        <v>41888</v>
      </c>
      <c r="R47" s="222">
        <v>39867</v>
      </c>
      <c r="T47" s="222">
        <f t="shared" si="3"/>
        <v>2021</v>
      </c>
    </row>
    <row r="48" spans="1:20" ht="24" customHeight="1">
      <c r="A48" s="279" t="s">
        <v>332</v>
      </c>
      <c r="B48" s="244">
        <v>17643398</v>
      </c>
      <c r="C48" s="245" t="s">
        <v>61</v>
      </c>
      <c r="D48" s="277">
        <v>18904144</v>
      </c>
      <c r="E48" s="217"/>
      <c r="F48" s="245" t="s">
        <v>61</v>
      </c>
      <c r="G48" s="233"/>
      <c r="H48" s="191" t="s">
        <v>332</v>
      </c>
      <c r="I48" s="278"/>
      <c r="J48" s="280" t="s">
        <v>61</v>
      </c>
      <c r="K48" s="234">
        <f>D48/1000</f>
        <v>18904.144</v>
      </c>
      <c r="L48" s="275" t="s">
        <v>61</v>
      </c>
      <c r="M48" s="275" t="s">
        <v>61</v>
      </c>
      <c r="N48" s="220">
        <f>K48-'[5]Jūlijs'!K48</f>
        <v>1579.1440000000002</v>
      </c>
      <c r="O48" s="75" t="str">
        <f t="shared" si="0"/>
        <v>3.2.Valsts budžeta aizdevumu atmaksas</v>
      </c>
      <c r="P48" s="221">
        <f t="shared" si="2"/>
        <v>18904.144</v>
      </c>
      <c r="Q48" s="213">
        <v>18904</v>
      </c>
      <c r="R48" s="222">
        <v>17325</v>
      </c>
      <c r="T48" s="222">
        <f t="shared" si="3"/>
        <v>1579</v>
      </c>
    </row>
    <row r="49" spans="1:20" ht="13.5" customHeight="1">
      <c r="A49" s="60" t="s">
        <v>333</v>
      </c>
      <c r="B49" s="244"/>
      <c r="C49" s="281">
        <v>0</v>
      </c>
      <c r="D49" s="244">
        <v>3257117</v>
      </c>
      <c r="E49" s="281"/>
      <c r="F49" s="281"/>
      <c r="G49" s="233"/>
      <c r="H49" s="54" t="s">
        <v>333</v>
      </c>
      <c r="I49" s="54"/>
      <c r="J49" s="54"/>
      <c r="K49" s="234">
        <f>D49/1000</f>
        <v>3257.117</v>
      </c>
      <c r="L49" s="282"/>
      <c r="M49" s="282"/>
      <c r="N49" s="220">
        <f>K49-'[5]Jūlijs'!K49</f>
        <v>512.1170000000002</v>
      </c>
      <c r="O49" s="75" t="str">
        <f t="shared" si="0"/>
        <v>t.sk. no speciālā budžeta</v>
      </c>
      <c r="P49" s="221">
        <f t="shared" si="2"/>
        <v>3257.117</v>
      </c>
      <c r="Q49" s="213">
        <v>3257</v>
      </c>
      <c r="R49" s="222">
        <v>2745</v>
      </c>
      <c r="T49" s="222">
        <f t="shared" si="3"/>
        <v>512</v>
      </c>
    </row>
    <row r="50" spans="1:20" ht="13.5" customHeight="1">
      <c r="A50" s="60" t="s">
        <v>334</v>
      </c>
      <c r="B50" s="244">
        <f>-B51</f>
        <v>-78303583</v>
      </c>
      <c r="C50" s="246" t="s">
        <v>61</v>
      </c>
      <c r="D50" s="244">
        <f>(D11-D17-D45)</f>
        <v>-67446801.57</v>
      </c>
      <c r="E50" s="246" t="s">
        <v>61</v>
      </c>
      <c r="F50" s="246" t="s">
        <v>61</v>
      </c>
      <c r="G50" s="233"/>
      <c r="H50" s="54" t="s">
        <v>334</v>
      </c>
      <c r="I50" s="278">
        <f>-I51</f>
        <v>-78303</v>
      </c>
      <c r="J50" s="283" t="s">
        <v>61</v>
      </c>
      <c r="K50" s="185">
        <f>(K11-K17-K45)</f>
        <v>-67443.04997999998</v>
      </c>
      <c r="L50" s="275" t="s">
        <v>61</v>
      </c>
      <c r="M50" s="275" t="s">
        <v>61</v>
      </c>
      <c r="N50" s="220">
        <f>K50-'[5]Jūlijs'!K50-1</f>
        <v>-2466.0499799999816</v>
      </c>
      <c r="O50" s="75" t="str">
        <f t="shared" si="0"/>
        <v>Fiskālā bilance </v>
      </c>
      <c r="P50" s="221">
        <f t="shared" si="2"/>
        <v>-67443.04997999998</v>
      </c>
      <c r="Q50" s="213">
        <v>-68303</v>
      </c>
      <c r="R50" s="222">
        <v>-64978</v>
      </c>
      <c r="T50" s="222">
        <f t="shared" si="3"/>
        <v>-3325</v>
      </c>
    </row>
    <row r="51" spans="1:20" ht="13.5" customHeight="1">
      <c r="A51" s="284" t="s">
        <v>335</v>
      </c>
      <c r="B51" s="244">
        <f>B52+B53+B54</f>
        <v>78303583</v>
      </c>
      <c r="C51" s="285">
        <v>0</v>
      </c>
      <c r="D51" s="244">
        <f>-D50</f>
        <v>67446801.57</v>
      </c>
      <c r="E51" s="281"/>
      <c r="F51" s="255"/>
      <c r="G51" s="233"/>
      <c r="H51" s="119" t="s">
        <v>335</v>
      </c>
      <c r="I51" s="278">
        <f>I52+I53+I54</f>
        <v>78303</v>
      </c>
      <c r="J51" s="283" t="s">
        <v>61</v>
      </c>
      <c r="K51" s="185">
        <f>-K50</f>
        <v>67443.04997999998</v>
      </c>
      <c r="L51" s="275" t="s">
        <v>61</v>
      </c>
      <c r="M51" s="275" t="s">
        <v>61</v>
      </c>
      <c r="N51" s="220">
        <f>K51-'[5]Jūlijs'!K51+1</f>
        <v>2466.0499799999816</v>
      </c>
      <c r="O51" s="75" t="str">
        <f t="shared" si="0"/>
        <v>Finansēšana</v>
      </c>
      <c r="P51" s="221">
        <f t="shared" si="2"/>
        <v>67443.04997999998</v>
      </c>
      <c r="Q51" s="213">
        <v>68303</v>
      </c>
      <c r="R51" s="222">
        <v>64978</v>
      </c>
      <c r="T51" s="222">
        <f t="shared" si="3"/>
        <v>3325</v>
      </c>
    </row>
    <row r="52" spans="1:20" ht="24.75" customHeight="1">
      <c r="A52" s="286" t="s">
        <v>336</v>
      </c>
      <c r="B52" s="244">
        <v>30350000</v>
      </c>
      <c r="C52" s="246" t="s">
        <v>61</v>
      </c>
      <c r="D52" s="244">
        <v>1653218</v>
      </c>
      <c r="E52" s="246" t="s">
        <v>61</v>
      </c>
      <c r="F52" s="246" t="s">
        <v>61</v>
      </c>
      <c r="G52" s="233"/>
      <c r="H52" s="94" t="s">
        <v>336</v>
      </c>
      <c r="I52" s="269">
        <f>ROUND(B52/1000,0)</f>
        <v>30350</v>
      </c>
      <c r="J52" s="283" t="s">
        <v>61</v>
      </c>
      <c r="K52" s="185">
        <f>D52/1000</f>
        <v>1653.218</v>
      </c>
      <c r="L52" s="275" t="s">
        <v>61</v>
      </c>
      <c r="M52" s="275" t="s">
        <v>61</v>
      </c>
      <c r="N52" s="220">
        <f>K52-'[5]Jūlijs'!K52</f>
        <v>34.218000000000075</v>
      </c>
      <c r="O52" s="75" t="str">
        <f t="shared" si="0"/>
        <v>ieņēmumi no valsts īpašuma privatizācijas</v>
      </c>
      <c r="P52" s="221">
        <f t="shared" si="2"/>
        <v>1653.218</v>
      </c>
      <c r="Q52" s="213">
        <v>1653</v>
      </c>
      <c r="R52" s="222">
        <v>1619</v>
      </c>
      <c r="T52" s="222">
        <f t="shared" si="3"/>
        <v>34</v>
      </c>
    </row>
    <row r="53" spans="1:20" ht="24.75" customHeight="1">
      <c r="A53" s="286" t="s">
        <v>337</v>
      </c>
      <c r="B53" s="244">
        <v>500000</v>
      </c>
      <c r="C53" s="246" t="s">
        <v>61</v>
      </c>
      <c r="D53" s="244">
        <v>272525</v>
      </c>
      <c r="E53" s="246" t="s">
        <v>61</v>
      </c>
      <c r="F53" s="246" t="s">
        <v>61</v>
      </c>
      <c r="G53" s="233"/>
      <c r="H53" s="94" t="s">
        <v>337</v>
      </c>
      <c r="I53" s="269">
        <f>ROUND(B53/1000,0)</f>
        <v>500</v>
      </c>
      <c r="J53" s="283" t="s">
        <v>61</v>
      </c>
      <c r="K53" s="185">
        <f>D53/1000</f>
        <v>272.525</v>
      </c>
      <c r="L53" s="275" t="s">
        <v>61</v>
      </c>
      <c r="M53" s="275" t="s">
        <v>61</v>
      </c>
      <c r="N53" s="220">
        <f>K53-'[5]Jūlijs'!K53</f>
        <v>13.524999999999977</v>
      </c>
      <c r="O53" s="75" t="str">
        <f t="shared" si="0"/>
        <v>ieņēmumi no valsts īpašuma pārdošanas </v>
      </c>
      <c r="P53" s="221">
        <f t="shared" si="2"/>
        <v>272.525</v>
      </c>
      <c r="Q53" s="213">
        <v>273</v>
      </c>
      <c r="R53" s="222">
        <v>259</v>
      </c>
      <c r="T53" s="222">
        <f t="shared" si="3"/>
        <v>14</v>
      </c>
    </row>
    <row r="54" spans="1:20" ht="13.5" customHeight="1">
      <c r="A54" s="60" t="s">
        <v>338</v>
      </c>
      <c r="B54" s="244">
        <v>47453583</v>
      </c>
      <c r="C54" s="246" t="s">
        <v>61</v>
      </c>
      <c r="D54" s="244">
        <f>D51-D52-D53</f>
        <v>65521058.56999999</v>
      </c>
      <c r="E54" s="246" t="s">
        <v>61</v>
      </c>
      <c r="F54" s="246" t="s">
        <v>61</v>
      </c>
      <c r="G54" s="233"/>
      <c r="H54" s="54" t="s">
        <v>338</v>
      </c>
      <c r="I54" s="269">
        <f>ROUND(B54/1000,0)-1</f>
        <v>47453</v>
      </c>
      <c r="J54" s="283" t="s">
        <v>61</v>
      </c>
      <c r="K54" s="185">
        <f>K51-K52-K53</f>
        <v>65517.30697999999</v>
      </c>
      <c r="L54" s="275" t="s">
        <v>61</v>
      </c>
      <c r="M54" s="275" t="s">
        <v>61</v>
      </c>
      <c r="N54" s="220">
        <f>K54-'[5]Jūlijs'!K54+1</f>
        <v>2418.3069799999867</v>
      </c>
      <c r="O54" s="75" t="str">
        <f t="shared" si="0"/>
        <v>citi finansēšanas avoti </v>
      </c>
      <c r="P54" s="221">
        <f t="shared" si="2"/>
        <v>65517.30697999999</v>
      </c>
      <c r="Q54" s="213">
        <v>66377</v>
      </c>
      <c r="R54" s="222">
        <v>63100</v>
      </c>
      <c r="S54" s="31"/>
      <c r="T54" s="222">
        <f t="shared" si="3"/>
        <v>3277</v>
      </c>
    </row>
    <row r="55" spans="1:14" ht="12.75">
      <c r="A55" s="39"/>
      <c r="B55" s="39"/>
      <c r="C55" s="39"/>
      <c r="D55" s="39"/>
      <c r="E55" s="287"/>
      <c r="F55" s="287"/>
      <c r="G55" s="39"/>
      <c r="H55" s="75"/>
      <c r="I55" s="75"/>
      <c r="J55" s="75"/>
      <c r="K55" s="75"/>
      <c r="L55" s="75"/>
      <c r="M55" s="75"/>
      <c r="N55" s="75"/>
    </row>
    <row r="56" spans="1:14" ht="12.75">
      <c r="A56" s="39" t="s">
        <v>339</v>
      </c>
      <c r="B56" s="39"/>
      <c r="C56" s="39"/>
      <c r="D56" s="39"/>
      <c r="E56" s="287"/>
      <c r="F56" s="287"/>
      <c r="G56" s="39"/>
      <c r="H56" s="43" t="s">
        <v>340</v>
      </c>
      <c r="I56" s="75"/>
      <c r="J56" s="75"/>
      <c r="K56" s="75"/>
      <c r="L56" s="75"/>
      <c r="M56" s="75"/>
      <c r="N56" s="75"/>
    </row>
    <row r="57" spans="1:14" ht="12.75">
      <c r="A57" s="39"/>
      <c r="B57" s="39"/>
      <c r="C57" s="39"/>
      <c r="D57" s="39"/>
      <c r="E57" s="287"/>
      <c r="F57" s="287"/>
      <c r="G57" s="39"/>
      <c r="H57" s="75"/>
      <c r="I57" s="75"/>
      <c r="J57" s="75"/>
      <c r="K57" s="75"/>
      <c r="L57" s="75"/>
      <c r="M57" s="75"/>
      <c r="N57" s="75"/>
    </row>
    <row r="58" spans="1:14" ht="12.75">
      <c r="A58" s="39"/>
      <c r="B58" s="39"/>
      <c r="C58" s="39"/>
      <c r="D58" s="39"/>
      <c r="E58" s="287"/>
      <c r="F58" s="287"/>
      <c r="G58" s="39"/>
      <c r="H58" s="110"/>
      <c r="I58" s="75"/>
      <c r="J58" s="75"/>
      <c r="K58" s="75"/>
      <c r="L58" s="75"/>
      <c r="M58" s="75"/>
      <c r="N58" s="75"/>
    </row>
    <row r="59" spans="1:14" ht="12.75">
      <c r="A59" s="39"/>
      <c r="B59" s="39"/>
      <c r="C59" s="39"/>
      <c r="D59" s="39"/>
      <c r="E59" s="287"/>
      <c r="F59" s="287"/>
      <c r="G59" s="39"/>
      <c r="H59" s="75"/>
      <c r="I59" s="75"/>
      <c r="J59" s="75"/>
      <c r="K59" s="75"/>
      <c r="L59" s="75"/>
      <c r="M59" s="75"/>
      <c r="N59" s="75"/>
    </row>
    <row r="60" spans="8:14" ht="12.75">
      <c r="H60" s="75"/>
      <c r="I60" s="75"/>
      <c r="J60" s="75"/>
      <c r="K60" s="75"/>
      <c r="L60" s="75"/>
      <c r="M60" s="75"/>
      <c r="N60" s="75"/>
    </row>
    <row r="61" spans="1:22" ht="12.75">
      <c r="A61" s="37" t="s">
        <v>341</v>
      </c>
      <c r="M61" s="75"/>
      <c r="N61" s="75"/>
      <c r="R61" s="288" t="s">
        <v>341</v>
      </c>
      <c r="S61" s="75"/>
      <c r="T61" s="75"/>
      <c r="U61" s="75"/>
      <c r="V61" s="75"/>
    </row>
    <row r="62" spans="8:14" ht="12.75">
      <c r="H62" s="75"/>
      <c r="I62" s="75"/>
      <c r="J62" s="75"/>
      <c r="K62" s="75"/>
      <c r="L62" s="75"/>
      <c r="M62" s="75"/>
      <c r="N62" s="75"/>
    </row>
    <row r="63" spans="8:14" ht="12.75">
      <c r="H63" s="43" t="s">
        <v>342</v>
      </c>
      <c r="I63" s="29"/>
      <c r="J63" s="79"/>
      <c r="K63" s="30"/>
      <c r="M63" s="75"/>
      <c r="N63" s="75"/>
    </row>
    <row r="64" spans="8:14" ht="12.75">
      <c r="H64" s="75"/>
      <c r="I64" s="75"/>
      <c r="J64" s="75"/>
      <c r="K64" s="75"/>
      <c r="L64" s="75"/>
      <c r="M64" s="75"/>
      <c r="N64" s="75"/>
    </row>
    <row r="65" spans="8:14" ht="12.75">
      <c r="H65" s="75"/>
      <c r="I65" s="75"/>
      <c r="J65" s="75"/>
      <c r="K65" s="75"/>
      <c r="L65" s="75"/>
      <c r="M65" s="75"/>
      <c r="N65" s="75"/>
    </row>
    <row r="66" spans="8:14" ht="12.75">
      <c r="H66" s="75"/>
      <c r="I66" s="75"/>
      <c r="J66" s="75"/>
      <c r="K66" s="75"/>
      <c r="L66" s="75"/>
      <c r="M66" s="75"/>
      <c r="N66" s="75"/>
    </row>
    <row r="67" spans="8:14" ht="13.5" customHeight="1">
      <c r="H67" s="75"/>
      <c r="I67" s="75"/>
      <c r="J67" s="75"/>
      <c r="K67" s="75"/>
      <c r="L67" s="75"/>
      <c r="M67" s="75"/>
      <c r="N67" s="75"/>
    </row>
    <row r="68" spans="8:14" ht="12.75">
      <c r="H68" s="75"/>
      <c r="I68" s="75"/>
      <c r="J68" s="75"/>
      <c r="K68" s="75"/>
      <c r="L68" s="75"/>
      <c r="M68" s="75"/>
      <c r="N68" s="75"/>
    </row>
    <row r="69" spans="8:14" ht="12.75">
      <c r="H69" s="75"/>
      <c r="I69" s="75"/>
      <c r="J69" s="75"/>
      <c r="K69" s="75"/>
      <c r="L69" s="75"/>
      <c r="M69" s="75"/>
      <c r="N69" s="75"/>
    </row>
    <row r="70" spans="1:14" ht="12.75">
      <c r="A70" s="43" t="s">
        <v>174</v>
      </c>
      <c r="I70" s="75"/>
      <c r="J70" s="75"/>
      <c r="K70" s="75"/>
      <c r="L70" s="75"/>
      <c r="M70" s="75"/>
      <c r="N70" s="75"/>
    </row>
    <row r="71" spans="1:14" ht="12.75">
      <c r="A71" s="43" t="s">
        <v>343</v>
      </c>
      <c r="I71" s="75"/>
      <c r="J71" s="75"/>
      <c r="K71" s="75"/>
      <c r="L71" s="75"/>
      <c r="M71" s="75"/>
      <c r="N71" s="75"/>
    </row>
    <row r="72" spans="8:14" ht="12.75">
      <c r="H72" s="75"/>
      <c r="I72" s="75"/>
      <c r="J72" s="75"/>
      <c r="K72" s="75"/>
      <c r="L72" s="75"/>
      <c r="M72" s="75"/>
      <c r="N72" s="75"/>
    </row>
    <row r="73" spans="9:14" ht="12.75">
      <c r="I73" s="75"/>
      <c r="J73" s="75"/>
      <c r="K73" s="75"/>
      <c r="L73" s="75"/>
      <c r="M73" s="75"/>
      <c r="N73" s="75"/>
    </row>
    <row r="74" spans="9:14" ht="12.75">
      <c r="I74" s="75"/>
      <c r="J74" s="75"/>
      <c r="K74" s="75"/>
      <c r="L74" s="75"/>
      <c r="M74" s="75"/>
      <c r="N74" s="75"/>
    </row>
    <row r="83" ht="12.75">
      <c r="H83" s="179" t="s">
        <v>174</v>
      </c>
    </row>
    <row r="84" ht="12.75">
      <c r="H84" s="179" t="s">
        <v>96</v>
      </c>
    </row>
  </sheetData>
  <printOptions/>
  <pageMargins left="0.75" right="0.19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32"/>
  <sheetViews>
    <sheetView workbookViewId="0" topLeftCell="G1">
      <selection activeCell="G9" sqref="G9"/>
    </sheetView>
  </sheetViews>
  <sheetFormatPr defaultColWidth="9.140625" defaultRowHeight="12.75"/>
  <cols>
    <col min="1" max="1" width="36.57421875" style="0" hidden="1" customWidth="1"/>
    <col min="2" max="2" width="12.140625" style="315" hidden="1" customWidth="1"/>
    <col min="3" max="3" width="12.7109375" style="315" hidden="1" customWidth="1"/>
    <col min="4" max="4" width="11.57421875" style="315" hidden="1" customWidth="1"/>
    <col min="5" max="5" width="9.140625" style="0" hidden="1" customWidth="1"/>
    <col min="6" max="6" width="10.28125" style="0" hidden="1" customWidth="1"/>
    <col min="7" max="7" width="39.140625" style="0" customWidth="1"/>
    <col min="8" max="8" width="12.140625" style="0" customWidth="1"/>
    <col min="9" max="9" width="13.00390625" style="0" customWidth="1"/>
    <col min="10" max="11" width="9.28125" style="0" customWidth="1"/>
    <col min="12" max="12" width="9.00390625" style="0" customWidth="1"/>
  </cols>
  <sheetData>
    <row r="1" spans="1:13" ht="12.75">
      <c r="A1" s="289"/>
      <c r="B1" s="38"/>
      <c r="C1" s="38"/>
      <c r="D1" s="38"/>
      <c r="E1" s="289"/>
      <c r="F1" s="289" t="s">
        <v>344</v>
      </c>
      <c r="G1" s="290"/>
      <c r="H1" s="290"/>
      <c r="I1" s="290"/>
      <c r="J1" s="290"/>
      <c r="K1" s="290"/>
      <c r="L1" s="289" t="s">
        <v>344</v>
      </c>
      <c r="M1" s="290"/>
    </row>
    <row r="2" spans="1:13" ht="12.75">
      <c r="A2" s="32" t="s">
        <v>345</v>
      </c>
      <c r="B2" s="35"/>
      <c r="C2" s="35"/>
      <c r="D2" s="35"/>
      <c r="E2" s="32"/>
      <c r="F2" s="289"/>
      <c r="G2" s="758" t="s">
        <v>98</v>
      </c>
      <c r="H2" s="758"/>
      <c r="I2" s="758"/>
      <c r="J2" s="758"/>
      <c r="K2" s="758"/>
      <c r="L2" s="758"/>
      <c r="M2" s="290"/>
    </row>
    <row r="3" spans="1:13" ht="12.75">
      <c r="A3" s="32"/>
      <c r="B3" s="35"/>
      <c r="C3" s="35"/>
      <c r="D3" s="35"/>
      <c r="E3" s="32"/>
      <c r="F3" s="289"/>
      <c r="G3" s="290"/>
      <c r="H3" s="290"/>
      <c r="I3" s="290"/>
      <c r="J3" s="290"/>
      <c r="K3" s="290"/>
      <c r="L3" s="290"/>
      <c r="M3" s="290"/>
    </row>
    <row r="4" spans="1:13" ht="18">
      <c r="A4" s="499" t="s">
        <v>346</v>
      </c>
      <c r="B4" s="499"/>
      <c r="C4" s="499"/>
      <c r="D4" s="499"/>
      <c r="E4" s="499"/>
      <c r="F4" s="499"/>
      <c r="G4" s="500" t="s">
        <v>346</v>
      </c>
      <c r="H4" s="500"/>
      <c r="I4" s="500"/>
      <c r="J4" s="500"/>
      <c r="K4" s="500"/>
      <c r="L4" s="500"/>
      <c r="M4" s="290"/>
    </row>
    <row r="5" spans="1:13" ht="18">
      <c r="A5" s="499" t="s">
        <v>347</v>
      </c>
      <c r="B5" s="499"/>
      <c r="C5" s="499"/>
      <c r="D5" s="499"/>
      <c r="E5" s="499"/>
      <c r="F5" s="499"/>
      <c r="G5" s="500" t="str">
        <f>A5</f>
        <v>(2000.gada  janvāris -augusts )</v>
      </c>
      <c r="H5" s="500"/>
      <c r="I5" s="500"/>
      <c r="J5" s="500"/>
      <c r="K5" s="500"/>
      <c r="L5" s="500"/>
      <c r="M5" s="290"/>
    </row>
    <row r="6" spans="1:13" ht="18">
      <c r="A6" s="46"/>
      <c r="B6" s="291"/>
      <c r="C6" s="291"/>
      <c r="D6" s="291"/>
      <c r="E6" s="46"/>
      <c r="F6" s="46"/>
      <c r="G6" s="292"/>
      <c r="H6" s="292"/>
      <c r="I6" s="292"/>
      <c r="J6" s="292"/>
      <c r="K6" s="292"/>
      <c r="L6" s="292"/>
      <c r="M6" s="290"/>
    </row>
    <row r="7" spans="1:13" ht="15.75">
      <c r="A7" s="46"/>
      <c r="B7" s="291"/>
      <c r="C7" s="291"/>
      <c r="D7" s="291"/>
      <c r="E7" s="46"/>
      <c r="F7" s="46"/>
      <c r="G7" s="46"/>
      <c r="H7" s="46"/>
      <c r="I7" s="46"/>
      <c r="J7" s="46"/>
      <c r="K7" s="46"/>
      <c r="L7" s="46"/>
      <c r="M7" s="290"/>
    </row>
    <row r="8" spans="1:13" ht="14.25">
      <c r="A8" s="293"/>
      <c r="B8" s="38"/>
      <c r="C8" s="38"/>
      <c r="D8" s="38"/>
      <c r="E8" s="289"/>
      <c r="F8" s="289" t="s">
        <v>348</v>
      </c>
      <c r="G8" s="290"/>
      <c r="H8" s="290"/>
      <c r="I8" s="290"/>
      <c r="J8" s="290"/>
      <c r="K8" s="290"/>
      <c r="L8" s="27" t="s">
        <v>349</v>
      </c>
      <c r="M8" s="294"/>
    </row>
    <row r="9" spans="1:13" ht="51" customHeight="1">
      <c r="A9" s="87" t="s">
        <v>54</v>
      </c>
      <c r="B9" s="295" t="s">
        <v>102</v>
      </c>
      <c r="C9" s="295" t="s">
        <v>278</v>
      </c>
      <c r="D9" s="295" t="s">
        <v>103</v>
      </c>
      <c r="E9" s="87" t="s">
        <v>350</v>
      </c>
      <c r="F9" s="87" t="s">
        <v>281</v>
      </c>
      <c r="G9" s="87" t="s">
        <v>54</v>
      </c>
      <c r="H9" s="87" t="s">
        <v>102</v>
      </c>
      <c r="I9" s="87" t="s">
        <v>351</v>
      </c>
      <c r="J9" s="87" t="s">
        <v>103</v>
      </c>
      <c r="K9" s="87" t="s">
        <v>350</v>
      </c>
      <c r="L9" s="87" t="str">
        <f>F9</f>
        <v>Augusta  izpilde</v>
      </c>
      <c r="M9" s="290"/>
    </row>
    <row r="10" spans="1:13" ht="12.75">
      <c r="A10" s="92">
        <v>1</v>
      </c>
      <c r="B10" s="296">
        <v>2</v>
      </c>
      <c r="C10" s="297">
        <v>3</v>
      </c>
      <c r="D10" s="297">
        <v>4</v>
      </c>
      <c r="E10" s="94">
        <v>5</v>
      </c>
      <c r="F10" s="298">
        <v>6</v>
      </c>
      <c r="G10" s="92">
        <v>1</v>
      </c>
      <c r="H10" s="93">
        <v>2</v>
      </c>
      <c r="I10" s="94">
        <v>3</v>
      </c>
      <c r="J10" s="94">
        <v>4</v>
      </c>
      <c r="K10" s="94">
        <v>5</v>
      </c>
      <c r="L10" s="92">
        <v>6</v>
      </c>
      <c r="M10" s="290"/>
    </row>
    <row r="11" spans="1:13" ht="12.75">
      <c r="A11" s="26" t="s">
        <v>352</v>
      </c>
      <c r="B11" s="101">
        <f>SUM(+B21+B28+B34+B40+B47+B58+B66+B77+B84+B90+B100+B156+B164+B170+B177)</f>
        <v>699762222</v>
      </c>
      <c r="C11" s="101">
        <f>SUM(C21+C28+C34+C40+C47+C58+C66+C77+C84+C90+C100+C156+C164+C170+C177)</f>
        <v>461775457</v>
      </c>
      <c r="D11" s="101">
        <f>SUM(+D21+D28+D34+D40+D47+D58+D66+D77+D84+D90+D100+D156+D164+D170+D177)</f>
        <v>449670679</v>
      </c>
      <c r="E11" s="299">
        <f>IF(ISERROR(D11/B11)," ",(D11/B11))</f>
        <v>0.6426049661766393</v>
      </c>
      <c r="F11" s="6">
        <f>SUM(+F21+F28+F34+F40+F47+F58+F66+F77+F84+F90+F100+F156+F164+F170+F177)</f>
        <v>57663956.1</v>
      </c>
      <c r="G11" s="26" t="s">
        <v>352</v>
      </c>
      <c r="H11" s="241">
        <f>SUM(+H21+H28+H34+H40+H47+H58+H66+H77+H84+H90+H100+H156+H164+H170+H177)</f>
        <v>699762</v>
      </c>
      <c r="I11" s="241">
        <f>SUM(I21+I28+I34+I40+I47+I58+I66+I77+I84+I90+I100+I156+I164+I170+I177)</f>
        <v>461775</v>
      </c>
      <c r="J11" s="241">
        <f>SUM(J21+J28+J34+J40+J47+J58+J66+J77+J84+J90+J100+J156+J164+J170+J177)</f>
        <v>449670</v>
      </c>
      <c r="K11" s="219">
        <f>IF(ISERROR(ROUND(J11,0)/ROUND(H11,0))," ",(ROUND(J11,)/ROUND(H11,)))*100</f>
        <v>64.2604199713617</v>
      </c>
      <c r="L11" s="241">
        <f>SUM(L21+L28+L34+L40+L47+L58+L66+L77+L84+L90+L100+L156+L164+L170+L177)</f>
        <v>57663</v>
      </c>
      <c r="M11" s="300"/>
    </row>
    <row r="12" spans="1:13" ht="12.75">
      <c r="A12" s="26" t="s">
        <v>353</v>
      </c>
      <c r="B12" s="101">
        <f>B13+B14</f>
        <v>743446778</v>
      </c>
      <c r="C12" s="101">
        <f>C13+C14</f>
        <v>517333173</v>
      </c>
      <c r="D12" s="101">
        <f>D13+D14</f>
        <v>479296169</v>
      </c>
      <c r="E12" s="301">
        <f aca="true" t="shared" si="0" ref="E12:E75">IF(ISERROR(D12/B12)," ",(D12/B12))</f>
        <v>0.6446946616533726</v>
      </c>
      <c r="F12" s="302">
        <f>F13+F14</f>
        <v>59243050.39</v>
      </c>
      <c r="G12" s="26" t="s">
        <v>353</v>
      </c>
      <c r="H12" s="241">
        <f>H13+H14</f>
        <v>743447</v>
      </c>
      <c r="I12" s="241">
        <f>I13+I14</f>
        <v>517332</v>
      </c>
      <c r="J12" s="241">
        <f>J13+J14</f>
        <v>479296</v>
      </c>
      <c r="K12" s="219">
        <f aca="true" t="shared" si="1" ref="K12:K74">IF(ISERROR(ROUND(J12,0)/ROUND(H12,0))," ",(ROUND(J12,)/ROUND(H12,)))*100</f>
        <v>64.46942418222146</v>
      </c>
      <c r="L12" s="241">
        <f>L13+L14</f>
        <v>59243</v>
      </c>
      <c r="M12" s="300"/>
    </row>
    <row r="13" spans="1:13" ht="12.75">
      <c r="A13" s="228" t="s">
        <v>354</v>
      </c>
      <c r="B13" s="101">
        <f>SUM(B24+B32+B37+B43+B50+B62+B72+B81+B95+B105+B161+B166+B175+B180)</f>
        <v>706050840</v>
      </c>
      <c r="C13" s="101">
        <f>SUM(C24+C32+C37+C43+C50+C62+C72+C81+C95+C105+C161+C166+C175+C180)</f>
        <v>490285783</v>
      </c>
      <c r="D13" s="101">
        <f>SUM(D24+D32+D37+D43+D50+D62+D72+D81+D95+D105+D161+D166+D175+D180)</f>
        <v>461919694</v>
      </c>
      <c r="E13" s="303">
        <f t="shared" si="0"/>
        <v>0.6542300749900672</v>
      </c>
      <c r="F13" s="114">
        <f>SUM(F24+F32+F37+F43+F50+F62+F72+F81+F95+F105+F161+F166+F175+F180)</f>
        <v>57449366.39</v>
      </c>
      <c r="G13" s="228" t="s">
        <v>355</v>
      </c>
      <c r="H13" s="304">
        <f>ROUND(B13/1000,0)</f>
        <v>706051</v>
      </c>
      <c r="I13" s="114">
        <f>SUM(I24+I32+I37+I43+I50+I62+I72+I81+I95+I105+I161+I166+I175+I180)</f>
        <v>490285</v>
      </c>
      <c r="J13" s="114">
        <f>SUM(J24+J32+J37+J43+J50+J62+J72+J81+J95+J105+J161+J166+J175+J180)</f>
        <v>461920</v>
      </c>
      <c r="K13" s="219">
        <f t="shared" si="1"/>
        <v>65.42303601297922</v>
      </c>
      <c r="L13" s="114">
        <f>SUM(L24+L32+L37+L43+L50+L62+L72+L81+L95+L105+L161+L166+L175+L180)</f>
        <v>57449</v>
      </c>
      <c r="M13" s="290"/>
    </row>
    <row r="14" spans="1:13" ht="12.75">
      <c r="A14" s="228" t="s">
        <v>356</v>
      </c>
      <c r="B14" s="101">
        <f>SUM(B25+B45+B51+B63+B73+B82+B86+B96+B106+B162+B167+B181)</f>
        <v>37395938</v>
      </c>
      <c r="C14" s="101">
        <f>SUM(C25+C45+C51+C63+C73+C82+C86+C96+C106+C162+C167+C181)</f>
        <v>27047390</v>
      </c>
      <c r="D14" s="101">
        <f>SUM(D25+D45+D51+D63+D73+D82+D86+D96+D106+D162+D167+D181)</f>
        <v>17376475</v>
      </c>
      <c r="E14" s="303">
        <f t="shared" si="0"/>
        <v>0.46466209779254636</v>
      </c>
      <c r="F14" s="114">
        <f>SUM(F25+F45+F51+F63+F73+F82+F86+F96+F106+F162+F167+F181)</f>
        <v>1793684</v>
      </c>
      <c r="G14" s="228" t="s">
        <v>356</v>
      </c>
      <c r="H14" s="304">
        <f>ROUND(B14/1000,0)</f>
        <v>37396</v>
      </c>
      <c r="I14" s="114">
        <f>SUM(I25+I45+I51+I63+I73+I82+I86+I96+I106+I162+I167+I181)</f>
        <v>27047</v>
      </c>
      <c r="J14" s="114">
        <f>SUM(J25+J45+J51+J63+J73+J82+J86+J96+J106+J162+J167+J181)</f>
        <v>17376</v>
      </c>
      <c r="K14" s="219">
        <f t="shared" si="1"/>
        <v>46.464862552144616</v>
      </c>
      <c r="L14" s="114">
        <f>SUM(L25+L45+L51+L63+L73+L82+L86+L96+L106+L162+L167+L181)</f>
        <v>1794</v>
      </c>
      <c r="M14" s="290"/>
    </row>
    <row r="15" spans="1:13" ht="12.75">
      <c r="A15" s="26" t="s">
        <v>357</v>
      </c>
      <c r="B15" s="101">
        <f aca="true" t="shared" si="2" ref="B15:D16">SUM(B52)</f>
        <v>6756000</v>
      </c>
      <c r="C15" s="101">
        <f t="shared" si="2"/>
        <v>0</v>
      </c>
      <c r="D15" s="101">
        <f t="shared" si="2"/>
        <v>2864277</v>
      </c>
      <c r="E15" s="301">
        <f t="shared" si="0"/>
        <v>0.42396047957371225</v>
      </c>
      <c r="F15" s="302">
        <f>SUM(F52)</f>
        <v>366727</v>
      </c>
      <c r="G15" s="26" t="s">
        <v>357</v>
      </c>
      <c r="H15" s="241">
        <f aca="true" t="shared" si="3" ref="H15:J16">SUM(H52)</f>
        <v>6756</v>
      </c>
      <c r="I15" s="241">
        <f t="shared" si="3"/>
        <v>0</v>
      </c>
      <c r="J15" s="241">
        <f t="shared" si="3"/>
        <v>2864</v>
      </c>
      <c r="K15" s="219">
        <f t="shared" si="1"/>
        <v>42.391947898164595</v>
      </c>
      <c r="L15" s="241">
        <f>SUM(L52)</f>
        <v>366</v>
      </c>
      <c r="M15" s="305"/>
    </row>
    <row r="16" spans="1:13" ht="12.75">
      <c r="A16" s="26" t="s">
        <v>358</v>
      </c>
      <c r="B16" s="101">
        <f t="shared" si="2"/>
        <v>16380</v>
      </c>
      <c r="C16" s="101">
        <f t="shared" si="2"/>
        <v>0</v>
      </c>
      <c r="D16" s="101">
        <f t="shared" si="2"/>
        <v>30099</v>
      </c>
      <c r="E16" s="301">
        <f t="shared" si="0"/>
        <v>1.8375457875457875</v>
      </c>
      <c r="F16" s="302">
        <f>SUM(F53)</f>
        <v>3209</v>
      </c>
      <c r="G16" s="26" t="s">
        <v>358</v>
      </c>
      <c r="H16" s="241">
        <f t="shared" si="3"/>
        <v>16</v>
      </c>
      <c r="I16" s="241">
        <f t="shared" si="3"/>
        <v>0</v>
      </c>
      <c r="J16" s="241">
        <f t="shared" si="3"/>
        <v>30</v>
      </c>
      <c r="K16" s="219">
        <f t="shared" si="1"/>
        <v>187.5</v>
      </c>
      <c r="L16" s="241">
        <f>SUM(L53)</f>
        <v>3</v>
      </c>
      <c r="M16" s="305"/>
    </row>
    <row r="17" spans="1:13" ht="12.75">
      <c r="A17" s="26" t="s">
        <v>359</v>
      </c>
      <c r="B17" s="101">
        <f>B11-B12-B15+B16</f>
        <v>-50424176</v>
      </c>
      <c r="C17" s="101">
        <f>C11-C12-C15+C16</f>
        <v>-55557716</v>
      </c>
      <c r="D17" s="101">
        <f>D11-D12-D15+D16</f>
        <v>-32459668</v>
      </c>
      <c r="E17" s="301">
        <f t="shared" si="0"/>
        <v>0.643732244628053</v>
      </c>
      <c r="F17" s="302">
        <f>F11-F12-F15+F16</f>
        <v>-1942612.289999999</v>
      </c>
      <c r="G17" s="26" t="s">
        <v>359</v>
      </c>
      <c r="H17" s="6">
        <f>H11-H12-H15+H16</f>
        <v>-50425</v>
      </c>
      <c r="I17" s="6">
        <f>I11-I12-I15+I16</f>
        <v>-55557</v>
      </c>
      <c r="J17" s="6">
        <f>J11-J12-J15+J16</f>
        <v>-32460</v>
      </c>
      <c r="K17" s="219">
        <f t="shared" si="1"/>
        <v>64.3728309370352</v>
      </c>
      <c r="L17" s="6">
        <f>L11-L12-L15+L16</f>
        <v>-1943</v>
      </c>
      <c r="M17" s="305"/>
    </row>
    <row r="18" spans="1:13" ht="12.75">
      <c r="A18" s="228" t="s">
        <v>360</v>
      </c>
      <c r="B18" s="101">
        <f>SUM(B55+B75+B108+B98+B183)</f>
        <v>52217619</v>
      </c>
      <c r="C18" s="101">
        <f>SUM(C55+C75+C98+C108+C183)</f>
        <v>59002151</v>
      </c>
      <c r="D18" s="101">
        <f>SUM(D55+D75+D87+D98+D108+D183)</f>
        <v>41658426</v>
      </c>
      <c r="E18" s="301">
        <f t="shared" si="0"/>
        <v>0.7977848626150496</v>
      </c>
      <c r="F18" s="6">
        <f>SUM(F55+F75+F87+F98+F108+F183-F44)</f>
        <v>2268069</v>
      </c>
      <c r="G18" s="228" t="s">
        <v>361</v>
      </c>
      <c r="H18" s="6">
        <f>SUM(H55+H75+H98+H108+H183)</f>
        <v>52218</v>
      </c>
      <c r="I18" s="241">
        <f>SUM(I55+I75+I98+I108+I183)</f>
        <v>59003</v>
      </c>
      <c r="J18" s="241">
        <f>SUM(J55+J75+J98+J87+J108+J183)</f>
        <v>41659</v>
      </c>
      <c r="K18" s="219">
        <f t="shared" si="1"/>
        <v>79.77900340878624</v>
      </c>
      <c r="L18" s="241">
        <f>SUM(L55+L75+L87+L98+L108+L183-L44)</f>
        <v>2268</v>
      </c>
      <c r="M18" s="305"/>
    </row>
    <row r="19" spans="1:13" ht="12.75">
      <c r="A19" s="26" t="s">
        <v>242</v>
      </c>
      <c r="B19" s="101"/>
      <c r="C19" s="101"/>
      <c r="D19" s="101"/>
      <c r="E19" s="301" t="str">
        <f t="shared" si="0"/>
        <v> </v>
      </c>
      <c r="F19" s="302"/>
      <c r="G19" s="26" t="s">
        <v>242</v>
      </c>
      <c r="H19" s="241"/>
      <c r="I19" s="241"/>
      <c r="J19" s="241"/>
      <c r="K19" s="306"/>
      <c r="L19" s="241"/>
      <c r="M19" s="290"/>
    </row>
    <row r="20" spans="1:13" ht="12.75">
      <c r="A20" s="173" t="s">
        <v>362</v>
      </c>
      <c r="B20" s="229"/>
      <c r="C20" s="229"/>
      <c r="D20" s="229"/>
      <c r="E20" s="303" t="str">
        <f t="shared" si="0"/>
        <v> </v>
      </c>
      <c r="F20" s="307"/>
      <c r="G20" s="170" t="s">
        <v>362</v>
      </c>
      <c r="H20" s="230"/>
      <c r="I20" s="230"/>
      <c r="J20" s="230"/>
      <c r="K20" s="306"/>
      <c r="L20" s="230"/>
      <c r="M20" s="290"/>
    </row>
    <row r="21" spans="1:13" ht="12.75">
      <c r="A21" s="228" t="s">
        <v>363</v>
      </c>
      <c r="B21" s="229">
        <f>B22</f>
        <v>2100500</v>
      </c>
      <c r="C21" s="308">
        <f>SUM(C22)</f>
        <v>1613500</v>
      </c>
      <c r="D21" s="229">
        <f>D22</f>
        <v>1398725</v>
      </c>
      <c r="E21" s="303">
        <f t="shared" si="0"/>
        <v>0.6659009759581053</v>
      </c>
      <c r="F21" s="114">
        <f>F22</f>
        <v>120700</v>
      </c>
      <c r="G21" s="228" t="s">
        <v>363</v>
      </c>
      <c r="H21" s="304">
        <f>H22</f>
        <v>2101</v>
      </c>
      <c r="I21" s="304">
        <f>ROUND(C21/1000,0)</f>
        <v>1614</v>
      </c>
      <c r="J21" s="304">
        <f>J22</f>
        <v>1399</v>
      </c>
      <c r="K21" s="306">
        <f t="shared" si="1"/>
        <v>66.58733936220848</v>
      </c>
      <c r="L21" s="304">
        <f>SUM(L22)</f>
        <v>121</v>
      </c>
      <c r="M21" s="290"/>
    </row>
    <row r="22" spans="1:13" ht="12.75">
      <c r="A22" s="228" t="s">
        <v>364</v>
      </c>
      <c r="B22" s="229">
        <v>2100500</v>
      </c>
      <c r="C22" s="308">
        <v>1613500</v>
      </c>
      <c r="D22" s="229">
        <v>1398725</v>
      </c>
      <c r="E22" s="303">
        <f t="shared" si="0"/>
        <v>0.6659009759581053</v>
      </c>
      <c r="F22" s="307">
        <f>D22-'[6]Jūlijs'!D22</f>
        <v>120700</v>
      </c>
      <c r="G22" s="228" t="s">
        <v>364</v>
      </c>
      <c r="H22" s="304">
        <f>ROUND(B22/1000,0)</f>
        <v>2101</v>
      </c>
      <c r="I22" s="304">
        <f>ROUND(C22/1000,0)</f>
        <v>1614</v>
      </c>
      <c r="J22" s="304">
        <f>ROUND(D22/1000,0)</f>
        <v>1399</v>
      </c>
      <c r="K22" s="306">
        <f t="shared" si="1"/>
        <v>66.58733936220848</v>
      </c>
      <c r="L22" s="304">
        <f>J22-'[6]Jūlijs'!J22</f>
        <v>121</v>
      </c>
      <c r="M22" s="290"/>
    </row>
    <row r="23" spans="1:13" ht="12.75">
      <c r="A23" s="228" t="s">
        <v>365</v>
      </c>
      <c r="B23" s="229">
        <f>B24+B25</f>
        <v>2100500</v>
      </c>
      <c r="C23" s="308">
        <f>SUM(C24:C25)</f>
        <v>1613500</v>
      </c>
      <c r="D23" s="229">
        <f>D24+D25</f>
        <v>1568551</v>
      </c>
      <c r="E23" s="303">
        <f t="shared" si="0"/>
        <v>0.7467512497024518</v>
      </c>
      <c r="F23" s="114">
        <f>F24+F25</f>
        <v>158354</v>
      </c>
      <c r="G23" s="228" t="s">
        <v>365</v>
      </c>
      <c r="H23" s="230">
        <f>H24+H25</f>
        <v>2101</v>
      </c>
      <c r="I23" s="230">
        <f>I24+I25</f>
        <v>1614</v>
      </c>
      <c r="J23" s="230">
        <f>J24+J25</f>
        <v>1569</v>
      </c>
      <c r="K23" s="306">
        <f t="shared" si="1"/>
        <v>74.6787244169443</v>
      </c>
      <c r="L23" s="230">
        <f>L24+L25</f>
        <v>159</v>
      </c>
      <c r="M23" s="290"/>
    </row>
    <row r="24" spans="1:13" ht="12.75">
      <c r="A24" s="228" t="s">
        <v>366</v>
      </c>
      <c r="B24" s="229">
        <v>2014500</v>
      </c>
      <c r="C24" s="308">
        <v>1555500</v>
      </c>
      <c r="D24" s="229">
        <v>1551808</v>
      </c>
      <c r="E24" s="303">
        <f t="shared" si="0"/>
        <v>0.7703191859022089</v>
      </c>
      <c r="F24" s="307">
        <f>D24-'[6]Jūlijs'!D24</f>
        <v>155808</v>
      </c>
      <c r="G24" s="228" t="s">
        <v>366</v>
      </c>
      <c r="H24" s="304">
        <f aca="true" t="shared" si="4" ref="H24:J25">ROUND(B24/1000,0)</f>
        <v>2015</v>
      </c>
      <c r="I24" s="304">
        <f>ROUND(C24/1000,0)</f>
        <v>1556</v>
      </c>
      <c r="J24" s="304">
        <f t="shared" si="4"/>
        <v>1552</v>
      </c>
      <c r="K24" s="306">
        <f t="shared" si="1"/>
        <v>77.02233250620347</v>
      </c>
      <c r="L24" s="304">
        <f>J24-'[6]Jūlijs'!J24</f>
        <v>156</v>
      </c>
      <c r="M24" s="290"/>
    </row>
    <row r="25" spans="1:13" ht="12.75">
      <c r="A25" s="228" t="s">
        <v>356</v>
      </c>
      <c r="B25" s="229">
        <v>86000</v>
      </c>
      <c r="C25" s="308">
        <v>58000</v>
      </c>
      <c r="D25" s="229">
        <v>16743</v>
      </c>
      <c r="E25" s="303">
        <f t="shared" si="0"/>
        <v>0.1946860465116279</v>
      </c>
      <c r="F25" s="307">
        <f>D25-'[6]Jūlijs'!D25</f>
        <v>2546</v>
      </c>
      <c r="G25" s="228" t="s">
        <v>356</v>
      </c>
      <c r="H25" s="304">
        <f t="shared" si="4"/>
        <v>86</v>
      </c>
      <c r="I25" s="304">
        <f t="shared" si="4"/>
        <v>58</v>
      </c>
      <c r="J25" s="304">
        <f t="shared" si="4"/>
        <v>17</v>
      </c>
      <c r="K25" s="306">
        <f t="shared" si="1"/>
        <v>19.767441860465116</v>
      </c>
      <c r="L25" s="304">
        <f>J25-'[6]Jūlijs'!J25</f>
        <v>3</v>
      </c>
      <c r="M25" s="290"/>
    </row>
    <row r="26" spans="1:13" ht="12.75">
      <c r="A26" s="26" t="s">
        <v>243</v>
      </c>
      <c r="B26" s="101"/>
      <c r="C26" s="309"/>
      <c r="D26" s="101"/>
      <c r="E26" s="303" t="str">
        <f t="shared" si="0"/>
        <v> </v>
      </c>
      <c r="F26" s="302"/>
      <c r="G26" s="26" t="s">
        <v>243</v>
      </c>
      <c r="H26" s="241"/>
      <c r="I26" s="241"/>
      <c r="J26" s="241"/>
      <c r="K26" s="306"/>
      <c r="L26" s="241"/>
      <c r="M26" s="290"/>
    </row>
    <row r="27" spans="1:13" ht="36.75" customHeight="1">
      <c r="A27" s="100" t="s">
        <v>367</v>
      </c>
      <c r="B27" s="229"/>
      <c r="C27" s="308"/>
      <c r="D27" s="229"/>
      <c r="E27" s="303" t="str">
        <f t="shared" si="0"/>
        <v> </v>
      </c>
      <c r="F27" s="307"/>
      <c r="G27" s="100" t="s">
        <v>367</v>
      </c>
      <c r="H27" s="230"/>
      <c r="I27" s="230"/>
      <c r="J27" s="230"/>
      <c r="K27" s="306"/>
      <c r="L27" s="230"/>
      <c r="M27" s="290"/>
    </row>
    <row r="28" spans="1:13" ht="12.75">
      <c r="A28" s="228" t="s">
        <v>363</v>
      </c>
      <c r="B28" s="229">
        <f>B29+B30</f>
        <v>2065000</v>
      </c>
      <c r="C28" s="229">
        <v>1373710</v>
      </c>
      <c r="D28" s="229">
        <f>SUM(D29:D30)</f>
        <v>1943341</v>
      </c>
      <c r="E28" s="303">
        <f t="shared" si="0"/>
        <v>0.9410852300242131</v>
      </c>
      <c r="F28" s="307">
        <f>F29+F30</f>
        <v>162309</v>
      </c>
      <c r="G28" s="228" t="s">
        <v>363</v>
      </c>
      <c r="H28" s="230">
        <f>H29+H30</f>
        <v>2065</v>
      </c>
      <c r="I28" s="304">
        <f>ROUND(C28/1000,0)</f>
        <v>1374</v>
      </c>
      <c r="J28" s="230">
        <f>J29+J30</f>
        <v>1943</v>
      </c>
      <c r="K28" s="306">
        <f t="shared" si="1"/>
        <v>94.09200968523002</v>
      </c>
      <c r="L28" s="230">
        <f>SUM(L29:L30)</f>
        <v>162</v>
      </c>
      <c r="M28" s="290"/>
    </row>
    <row r="29" spans="1:13" ht="25.5">
      <c r="A29" s="62" t="s">
        <v>368</v>
      </c>
      <c r="B29" s="229">
        <v>1755000</v>
      </c>
      <c r="C29" s="308"/>
      <c r="D29" s="229">
        <f>1149452+147983+91169+21454+102397</f>
        <v>1512455</v>
      </c>
      <c r="E29" s="303">
        <f t="shared" si="0"/>
        <v>0.8617977207977208</v>
      </c>
      <c r="F29" s="307">
        <f>D29-'[6]Jūlijs'!D29</f>
        <v>142049</v>
      </c>
      <c r="G29" s="62" t="s">
        <v>368</v>
      </c>
      <c r="H29" s="304">
        <f>ROUND(B29/1000,0)</f>
        <v>1755</v>
      </c>
      <c r="I29" s="304">
        <f>ROUND(C29/1000,0)</f>
        <v>0</v>
      </c>
      <c r="J29" s="304">
        <f>ROUND(D29/1000,0)</f>
        <v>1512</v>
      </c>
      <c r="K29" s="306">
        <f t="shared" si="1"/>
        <v>86.15384615384616</v>
      </c>
      <c r="L29" s="304">
        <f>J29-'[6]Jūlijs'!J29</f>
        <v>142</v>
      </c>
      <c r="M29" s="290"/>
    </row>
    <row r="30" spans="1:13" ht="12.75">
      <c r="A30" s="268" t="s">
        <v>369</v>
      </c>
      <c r="B30" s="229">
        <v>310000</v>
      </c>
      <c r="C30" s="308"/>
      <c r="D30" s="229">
        <f>9987+125435+295464</f>
        <v>430886</v>
      </c>
      <c r="E30" s="303"/>
      <c r="F30" s="307">
        <f>D30-'[6]Jūlijs'!D30</f>
        <v>20260</v>
      </c>
      <c r="G30" s="268" t="s">
        <v>369</v>
      </c>
      <c r="H30" s="304">
        <f>ROUND(B30/1000,0)</f>
        <v>310</v>
      </c>
      <c r="I30" s="304">
        <f>ROUND(C30/1000,0)</f>
        <v>0</v>
      </c>
      <c r="J30" s="304">
        <f>ROUND(D30/1000,0)</f>
        <v>431</v>
      </c>
      <c r="K30" s="306">
        <f t="shared" si="1"/>
        <v>139.03225806451613</v>
      </c>
      <c r="L30" s="304">
        <f>J30-'[6]Jūlijs'!J30</f>
        <v>20</v>
      </c>
      <c r="M30" s="290"/>
    </row>
    <row r="31" spans="1:13" ht="12.75">
      <c r="A31" s="228" t="s">
        <v>365</v>
      </c>
      <c r="B31" s="229">
        <f>B32</f>
        <v>1320000</v>
      </c>
      <c r="C31" s="308">
        <f>SUM(C32)</f>
        <v>911230</v>
      </c>
      <c r="D31" s="229">
        <f>D32</f>
        <v>435445</v>
      </c>
      <c r="E31" s="303">
        <f t="shared" si="0"/>
        <v>0.32988257575757574</v>
      </c>
      <c r="F31" s="307">
        <f>F32</f>
        <v>89700</v>
      </c>
      <c r="G31" s="228" t="s">
        <v>365</v>
      </c>
      <c r="H31" s="230">
        <f>H32</f>
        <v>1320</v>
      </c>
      <c r="I31" s="230">
        <f>I32</f>
        <v>911</v>
      </c>
      <c r="J31" s="230">
        <f>J32</f>
        <v>435</v>
      </c>
      <c r="K31" s="306">
        <f t="shared" si="1"/>
        <v>32.95454545454545</v>
      </c>
      <c r="L31" s="230">
        <f>L32</f>
        <v>89</v>
      </c>
      <c r="M31" s="290"/>
    </row>
    <row r="32" spans="1:13" ht="12.75">
      <c r="A32" s="228" t="s">
        <v>366</v>
      </c>
      <c r="B32" s="229">
        <v>1320000</v>
      </c>
      <c r="C32" s="308">
        <v>911230</v>
      </c>
      <c r="D32" s="229">
        <f>319721+101508+14216</f>
        <v>435445</v>
      </c>
      <c r="E32" s="303">
        <f t="shared" si="0"/>
        <v>0.32988257575757574</v>
      </c>
      <c r="F32" s="307">
        <f>D32-'[6]Jūlijs'!D32</f>
        <v>89700</v>
      </c>
      <c r="G32" s="228" t="s">
        <v>366</v>
      </c>
      <c r="H32" s="304">
        <f>ROUND(B32/1000,0)</f>
        <v>1320</v>
      </c>
      <c r="I32" s="304">
        <f>ROUND(C32/1000,0)</f>
        <v>911</v>
      </c>
      <c r="J32" s="304">
        <f>ROUND(D32/1000,0)</f>
        <v>435</v>
      </c>
      <c r="K32" s="306">
        <f t="shared" si="1"/>
        <v>32.95454545454545</v>
      </c>
      <c r="L32" s="304">
        <f>J32-'[6]Jūlijs'!J32</f>
        <v>89</v>
      </c>
      <c r="M32" s="290"/>
    </row>
    <row r="33" spans="1:13" ht="38.25">
      <c r="A33" s="100" t="s">
        <v>370</v>
      </c>
      <c r="B33" s="296"/>
      <c r="C33" s="308"/>
      <c r="D33" s="296"/>
      <c r="E33" s="303" t="str">
        <f>IF(ISERROR(D33/B33)," ",(D33/B33))</f>
        <v> </v>
      </c>
      <c r="F33" s="310"/>
      <c r="G33" s="100" t="s">
        <v>370</v>
      </c>
      <c r="H33" s="248"/>
      <c r="I33" s="248"/>
      <c r="J33" s="248"/>
      <c r="K33" s="306"/>
      <c r="L33" s="248"/>
      <c r="M33" s="290"/>
    </row>
    <row r="34" spans="1:13" ht="12.75">
      <c r="A34" s="228" t="s">
        <v>363</v>
      </c>
      <c r="B34" s="229">
        <f>B35</f>
        <v>750000</v>
      </c>
      <c r="C34" s="308">
        <f>SUM(C35)</f>
        <v>564000</v>
      </c>
      <c r="D34" s="229">
        <f>D35</f>
        <v>812035</v>
      </c>
      <c r="E34" s="303">
        <f>IF(ISERROR(D34/B34)," ",(D34/B34))</f>
        <v>1.0827133333333334</v>
      </c>
      <c r="F34" s="114">
        <f>F35</f>
        <v>22244</v>
      </c>
      <c r="G34" s="228" t="s">
        <v>363</v>
      </c>
      <c r="H34" s="114">
        <f>H35</f>
        <v>750</v>
      </c>
      <c r="I34" s="304">
        <f>ROUND(C34/1000,0)</f>
        <v>564</v>
      </c>
      <c r="J34" s="114">
        <f>J35</f>
        <v>812</v>
      </c>
      <c r="K34" s="306">
        <f t="shared" si="1"/>
        <v>108.26666666666667</v>
      </c>
      <c r="L34" s="114">
        <f>L35</f>
        <v>22</v>
      </c>
      <c r="M34" s="290"/>
    </row>
    <row r="35" spans="1:13" ht="12.75">
      <c r="A35" s="311" t="s">
        <v>371</v>
      </c>
      <c r="B35" s="312">
        <v>750000</v>
      </c>
      <c r="C35" s="313">
        <v>564000</v>
      </c>
      <c r="D35" s="312">
        <v>812035</v>
      </c>
      <c r="E35" s="303">
        <f>IF(ISERROR(D35/B35)," ",(D35/B35))</f>
        <v>1.0827133333333334</v>
      </c>
      <c r="F35" s="307">
        <f>D35-'[6]Jūlijs'!D35</f>
        <v>22244</v>
      </c>
      <c r="G35" s="311" t="s">
        <v>372</v>
      </c>
      <c r="H35" s="304">
        <f>ROUND(B35/1000,0)</f>
        <v>750</v>
      </c>
      <c r="I35" s="304">
        <f>ROUND(C35/1000,0)</f>
        <v>564</v>
      </c>
      <c r="J35" s="304">
        <f>ROUND(D35/1000,0)</f>
        <v>812</v>
      </c>
      <c r="K35" s="306">
        <f t="shared" si="1"/>
        <v>108.26666666666667</v>
      </c>
      <c r="L35" s="304">
        <f>J35-'[6]Jūlijs'!J35</f>
        <v>22</v>
      </c>
      <c r="M35" s="290"/>
    </row>
    <row r="36" spans="1:13" ht="12.75">
      <c r="A36" s="228" t="s">
        <v>365</v>
      </c>
      <c r="B36" s="229">
        <f>B37</f>
        <v>53300</v>
      </c>
      <c r="C36" s="308">
        <f>SUM(C37)</f>
        <v>40000</v>
      </c>
      <c r="D36" s="229">
        <f>D37</f>
        <v>25871</v>
      </c>
      <c r="E36" s="303">
        <f>IF(ISERROR(D36/B36)," ",(D36/B36))</f>
        <v>0.48538461538461536</v>
      </c>
      <c r="F36" s="307">
        <f>F37</f>
        <v>3963</v>
      </c>
      <c r="G36" s="228" t="s">
        <v>365</v>
      </c>
      <c r="H36" s="230">
        <f>H37</f>
        <v>53</v>
      </c>
      <c r="I36" s="230">
        <f>I37</f>
        <v>40</v>
      </c>
      <c r="J36" s="230">
        <f>J37</f>
        <v>26</v>
      </c>
      <c r="K36" s="306">
        <f t="shared" si="1"/>
        <v>49.056603773584904</v>
      </c>
      <c r="L36" s="230">
        <f>L37</f>
        <v>4</v>
      </c>
      <c r="M36" s="290"/>
    </row>
    <row r="37" spans="1:13" ht="12.75">
      <c r="A37" s="228" t="s">
        <v>366</v>
      </c>
      <c r="B37" s="314">
        <v>53300</v>
      </c>
      <c r="C37" s="308">
        <v>40000</v>
      </c>
      <c r="D37" s="229">
        <v>25871</v>
      </c>
      <c r="E37" s="303">
        <f>IF(ISERROR(D37/B37)," ",(D37/B37))</f>
        <v>0.48538461538461536</v>
      </c>
      <c r="F37" s="307">
        <f>D37-'[6]Jūlijs'!D37</f>
        <v>3963</v>
      </c>
      <c r="G37" s="228" t="s">
        <v>373</v>
      </c>
      <c r="H37" s="304">
        <f>ROUND(B37/1000,0)</f>
        <v>53</v>
      </c>
      <c r="I37" s="304">
        <f>ROUND(C37/1000,0)</f>
        <v>40</v>
      </c>
      <c r="J37" s="304">
        <f>ROUND(D37/1000,0)</f>
        <v>26</v>
      </c>
      <c r="K37" s="306">
        <f t="shared" si="1"/>
        <v>49.056603773584904</v>
      </c>
      <c r="L37" s="304">
        <f>J37-'[6]Jūlijs'!J37</f>
        <v>4</v>
      </c>
      <c r="M37" s="290"/>
    </row>
    <row r="38" spans="1:13" ht="12.75">
      <c r="A38" s="26" t="s">
        <v>245</v>
      </c>
      <c r="B38" s="101"/>
      <c r="C38" s="309"/>
      <c r="D38" s="229"/>
      <c r="E38" s="303" t="str">
        <f t="shared" si="0"/>
        <v> </v>
      </c>
      <c r="F38" s="302"/>
      <c r="G38" s="26" t="s">
        <v>245</v>
      </c>
      <c r="H38" s="241"/>
      <c r="I38" s="241"/>
      <c r="J38" s="241"/>
      <c r="K38" s="306"/>
      <c r="L38" s="241"/>
      <c r="M38" s="290"/>
    </row>
    <row r="39" spans="1:13" ht="12.75">
      <c r="A39" s="173" t="s">
        <v>374</v>
      </c>
      <c r="B39" s="229"/>
      <c r="C39" s="308"/>
      <c r="D39" s="229"/>
      <c r="E39" s="303" t="str">
        <f t="shared" si="0"/>
        <v> </v>
      </c>
      <c r="F39" s="307"/>
      <c r="G39" s="173" t="s">
        <v>374</v>
      </c>
      <c r="H39" s="230"/>
      <c r="I39" s="230"/>
      <c r="J39" s="230"/>
      <c r="K39" s="306"/>
      <c r="L39" s="230"/>
      <c r="M39" s="290"/>
    </row>
    <row r="40" spans="1:13" ht="12.75">
      <c r="A40" s="228" t="s">
        <v>363</v>
      </c>
      <c r="B40" s="229">
        <f>B41</f>
        <v>1550000</v>
      </c>
      <c r="C40" s="308">
        <f>SUM(C41)</f>
        <v>1369310</v>
      </c>
      <c r="D40" s="229">
        <f>D41</f>
        <v>1369310</v>
      </c>
      <c r="E40" s="303">
        <f t="shared" si="0"/>
        <v>0.883425806451613</v>
      </c>
      <c r="F40" s="307">
        <f>F41</f>
        <v>144470</v>
      </c>
      <c r="G40" s="228" t="s">
        <v>363</v>
      </c>
      <c r="H40" s="230">
        <f>H41</f>
        <v>1550</v>
      </c>
      <c r="I40" s="304">
        <f>ROUND(C40/1000,0)</f>
        <v>1369</v>
      </c>
      <c r="J40" s="230">
        <f>J41</f>
        <v>1369</v>
      </c>
      <c r="K40" s="306">
        <f t="shared" si="1"/>
        <v>88.32258064516128</v>
      </c>
      <c r="L40" s="230">
        <f>L41</f>
        <v>144</v>
      </c>
      <c r="M40" s="290"/>
    </row>
    <row r="41" spans="1:13" ht="12.75">
      <c r="A41" s="62" t="s">
        <v>375</v>
      </c>
      <c r="B41" s="229">
        <v>1550000</v>
      </c>
      <c r="C41" s="308">
        <v>1369310</v>
      </c>
      <c r="D41" s="229">
        <v>1369310</v>
      </c>
      <c r="E41" s="303">
        <f t="shared" si="0"/>
        <v>0.883425806451613</v>
      </c>
      <c r="F41" s="307">
        <f>D41-'[6]Jūlijs'!D41</f>
        <v>144470</v>
      </c>
      <c r="G41" s="62" t="s">
        <v>375</v>
      </c>
      <c r="H41" s="304">
        <f>ROUND(B41/1000,0)</f>
        <v>1550</v>
      </c>
      <c r="I41" s="304">
        <f>ROUND(C41/1000,0)</f>
        <v>1369</v>
      </c>
      <c r="J41" s="304">
        <f>ROUND(D41/1000,0)</f>
        <v>1369</v>
      </c>
      <c r="K41" s="306">
        <f t="shared" si="1"/>
        <v>88.32258064516128</v>
      </c>
      <c r="L41" s="304">
        <f>J41-'[6]Jūlijs'!J41</f>
        <v>144</v>
      </c>
      <c r="M41" s="290"/>
    </row>
    <row r="42" spans="1:13" ht="12.75">
      <c r="A42" s="228" t="s">
        <v>365</v>
      </c>
      <c r="B42" s="229">
        <f>B43+B45</f>
        <v>1550000</v>
      </c>
      <c r="C42" s="308">
        <f>SUM(C43:C45)</f>
        <v>1369310</v>
      </c>
      <c r="D42" s="229">
        <f>D43+D45</f>
        <v>1355050</v>
      </c>
      <c r="E42" s="303">
        <f t="shared" si="0"/>
        <v>0.8742258064516129</v>
      </c>
      <c r="F42" s="307">
        <f>F43+F45</f>
        <v>142938</v>
      </c>
      <c r="G42" s="228" t="s">
        <v>365</v>
      </c>
      <c r="H42" s="230">
        <f>H43+H45</f>
        <v>1550</v>
      </c>
      <c r="I42" s="230">
        <f>I43+I45</f>
        <v>1369</v>
      </c>
      <c r="J42" s="230">
        <f>J43+J45</f>
        <v>1355</v>
      </c>
      <c r="K42" s="306">
        <f t="shared" si="1"/>
        <v>87.41935483870968</v>
      </c>
      <c r="L42" s="230">
        <f>L43+L45</f>
        <v>143</v>
      </c>
      <c r="M42" s="290"/>
    </row>
    <row r="43" spans="1:13" ht="12.75">
      <c r="A43" s="228" t="s">
        <v>366</v>
      </c>
      <c r="B43" s="229">
        <v>1292000</v>
      </c>
      <c r="C43" s="308">
        <v>1111310</v>
      </c>
      <c r="D43" s="229">
        <v>1097050</v>
      </c>
      <c r="E43" s="303">
        <f t="shared" si="0"/>
        <v>0.8491099071207431</v>
      </c>
      <c r="F43" s="307">
        <f>D43-'[6]Jūlijs'!D43</f>
        <v>142938</v>
      </c>
      <c r="G43" s="228" t="s">
        <v>376</v>
      </c>
      <c r="H43" s="304">
        <f>ROUND(B43/1000,0)</f>
        <v>1292</v>
      </c>
      <c r="I43" s="304">
        <f>ROUND(C43/1000,0)</f>
        <v>1111</v>
      </c>
      <c r="J43" s="304">
        <f>ROUND(D43/1000,0)</f>
        <v>1097</v>
      </c>
      <c r="K43" s="306">
        <f t="shared" si="1"/>
        <v>84.90712074303406</v>
      </c>
      <c r="L43" s="304">
        <f>J43-'[6]Jūlijs'!J43</f>
        <v>143</v>
      </c>
      <c r="M43" s="290"/>
    </row>
    <row r="44" spans="1:13" ht="12.75">
      <c r="A44" s="228" t="s">
        <v>377</v>
      </c>
      <c r="B44" s="229">
        <v>300000</v>
      </c>
      <c r="C44" s="308"/>
      <c r="D44" s="229">
        <v>300000</v>
      </c>
      <c r="E44" s="303">
        <f t="shared" si="0"/>
        <v>1</v>
      </c>
      <c r="F44" s="307">
        <f>D44-'[6]Jūlijs'!D44</f>
        <v>0</v>
      </c>
      <c r="G44" s="228" t="s">
        <v>378</v>
      </c>
      <c r="H44" s="304">
        <f>ROUND(B44/1000,0)</f>
        <v>300</v>
      </c>
      <c r="I44" s="304"/>
      <c r="J44" s="304">
        <f>ROUND(D44/1000,0)</f>
        <v>300</v>
      </c>
      <c r="K44" s="306">
        <f t="shared" si="1"/>
        <v>100</v>
      </c>
      <c r="L44" s="304">
        <f>J44-'[6]Jūlijs'!J44</f>
        <v>0</v>
      </c>
      <c r="M44" s="290"/>
    </row>
    <row r="45" spans="1:13" ht="12.75">
      <c r="A45" s="228" t="s">
        <v>356</v>
      </c>
      <c r="B45" s="229">
        <v>258000</v>
      </c>
      <c r="C45" s="308">
        <v>258000</v>
      </c>
      <c r="D45" s="229">
        <v>258000</v>
      </c>
      <c r="E45" s="303">
        <f t="shared" si="0"/>
        <v>1</v>
      </c>
      <c r="F45" s="307">
        <f>D45-'[6]Jūlijs'!D45</f>
        <v>0</v>
      </c>
      <c r="G45" s="228" t="s">
        <v>379</v>
      </c>
      <c r="H45" s="304">
        <f>ROUND(B45/1000,0)</f>
        <v>258</v>
      </c>
      <c r="I45" s="304">
        <f>ROUND(C45/1000,0)</f>
        <v>258</v>
      </c>
      <c r="J45" s="304">
        <f>ROUND(D45/1000,0)</f>
        <v>258</v>
      </c>
      <c r="K45" s="306">
        <f t="shared" si="1"/>
        <v>100</v>
      </c>
      <c r="L45" s="304">
        <f>J45-'[6]Jūlijs'!J45</f>
        <v>0</v>
      </c>
      <c r="M45" s="290"/>
    </row>
    <row r="46" spans="1:13" ht="12.75">
      <c r="A46" s="100" t="s">
        <v>380</v>
      </c>
      <c r="B46" s="229"/>
      <c r="C46" s="308"/>
      <c r="D46" s="229"/>
      <c r="E46" s="303" t="str">
        <f t="shared" si="0"/>
        <v> </v>
      </c>
      <c r="F46" s="307"/>
      <c r="G46" s="100" t="s">
        <v>380</v>
      </c>
      <c r="H46" s="230"/>
      <c r="I46" s="230"/>
      <c r="J46" s="230"/>
      <c r="K46" s="306"/>
      <c r="L46" s="230"/>
      <c r="M46" s="290"/>
    </row>
    <row r="47" spans="1:13" ht="12.75">
      <c r="A47" s="228" t="s">
        <v>363</v>
      </c>
      <c r="B47" s="229">
        <f>B48</f>
        <v>1181629</v>
      </c>
      <c r="C47" s="308">
        <f>C48</f>
        <v>710266</v>
      </c>
      <c r="D47" s="229">
        <f>D48</f>
        <v>710266</v>
      </c>
      <c r="E47" s="303">
        <f t="shared" si="0"/>
        <v>0.601090528414587</v>
      </c>
      <c r="F47" s="307">
        <f>F48</f>
        <v>4073</v>
      </c>
      <c r="G47" s="228" t="s">
        <v>363</v>
      </c>
      <c r="H47" s="230">
        <f>H48</f>
        <v>1182</v>
      </c>
      <c r="I47" s="304">
        <f>ROUND(C47/1000,0)</f>
        <v>710</v>
      </c>
      <c r="J47" s="230">
        <f>J48</f>
        <v>710</v>
      </c>
      <c r="K47" s="306">
        <f t="shared" si="1"/>
        <v>60.06768189509306</v>
      </c>
      <c r="L47" s="230">
        <f>L48</f>
        <v>4</v>
      </c>
      <c r="M47" s="290"/>
    </row>
    <row r="48" spans="1:13" ht="12.75">
      <c r="A48" s="62" t="s">
        <v>375</v>
      </c>
      <c r="B48" s="229">
        <v>1181629</v>
      </c>
      <c r="C48" s="308">
        <v>710266</v>
      </c>
      <c r="D48" s="229">
        <v>710266</v>
      </c>
      <c r="E48" s="303">
        <f t="shared" si="0"/>
        <v>0.601090528414587</v>
      </c>
      <c r="F48" s="307">
        <f>D48-'[6]Jūlijs'!D48</f>
        <v>4073</v>
      </c>
      <c r="G48" s="62" t="s">
        <v>375</v>
      </c>
      <c r="H48" s="304">
        <f>ROUND(B48/1000,0)</f>
        <v>1182</v>
      </c>
      <c r="I48" s="304">
        <f>ROUND(C48/1000,0)</f>
        <v>710</v>
      </c>
      <c r="J48" s="304">
        <f>ROUND(D48/1000,0)</f>
        <v>710</v>
      </c>
      <c r="K48" s="306">
        <f t="shared" si="1"/>
        <v>60.06768189509306</v>
      </c>
      <c r="L48" s="304">
        <f>J48-'[6]Jūlijs'!J48</f>
        <v>4</v>
      </c>
      <c r="M48" s="290"/>
    </row>
    <row r="49" spans="1:13" ht="12.75">
      <c r="A49" s="228" t="s">
        <v>365</v>
      </c>
      <c r="B49" s="229">
        <f>B50+B51</f>
        <v>1198009</v>
      </c>
      <c r="C49" s="308">
        <f>SUM(C50:C51)</f>
        <v>718122</v>
      </c>
      <c r="D49" s="229">
        <f>D50+D51</f>
        <v>405416</v>
      </c>
      <c r="E49" s="303">
        <f t="shared" si="0"/>
        <v>0.3384081421758935</v>
      </c>
      <c r="F49" s="307">
        <f>F50+F51</f>
        <v>5845</v>
      </c>
      <c r="G49" s="228" t="s">
        <v>365</v>
      </c>
      <c r="H49" s="230">
        <f>H50+H51</f>
        <v>1198</v>
      </c>
      <c r="I49" s="230">
        <f>I50+I51</f>
        <v>718</v>
      </c>
      <c r="J49" s="230">
        <f>J50+J51</f>
        <v>405</v>
      </c>
      <c r="K49" s="306">
        <f t="shared" si="1"/>
        <v>33.80634390651085</v>
      </c>
      <c r="L49" s="230">
        <f>L50+L51</f>
        <v>6</v>
      </c>
      <c r="M49" s="290"/>
    </row>
    <row r="50" spans="1:13" ht="12.75">
      <c r="A50" s="228" t="s">
        <v>366</v>
      </c>
      <c r="B50" s="229">
        <v>1193809</v>
      </c>
      <c r="C50" s="308">
        <v>714222</v>
      </c>
      <c r="D50" s="229">
        <v>405003</v>
      </c>
      <c r="E50" s="303">
        <f t="shared" si="0"/>
        <v>0.33925276153890616</v>
      </c>
      <c r="F50" s="307">
        <f>D50-'[6]Jūlijs'!D50</f>
        <v>5845</v>
      </c>
      <c r="G50" s="228" t="s">
        <v>376</v>
      </c>
      <c r="H50" s="304">
        <f aca="true" t="shared" si="5" ref="H50:J55">ROUND(B50/1000,0)</f>
        <v>1194</v>
      </c>
      <c r="I50" s="304">
        <f t="shared" si="5"/>
        <v>714</v>
      </c>
      <c r="J50" s="304">
        <f t="shared" si="5"/>
        <v>405</v>
      </c>
      <c r="K50" s="306">
        <f t="shared" si="1"/>
        <v>33.91959798994975</v>
      </c>
      <c r="L50" s="304">
        <f>J50-'[6]Jūlijs'!J50</f>
        <v>6</v>
      </c>
      <c r="M50" s="290"/>
    </row>
    <row r="51" spans="1:13" ht="12.75">
      <c r="A51" s="228" t="s">
        <v>356</v>
      </c>
      <c r="B51" s="229">
        <v>4200</v>
      </c>
      <c r="C51" s="308">
        <v>3900</v>
      </c>
      <c r="D51" s="229">
        <v>413</v>
      </c>
      <c r="E51" s="303">
        <f t="shared" si="0"/>
        <v>0.09833333333333333</v>
      </c>
      <c r="F51" s="307">
        <f>D51-'[6]Jūlijs'!D51</f>
        <v>0</v>
      </c>
      <c r="G51" s="228" t="s">
        <v>379</v>
      </c>
      <c r="H51" s="304">
        <f t="shared" si="5"/>
        <v>4</v>
      </c>
      <c r="I51" s="304">
        <f t="shared" si="5"/>
        <v>4</v>
      </c>
      <c r="J51" s="304">
        <f t="shared" si="5"/>
        <v>0</v>
      </c>
      <c r="K51" s="306">
        <f t="shared" si="1"/>
        <v>0</v>
      </c>
      <c r="L51" s="304">
        <f>J51-'[6]Jūlijs'!J51</f>
        <v>0</v>
      </c>
      <c r="M51" s="290"/>
    </row>
    <row r="52" spans="1:13" ht="12.75">
      <c r="A52" s="228" t="s">
        <v>357</v>
      </c>
      <c r="B52" s="229">
        <v>6756000</v>
      </c>
      <c r="C52" s="308"/>
      <c r="D52" s="229">
        <v>2864277</v>
      </c>
      <c r="E52" s="303">
        <f t="shared" si="0"/>
        <v>0.42396047957371225</v>
      </c>
      <c r="F52" s="307">
        <f>D52-'[6]Jūlijs'!D52</f>
        <v>366727</v>
      </c>
      <c r="G52" s="228" t="s">
        <v>357</v>
      </c>
      <c r="H52" s="304">
        <f t="shared" si="5"/>
        <v>6756</v>
      </c>
      <c r="I52" s="304">
        <f t="shared" si="5"/>
        <v>0</v>
      </c>
      <c r="J52" s="304">
        <f t="shared" si="5"/>
        <v>2864</v>
      </c>
      <c r="K52" s="306">
        <f t="shared" si="1"/>
        <v>42.391947898164595</v>
      </c>
      <c r="L52" s="304">
        <f>J52-'[6]Jūlijs'!J52</f>
        <v>366</v>
      </c>
      <c r="M52" s="290"/>
    </row>
    <row r="53" spans="1:13" ht="12.75">
      <c r="A53" s="228" t="s">
        <v>358</v>
      </c>
      <c r="B53" s="229">
        <v>16380</v>
      </c>
      <c r="C53" s="308"/>
      <c r="D53" s="229">
        <v>30099</v>
      </c>
      <c r="E53" s="303">
        <f t="shared" si="0"/>
        <v>1.8375457875457875</v>
      </c>
      <c r="F53" s="307">
        <f>D53-'[6]Jūlijs'!D53</f>
        <v>3209</v>
      </c>
      <c r="G53" s="228" t="s">
        <v>358</v>
      </c>
      <c r="H53" s="304">
        <f t="shared" si="5"/>
        <v>16</v>
      </c>
      <c r="I53" s="304">
        <f t="shared" si="5"/>
        <v>0</v>
      </c>
      <c r="J53" s="304">
        <f t="shared" si="5"/>
        <v>30</v>
      </c>
      <c r="K53" s="306">
        <f t="shared" si="1"/>
        <v>187.5</v>
      </c>
      <c r="L53" s="304">
        <f>J53-'[6]Jūlijs'!J53</f>
        <v>3</v>
      </c>
      <c r="M53" s="290"/>
    </row>
    <row r="54" spans="1:13" ht="12.75">
      <c r="A54" s="228" t="s">
        <v>359</v>
      </c>
      <c r="B54" s="229">
        <f>B47-B49-B52+B53</f>
        <v>-6756000</v>
      </c>
      <c r="C54" s="308">
        <f>C47-C49-C52+C53</f>
        <v>-7856</v>
      </c>
      <c r="D54" s="229">
        <f>D47-D49-D52+D53</f>
        <v>-2529328</v>
      </c>
      <c r="E54" s="303">
        <f t="shared" si="0"/>
        <v>0.3743824748371818</v>
      </c>
      <c r="F54" s="307">
        <f>D54-'[6]Jūlijs'!D54</f>
        <v>-365290</v>
      </c>
      <c r="G54" s="228" t="s">
        <v>359</v>
      </c>
      <c r="H54" s="304">
        <f t="shared" si="5"/>
        <v>-6756</v>
      </c>
      <c r="I54" s="304">
        <f t="shared" si="5"/>
        <v>-8</v>
      </c>
      <c r="J54" s="304">
        <f t="shared" si="5"/>
        <v>-2529</v>
      </c>
      <c r="K54" s="306">
        <f t="shared" si="1"/>
        <v>37.43339253996448</v>
      </c>
      <c r="L54" s="304">
        <f>J54-'[6]Jūlijs'!J54</f>
        <v>-365</v>
      </c>
      <c r="M54" s="290"/>
    </row>
    <row r="55" spans="1:13" ht="12.75">
      <c r="A55" s="228" t="s">
        <v>360</v>
      </c>
      <c r="B55" s="229">
        <v>6756000</v>
      </c>
      <c r="C55" s="308">
        <f>403100+1028100+428100+478100+478100+528100+300000+300000</f>
        <v>3943600</v>
      </c>
      <c r="D55" s="229">
        <v>2864748</v>
      </c>
      <c r="E55" s="303">
        <f t="shared" si="0"/>
        <v>0.42403019538188275</v>
      </c>
      <c r="F55" s="307">
        <f>D55-'[6]Jūlijs'!D55</f>
        <v>373197</v>
      </c>
      <c r="G55" s="228" t="s">
        <v>360</v>
      </c>
      <c r="H55" s="304">
        <f t="shared" si="5"/>
        <v>6756</v>
      </c>
      <c r="I55" s="304">
        <f t="shared" si="5"/>
        <v>3944</v>
      </c>
      <c r="J55" s="304">
        <f>ROUND(D55/1000,0)</f>
        <v>2865</v>
      </c>
      <c r="K55" s="306">
        <f t="shared" si="1"/>
        <v>42.40674955595027</v>
      </c>
      <c r="L55" s="304">
        <f>J55-'[6]Jūlijs'!J55</f>
        <v>373</v>
      </c>
      <c r="M55" s="290"/>
    </row>
    <row r="56" spans="1:13" ht="12.75">
      <c r="A56" s="70" t="s">
        <v>246</v>
      </c>
      <c r="B56" s="101"/>
      <c r="C56" s="309"/>
      <c r="D56" s="101"/>
      <c r="E56" s="303" t="str">
        <f t="shared" si="0"/>
        <v> </v>
      </c>
      <c r="F56" s="302"/>
      <c r="G56" s="70" t="s">
        <v>246</v>
      </c>
      <c r="H56" s="241"/>
      <c r="I56" s="241"/>
      <c r="J56" s="241"/>
      <c r="K56" s="306"/>
      <c r="L56" s="241"/>
      <c r="M56" s="290"/>
    </row>
    <row r="57" spans="1:13" ht="12.75">
      <c r="A57" s="173" t="s">
        <v>381</v>
      </c>
      <c r="B57" s="229"/>
      <c r="C57" s="308"/>
      <c r="D57" s="229"/>
      <c r="E57" s="303" t="str">
        <f t="shared" si="0"/>
        <v> </v>
      </c>
      <c r="F57" s="307"/>
      <c r="G57" s="173" t="s">
        <v>381</v>
      </c>
      <c r="H57" s="230"/>
      <c r="I57" s="230"/>
      <c r="J57" s="230"/>
      <c r="K57" s="306"/>
      <c r="L57" s="230"/>
      <c r="M57" s="290"/>
    </row>
    <row r="58" spans="1:13" ht="12.75">
      <c r="A58" s="228" t="s">
        <v>363</v>
      </c>
      <c r="B58" s="308">
        <f>B59+B60</f>
        <v>500000</v>
      </c>
      <c r="C58" s="308">
        <v>396000</v>
      </c>
      <c r="D58" s="229">
        <f>SUM(D59:D60)</f>
        <v>509470</v>
      </c>
      <c r="E58" s="303">
        <f t="shared" si="0"/>
        <v>1.01894</v>
      </c>
      <c r="F58" s="307">
        <f>F59+F60</f>
        <v>45630</v>
      </c>
      <c r="G58" s="228" t="s">
        <v>363</v>
      </c>
      <c r="H58" s="230">
        <f>H59+H60</f>
        <v>500</v>
      </c>
      <c r="I58" s="304">
        <f>ROUND(C58/1000,0)</f>
        <v>396</v>
      </c>
      <c r="J58" s="230">
        <f>J59+J60</f>
        <v>509</v>
      </c>
      <c r="K58" s="306">
        <f t="shared" si="1"/>
        <v>101.8</v>
      </c>
      <c r="L58" s="230">
        <f>L59+L60</f>
        <v>46</v>
      </c>
      <c r="M58" s="290"/>
    </row>
    <row r="59" spans="1:13" ht="25.5">
      <c r="A59" s="62" t="s">
        <v>382</v>
      </c>
      <c r="B59" s="229">
        <v>300000</v>
      </c>
      <c r="D59" s="229">
        <v>316325</v>
      </c>
      <c r="E59" s="303">
        <f t="shared" si="0"/>
        <v>1.0544166666666666</v>
      </c>
      <c r="F59" s="307">
        <f>D59-'[6]Jūlijs'!D59</f>
        <v>40927</v>
      </c>
      <c r="G59" s="62" t="s">
        <v>382</v>
      </c>
      <c r="H59" s="304">
        <f>ROUND(B59/1000,0)</f>
        <v>300</v>
      </c>
      <c r="I59" s="304">
        <f>ROUND(C58/1000,0)</f>
        <v>396</v>
      </c>
      <c r="J59" s="304">
        <f>ROUND(D59/1000,0)</f>
        <v>316</v>
      </c>
      <c r="K59" s="306">
        <f t="shared" si="1"/>
        <v>105.33333333333333</v>
      </c>
      <c r="L59" s="304">
        <f>J59-'[6]Jūlijs'!J59</f>
        <v>41</v>
      </c>
      <c r="M59" s="290"/>
    </row>
    <row r="60" spans="1:13" ht="12.75">
      <c r="A60" s="228" t="s">
        <v>383</v>
      </c>
      <c r="B60" s="229">
        <v>200000</v>
      </c>
      <c r="C60" s="308"/>
      <c r="D60" s="229">
        <f>28777+164368</f>
        <v>193145</v>
      </c>
      <c r="E60" s="303">
        <f t="shared" si="0"/>
        <v>0.965725</v>
      </c>
      <c r="F60" s="307">
        <f>D60-'[6]Jūlijs'!D60</f>
        <v>4703</v>
      </c>
      <c r="G60" s="62" t="s">
        <v>369</v>
      </c>
      <c r="H60" s="304">
        <f>ROUND(B60/1000,0)</f>
        <v>200</v>
      </c>
      <c r="I60" s="304">
        <f>ROUND(C60/1000,0)</f>
        <v>0</v>
      </c>
      <c r="J60" s="304">
        <f>ROUND(D60/1000,0)</f>
        <v>193</v>
      </c>
      <c r="K60" s="306">
        <f t="shared" si="1"/>
        <v>96.5</v>
      </c>
      <c r="L60" s="304">
        <f>J60-'[6]Jūlijs'!J60</f>
        <v>5</v>
      </c>
      <c r="M60" s="290"/>
    </row>
    <row r="61" spans="1:13" ht="12.75">
      <c r="A61" s="228" t="s">
        <v>365</v>
      </c>
      <c r="B61" s="229">
        <f>B62+B63</f>
        <v>500000</v>
      </c>
      <c r="C61" s="308">
        <f>SUM(C62:C63)</f>
        <v>396000</v>
      </c>
      <c r="D61" s="229">
        <f>D62+D63</f>
        <v>324342</v>
      </c>
      <c r="E61" s="303">
        <f t="shared" si="0"/>
        <v>0.648684</v>
      </c>
      <c r="F61" s="307">
        <f>F62+F63</f>
        <v>35495</v>
      </c>
      <c r="G61" s="228" t="s">
        <v>365</v>
      </c>
      <c r="H61" s="230">
        <f>H62+H63</f>
        <v>500</v>
      </c>
      <c r="I61" s="230">
        <f>I62+I63</f>
        <v>396</v>
      </c>
      <c r="J61" s="230">
        <f>J62+J63</f>
        <v>324</v>
      </c>
      <c r="K61" s="306">
        <f t="shared" si="1"/>
        <v>64.8</v>
      </c>
      <c r="L61" s="230">
        <f>L62+L63</f>
        <v>35</v>
      </c>
      <c r="M61" s="290"/>
    </row>
    <row r="62" spans="1:13" ht="12.75">
      <c r="A62" s="228" t="s">
        <v>366</v>
      </c>
      <c r="B62" s="229">
        <v>406000</v>
      </c>
      <c r="C62" s="308">
        <v>312000</v>
      </c>
      <c r="D62" s="229">
        <v>294954</v>
      </c>
      <c r="E62" s="303">
        <f t="shared" si="0"/>
        <v>0.726487684729064</v>
      </c>
      <c r="F62" s="307">
        <f>D62-'[6]Jūlijs'!D62</f>
        <v>24938</v>
      </c>
      <c r="G62" s="228" t="s">
        <v>366</v>
      </c>
      <c r="H62" s="304">
        <f aca="true" t="shared" si="6" ref="H62:J63">ROUND(B62/1000,0)</f>
        <v>406</v>
      </c>
      <c r="I62" s="304">
        <f t="shared" si="6"/>
        <v>312</v>
      </c>
      <c r="J62" s="304">
        <f t="shared" si="6"/>
        <v>295</v>
      </c>
      <c r="K62" s="306">
        <f t="shared" si="1"/>
        <v>72.66009852216749</v>
      </c>
      <c r="L62" s="304">
        <f>J62-'[6]Jūlijs'!J62</f>
        <v>25</v>
      </c>
      <c r="M62" s="290"/>
    </row>
    <row r="63" spans="1:13" ht="12.75">
      <c r="A63" s="228" t="s">
        <v>356</v>
      </c>
      <c r="B63" s="229">
        <v>94000</v>
      </c>
      <c r="C63" s="308">
        <v>84000</v>
      </c>
      <c r="D63" s="229">
        <v>29388</v>
      </c>
      <c r="E63" s="303">
        <f t="shared" si="0"/>
        <v>0.31263829787234043</v>
      </c>
      <c r="F63" s="307">
        <f>D63-'[6]Jūlijs'!D63</f>
        <v>10557</v>
      </c>
      <c r="G63" s="228" t="s">
        <v>356</v>
      </c>
      <c r="H63" s="304">
        <f t="shared" si="6"/>
        <v>94</v>
      </c>
      <c r="I63" s="304">
        <f t="shared" si="6"/>
        <v>84</v>
      </c>
      <c r="J63" s="304">
        <f t="shared" si="6"/>
        <v>29</v>
      </c>
      <c r="K63" s="306">
        <f t="shared" si="1"/>
        <v>30.851063829787233</v>
      </c>
      <c r="L63" s="304">
        <f>J63-'[6]Jūlijs'!J63</f>
        <v>10</v>
      </c>
      <c r="M63" s="290"/>
    </row>
    <row r="64" spans="1:13" ht="12.75">
      <c r="A64" s="26" t="s">
        <v>247</v>
      </c>
      <c r="B64" s="101"/>
      <c r="C64" s="309"/>
      <c r="D64" s="101"/>
      <c r="E64" s="303" t="str">
        <f t="shared" si="0"/>
        <v> </v>
      </c>
      <c r="F64" s="302"/>
      <c r="G64" s="26" t="s">
        <v>247</v>
      </c>
      <c r="H64" s="304"/>
      <c r="I64" s="304"/>
      <c r="J64" s="304"/>
      <c r="K64" s="306"/>
      <c r="L64" s="304"/>
      <c r="M64" s="290"/>
    </row>
    <row r="65" spans="1:13" ht="12.75">
      <c r="A65" s="173" t="s">
        <v>384</v>
      </c>
      <c r="B65" s="229"/>
      <c r="C65" s="308"/>
      <c r="D65" s="229"/>
      <c r="E65" s="303" t="str">
        <f t="shared" si="0"/>
        <v> </v>
      </c>
      <c r="F65" s="307"/>
      <c r="G65" s="173" t="s">
        <v>384</v>
      </c>
      <c r="H65" s="230"/>
      <c r="I65" s="230"/>
      <c r="J65" s="230"/>
      <c r="K65" s="306"/>
      <c r="L65" s="230"/>
      <c r="M65" s="290"/>
    </row>
    <row r="66" spans="1:13" ht="12.75">
      <c r="A66" s="228" t="s">
        <v>363</v>
      </c>
      <c r="B66" s="229">
        <f>SUM(B67:B70)</f>
        <v>65221252</v>
      </c>
      <c r="C66" s="229">
        <v>43066993</v>
      </c>
      <c r="D66" s="229">
        <f>SUM(D67:D70)</f>
        <v>34978333</v>
      </c>
      <c r="E66" s="303">
        <f t="shared" si="0"/>
        <v>0.5363026916441285</v>
      </c>
      <c r="F66" s="307">
        <f>SUM(F67:F70)</f>
        <v>4647747</v>
      </c>
      <c r="G66" s="228" t="s">
        <v>363</v>
      </c>
      <c r="H66" s="230">
        <f>SUM(H67:H70)</f>
        <v>65221</v>
      </c>
      <c r="I66" s="304">
        <f>ROUND(C66/1000,0)</f>
        <v>43067</v>
      </c>
      <c r="J66" s="230">
        <f>SUM(J67:J70)</f>
        <v>34978</v>
      </c>
      <c r="K66" s="306">
        <f t="shared" si="1"/>
        <v>53.62996580855859</v>
      </c>
      <c r="L66" s="230">
        <f>SUM(L67:L70)</f>
        <v>4647</v>
      </c>
      <c r="M66" s="290"/>
    </row>
    <row r="67" spans="1:13" ht="12.75">
      <c r="A67" s="228" t="s">
        <v>385</v>
      </c>
      <c r="B67" s="229">
        <v>7800000</v>
      </c>
      <c r="C67" s="308"/>
      <c r="D67" s="229">
        <v>6031043</v>
      </c>
      <c r="E67" s="303">
        <f t="shared" si="0"/>
        <v>0.7732106410256411</v>
      </c>
      <c r="F67" s="307">
        <f>D67-'[6]Jūlijs'!D67</f>
        <v>726198</v>
      </c>
      <c r="G67" s="228" t="s">
        <v>385</v>
      </c>
      <c r="H67" s="304">
        <f aca="true" t="shared" si="7" ref="H67:J70">ROUND(B67/1000,0)</f>
        <v>7800</v>
      </c>
      <c r="I67" s="304">
        <f t="shared" si="7"/>
        <v>0</v>
      </c>
      <c r="J67" s="304">
        <f t="shared" si="7"/>
        <v>6031</v>
      </c>
      <c r="K67" s="306">
        <f t="shared" si="1"/>
        <v>77.32051282051282</v>
      </c>
      <c r="L67" s="304">
        <f>J67-'[6]Jūlijs'!J67</f>
        <v>726</v>
      </c>
      <c r="M67" s="290"/>
    </row>
    <row r="68" spans="1:13" ht="12.75">
      <c r="A68" s="228" t="s">
        <v>386</v>
      </c>
      <c r="B68" s="229">
        <v>54000000</v>
      </c>
      <c r="C68" s="308"/>
      <c r="D68" s="229">
        <v>28235275</v>
      </c>
      <c r="E68" s="303">
        <f t="shared" si="0"/>
        <v>0.522875462962963</v>
      </c>
      <c r="F68" s="307">
        <f>D68-'[6]Jūlijs'!D68</f>
        <v>3744289</v>
      </c>
      <c r="G68" s="228" t="s">
        <v>386</v>
      </c>
      <c r="H68" s="304">
        <f t="shared" si="7"/>
        <v>54000</v>
      </c>
      <c r="I68" s="304">
        <f t="shared" si="7"/>
        <v>0</v>
      </c>
      <c r="J68" s="304">
        <f t="shared" si="7"/>
        <v>28235</v>
      </c>
      <c r="K68" s="306">
        <f t="shared" si="1"/>
        <v>52.28703703703703</v>
      </c>
      <c r="L68" s="304">
        <f>J68-'[6]Jūlijs'!J68</f>
        <v>3744</v>
      </c>
      <c r="M68" s="290"/>
    </row>
    <row r="69" spans="1:13" ht="12.75">
      <c r="A69" s="316" t="s">
        <v>289</v>
      </c>
      <c r="B69" s="229">
        <v>50000</v>
      </c>
      <c r="C69" s="308"/>
      <c r="D69" s="229">
        <v>15009</v>
      </c>
      <c r="E69" s="303">
        <f t="shared" si="0"/>
        <v>0.30018</v>
      </c>
      <c r="F69" s="307">
        <f>D69-'[6]Jūlijs'!D69</f>
        <v>2037</v>
      </c>
      <c r="G69" s="228" t="s">
        <v>289</v>
      </c>
      <c r="H69" s="304">
        <f t="shared" si="7"/>
        <v>50</v>
      </c>
      <c r="I69" s="304">
        <f t="shared" si="7"/>
        <v>0</v>
      </c>
      <c r="J69" s="304">
        <f t="shared" si="7"/>
        <v>15</v>
      </c>
      <c r="K69" s="306">
        <f t="shared" si="1"/>
        <v>30</v>
      </c>
      <c r="L69" s="304">
        <f>J69-'[6]Jūlijs'!J69</f>
        <v>2</v>
      </c>
      <c r="M69" s="290"/>
    </row>
    <row r="70" spans="1:13" ht="12.75">
      <c r="A70" s="228" t="s">
        <v>387</v>
      </c>
      <c r="B70" s="229">
        <v>3371252</v>
      </c>
      <c r="C70" s="308"/>
      <c r="D70" s="229">
        <f>706725-9719</f>
        <v>697006</v>
      </c>
      <c r="E70" s="303">
        <f>IF(ISERROR(D70/B70)," ",(D70/B70))</f>
        <v>0.20674989588437767</v>
      </c>
      <c r="F70" s="307">
        <f>D70-'[6]Jūlijs'!D70</f>
        <v>175223</v>
      </c>
      <c r="G70" s="228" t="s">
        <v>388</v>
      </c>
      <c r="H70" s="304">
        <f t="shared" si="7"/>
        <v>3371</v>
      </c>
      <c r="I70" s="304">
        <f t="shared" si="7"/>
        <v>0</v>
      </c>
      <c r="J70" s="304">
        <f t="shared" si="7"/>
        <v>697</v>
      </c>
      <c r="K70" s="306">
        <f t="shared" si="1"/>
        <v>20.676357164046276</v>
      </c>
      <c r="L70" s="304">
        <f>J70-'[6]Jūlijs'!J70</f>
        <v>175</v>
      </c>
      <c r="M70" s="290"/>
    </row>
    <row r="71" spans="1:13" ht="12.75">
      <c r="A71" s="228" t="s">
        <v>365</v>
      </c>
      <c r="B71" s="229">
        <f>B72+B73</f>
        <v>70621252</v>
      </c>
      <c r="C71" s="308">
        <f>SUM(C72:C73)</f>
        <v>48661855</v>
      </c>
      <c r="D71" s="229">
        <f>D72+D73</f>
        <v>40156023</v>
      </c>
      <c r="E71" s="303">
        <f t="shared" si="0"/>
        <v>0.5686110322711356</v>
      </c>
      <c r="F71" s="307">
        <f>F72+F73</f>
        <v>5298086</v>
      </c>
      <c r="G71" s="228" t="s">
        <v>365</v>
      </c>
      <c r="H71" s="230">
        <f>H72+H73</f>
        <v>70621</v>
      </c>
      <c r="I71" s="230">
        <f>I72+I73</f>
        <v>48661</v>
      </c>
      <c r="J71" s="230">
        <f>J72+J73</f>
        <v>40156</v>
      </c>
      <c r="K71" s="306">
        <f t="shared" si="1"/>
        <v>56.86127355885643</v>
      </c>
      <c r="L71" s="230">
        <f>L72+L73</f>
        <v>5298</v>
      </c>
      <c r="M71" s="290"/>
    </row>
    <row r="72" spans="1:13" ht="12.75">
      <c r="A72" s="228" t="s">
        <v>366</v>
      </c>
      <c r="B72" s="229">
        <v>50450068</v>
      </c>
      <c r="C72" s="308">
        <v>35275400</v>
      </c>
      <c r="D72" s="229">
        <f>'[7]Augusts'!$J$8</f>
        <v>30831768</v>
      </c>
      <c r="E72" s="303">
        <f t="shared" si="0"/>
        <v>0.6111343199775271</v>
      </c>
      <c r="F72" s="307">
        <f>D72-'[6]Jūlijs'!D72</f>
        <v>4053994</v>
      </c>
      <c r="G72" s="228" t="s">
        <v>366</v>
      </c>
      <c r="H72" s="304">
        <f aca="true" t="shared" si="8" ref="H72:J75">ROUND(B72/1000,0)</f>
        <v>50450</v>
      </c>
      <c r="I72" s="304">
        <f t="shared" si="8"/>
        <v>35275</v>
      </c>
      <c r="J72" s="304">
        <f>ROUND(D72/1000,0)</f>
        <v>30832</v>
      </c>
      <c r="K72" s="306">
        <f t="shared" si="1"/>
        <v>61.113974231912785</v>
      </c>
      <c r="L72" s="304">
        <f>J72-'[6]Jūlijs'!J72</f>
        <v>4054</v>
      </c>
      <c r="M72" s="290"/>
    </row>
    <row r="73" spans="1:13" ht="12.75">
      <c r="A73" s="228" t="s">
        <v>356</v>
      </c>
      <c r="B73" s="229">
        <v>20171184</v>
      </c>
      <c r="C73" s="308">
        <v>13386455</v>
      </c>
      <c r="D73" s="229">
        <f>'[7]Augusts'!$J$30</f>
        <v>9324255</v>
      </c>
      <c r="E73" s="303">
        <f t="shared" si="0"/>
        <v>0.4622562066758203</v>
      </c>
      <c r="F73" s="307">
        <f>D73-'[6]Jūlijs'!D73</f>
        <v>1244092</v>
      </c>
      <c r="G73" s="228" t="s">
        <v>389</v>
      </c>
      <c r="H73" s="304">
        <f t="shared" si="8"/>
        <v>20171</v>
      </c>
      <c r="I73" s="304">
        <f t="shared" si="8"/>
        <v>13386</v>
      </c>
      <c r="J73" s="304">
        <f t="shared" si="8"/>
        <v>9324</v>
      </c>
      <c r="K73" s="306">
        <f t="shared" si="1"/>
        <v>46.22477814684448</v>
      </c>
      <c r="L73" s="304">
        <f>J73-'[6]Jūlijs'!J73</f>
        <v>1244</v>
      </c>
      <c r="M73" s="290"/>
    </row>
    <row r="74" spans="1:13" ht="12.75">
      <c r="A74" s="228" t="s">
        <v>359</v>
      </c>
      <c r="B74" s="229">
        <f>B66-B71</f>
        <v>-5400000</v>
      </c>
      <c r="C74" s="308">
        <f>C66-C71</f>
        <v>-5594862</v>
      </c>
      <c r="D74" s="229">
        <f>D66-D71</f>
        <v>-5177690</v>
      </c>
      <c r="E74" s="303">
        <f t="shared" si="0"/>
        <v>0.9588314814814815</v>
      </c>
      <c r="F74" s="307">
        <f>D74-'[6]Jūlijs'!D74</f>
        <v>-650339</v>
      </c>
      <c r="G74" s="228" t="s">
        <v>359</v>
      </c>
      <c r="H74" s="230">
        <f>H66-H71</f>
        <v>-5400</v>
      </c>
      <c r="I74" s="230">
        <f>I66-I71</f>
        <v>-5594</v>
      </c>
      <c r="J74" s="230">
        <f>J66-J71</f>
        <v>-5178</v>
      </c>
      <c r="K74" s="306">
        <f t="shared" si="1"/>
        <v>95.88888888888889</v>
      </c>
      <c r="L74" s="304">
        <f>J74-'[6]Jūlijs'!J74</f>
        <v>-651</v>
      </c>
      <c r="M74" s="290"/>
    </row>
    <row r="75" spans="1:13" ht="12.75">
      <c r="A75" s="228" t="s">
        <v>360</v>
      </c>
      <c r="B75" s="229">
        <v>5400000</v>
      </c>
      <c r="C75" s="308">
        <f>2590800+1007000-237668+863400-188700+250200-6600+1316430</f>
        <v>5594862</v>
      </c>
      <c r="D75" s="229">
        <f>5770541-54</f>
        <v>5770487</v>
      </c>
      <c r="E75" s="303">
        <f t="shared" si="0"/>
        <v>1.0686087037037038</v>
      </c>
      <c r="F75" s="307">
        <f>D75-'[6]Jūlijs'!D75</f>
        <v>528249</v>
      </c>
      <c r="G75" s="228" t="s">
        <v>390</v>
      </c>
      <c r="H75" s="304">
        <f t="shared" si="8"/>
        <v>5400</v>
      </c>
      <c r="I75" s="304">
        <f t="shared" si="8"/>
        <v>5595</v>
      </c>
      <c r="J75" s="304">
        <f t="shared" si="8"/>
        <v>5770</v>
      </c>
      <c r="K75" s="306"/>
      <c r="L75" s="304">
        <f>J75-'[6]Jūlijs'!J75</f>
        <v>528</v>
      </c>
      <c r="M75" s="290"/>
    </row>
    <row r="76" spans="1:13" ht="12.75">
      <c r="A76" s="173" t="s">
        <v>391</v>
      </c>
      <c r="B76" s="229"/>
      <c r="C76" s="308"/>
      <c r="D76" s="229"/>
      <c r="E76" s="303" t="str">
        <f aca="true" t="shared" si="9" ref="E76:E139">IF(ISERROR(D76/B76)," ",(D76/B76))</f>
        <v> </v>
      </c>
      <c r="F76" s="307"/>
      <c r="G76" s="173" t="s">
        <v>391</v>
      </c>
      <c r="H76" s="230"/>
      <c r="I76" s="230"/>
      <c r="J76" s="230"/>
      <c r="K76" s="306"/>
      <c r="L76" s="230"/>
      <c r="M76" s="290"/>
    </row>
    <row r="77" spans="1:13" ht="12.75">
      <c r="A77" s="228" t="s">
        <v>363</v>
      </c>
      <c r="B77" s="229">
        <f>B78+B79</f>
        <v>500000</v>
      </c>
      <c r="C77" s="308">
        <v>403300</v>
      </c>
      <c r="D77" s="229">
        <f>D78+D79</f>
        <v>497142</v>
      </c>
      <c r="E77" s="303">
        <f t="shared" si="9"/>
        <v>0.994284</v>
      </c>
      <c r="F77" s="307">
        <f>F78+F79</f>
        <v>68083</v>
      </c>
      <c r="G77" s="228" t="s">
        <v>363</v>
      </c>
      <c r="H77" s="230">
        <f>H78+H79</f>
        <v>500</v>
      </c>
      <c r="I77" s="304">
        <f>ROUND(C77/1000,0)</f>
        <v>403</v>
      </c>
      <c r="J77" s="230">
        <f>J78+J79</f>
        <v>497</v>
      </c>
      <c r="K77" s="306">
        <f aca="true" t="shared" si="10" ref="K77:K140">IF(ISERROR(ROUND(J77,0)/ROUND(H77,0))," ",(ROUND(J77,)/ROUND(H77,)))*100</f>
        <v>99.4</v>
      </c>
      <c r="L77" s="230">
        <f>L78+L79</f>
        <v>68</v>
      </c>
      <c r="M77" s="290"/>
    </row>
    <row r="78" spans="1:13" ht="12.75">
      <c r="A78" s="228" t="s">
        <v>392</v>
      </c>
      <c r="B78" s="229">
        <v>500000</v>
      </c>
      <c r="C78" s="308"/>
      <c r="D78" s="229">
        <v>489074</v>
      </c>
      <c r="E78" s="303">
        <f t="shared" si="9"/>
        <v>0.978148</v>
      </c>
      <c r="F78" s="307">
        <f>D78-'[6]Jūlijs'!D78</f>
        <v>65663</v>
      </c>
      <c r="G78" s="228" t="s">
        <v>392</v>
      </c>
      <c r="H78" s="304">
        <f>ROUND(B78/1000,0)</f>
        <v>500</v>
      </c>
      <c r="I78" s="304">
        <f>ROUND(C78/1000,0)</f>
        <v>0</v>
      </c>
      <c r="J78" s="304">
        <f>ROUND(D78/1000,0)</f>
        <v>489</v>
      </c>
      <c r="K78" s="306">
        <f t="shared" si="10"/>
        <v>97.8</v>
      </c>
      <c r="L78" s="304">
        <f>J78-'[6]Jūlijs'!J78</f>
        <v>66</v>
      </c>
      <c r="M78" s="290"/>
    </row>
    <row r="79" spans="1:13" ht="12.75">
      <c r="A79" s="228" t="s">
        <v>369</v>
      </c>
      <c r="B79" s="229"/>
      <c r="C79" s="308"/>
      <c r="D79" s="229">
        <v>8068</v>
      </c>
      <c r="E79" s="303" t="str">
        <f t="shared" si="9"/>
        <v> </v>
      </c>
      <c r="F79" s="307">
        <f>D79-'[6]Jūlijs'!D79</f>
        <v>2420</v>
      </c>
      <c r="G79" s="228" t="s">
        <v>369</v>
      </c>
      <c r="H79" s="304">
        <f>ROUND(B79/1000,0)</f>
        <v>0</v>
      </c>
      <c r="I79" s="304">
        <f>ROUND(C79/1000,0)</f>
        <v>0</v>
      </c>
      <c r="J79" s="304">
        <f>ROUND(D79/1000,0)</f>
        <v>8</v>
      </c>
      <c r="K79" s="306"/>
      <c r="L79" s="304">
        <f>J79-'[6]Jūlijs'!J79</f>
        <v>2</v>
      </c>
      <c r="M79" s="290"/>
    </row>
    <row r="80" spans="1:13" ht="12.75">
      <c r="A80" s="228" t="s">
        <v>365</v>
      </c>
      <c r="B80" s="229">
        <f>B81+B82</f>
        <v>500000</v>
      </c>
      <c r="C80" s="308">
        <f>SUM(C81:C82)</f>
        <v>403300</v>
      </c>
      <c r="D80" s="229">
        <f>D81+D82</f>
        <v>272528</v>
      </c>
      <c r="E80" s="303">
        <f t="shared" si="9"/>
        <v>0.545056</v>
      </c>
      <c r="F80" s="307">
        <f>F81+F82</f>
        <v>22005</v>
      </c>
      <c r="G80" s="228" t="s">
        <v>365</v>
      </c>
      <c r="H80" s="230">
        <f>H81+H82</f>
        <v>500</v>
      </c>
      <c r="I80" s="230">
        <f>I81+I82</f>
        <v>403</v>
      </c>
      <c r="J80" s="230">
        <f>J81+J82</f>
        <v>272</v>
      </c>
      <c r="K80" s="306">
        <f t="shared" si="10"/>
        <v>54.400000000000006</v>
      </c>
      <c r="L80" s="230">
        <f>L81+L82</f>
        <v>22</v>
      </c>
      <c r="M80" s="290"/>
    </row>
    <row r="81" spans="1:13" ht="12.75">
      <c r="A81" s="228" t="s">
        <v>366</v>
      </c>
      <c r="B81" s="229">
        <v>350000</v>
      </c>
      <c r="C81" s="308">
        <v>268300</v>
      </c>
      <c r="D81" s="229">
        <v>255232</v>
      </c>
      <c r="E81" s="303">
        <f t="shared" si="9"/>
        <v>0.7292342857142857</v>
      </c>
      <c r="F81" s="307">
        <f>D81-'[6]Jūlijs'!D81</f>
        <v>20937</v>
      </c>
      <c r="G81" s="228" t="s">
        <v>366</v>
      </c>
      <c r="H81" s="304">
        <f aca="true" t="shared" si="11" ref="H81:J82">ROUND(B81/1000,0)</f>
        <v>350</v>
      </c>
      <c r="I81" s="304">
        <f t="shared" si="11"/>
        <v>268</v>
      </c>
      <c r="J81" s="304">
        <f t="shared" si="11"/>
        <v>255</v>
      </c>
      <c r="K81" s="306">
        <f t="shared" si="10"/>
        <v>72.85714285714285</v>
      </c>
      <c r="L81" s="304">
        <f>J81-'[6]Jūlijs'!J81</f>
        <v>21</v>
      </c>
      <c r="M81" s="290"/>
    </row>
    <row r="82" spans="1:13" ht="12.75">
      <c r="A82" s="228" t="s">
        <v>356</v>
      </c>
      <c r="B82" s="229">
        <v>150000</v>
      </c>
      <c r="C82" s="308">
        <v>135000</v>
      </c>
      <c r="D82" s="229">
        <v>17296</v>
      </c>
      <c r="E82" s="303">
        <f t="shared" si="9"/>
        <v>0.11530666666666667</v>
      </c>
      <c r="F82" s="307">
        <f>D82-'[6]Jūlijs'!D82</f>
        <v>1068</v>
      </c>
      <c r="G82" s="228" t="s">
        <v>356</v>
      </c>
      <c r="H82" s="304">
        <f t="shared" si="11"/>
        <v>150</v>
      </c>
      <c r="I82" s="304">
        <f t="shared" si="11"/>
        <v>135</v>
      </c>
      <c r="J82" s="304">
        <f t="shared" si="11"/>
        <v>17</v>
      </c>
      <c r="K82" s="306">
        <f t="shared" si="10"/>
        <v>11.333333333333332</v>
      </c>
      <c r="L82" s="304">
        <f>J82-'[6]Jūlijs'!J82</f>
        <v>1</v>
      </c>
      <c r="M82" s="290"/>
    </row>
    <row r="83" spans="1:13" ht="12.75">
      <c r="A83" s="173" t="s">
        <v>393</v>
      </c>
      <c r="B83" s="229"/>
      <c r="C83" s="308"/>
      <c r="D83" s="229"/>
      <c r="E83" s="303" t="str">
        <f t="shared" si="9"/>
        <v> </v>
      </c>
      <c r="F83" s="307"/>
      <c r="G83" s="173" t="s">
        <v>393</v>
      </c>
      <c r="H83" s="230"/>
      <c r="I83" s="230"/>
      <c r="J83" s="230"/>
      <c r="K83" s="306"/>
      <c r="L83" s="230"/>
      <c r="M83" s="290"/>
    </row>
    <row r="84" spans="1:13" ht="12.75">
      <c r="A84" s="228" t="s">
        <v>363</v>
      </c>
      <c r="B84" s="229">
        <v>2000000</v>
      </c>
      <c r="C84" s="308">
        <v>1936000</v>
      </c>
      <c r="D84" s="229">
        <v>1473797</v>
      </c>
      <c r="E84" s="303">
        <f t="shared" si="9"/>
        <v>0.7368985</v>
      </c>
      <c r="F84" s="307">
        <f>D84-'[6]Jūlijs'!D84</f>
        <v>254336</v>
      </c>
      <c r="G84" s="228" t="s">
        <v>363</v>
      </c>
      <c r="H84" s="304">
        <f>ROUND(B84/1000,0)</f>
        <v>2000</v>
      </c>
      <c r="I84" s="304">
        <f>ROUND(C84/1000,0)</f>
        <v>1936</v>
      </c>
      <c r="J84" s="304">
        <f>ROUND(D84/1000,0)</f>
        <v>1474</v>
      </c>
      <c r="K84" s="306">
        <f t="shared" si="10"/>
        <v>73.7</v>
      </c>
      <c r="L84" s="304">
        <f>J84-'[6]Jūlijs'!J84</f>
        <v>255</v>
      </c>
      <c r="M84" s="290"/>
    </row>
    <row r="85" spans="1:13" ht="12.75">
      <c r="A85" s="228" t="s">
        <v>365</v>
      </c>
      <c r="B85" s="229">
        <f>B86</f>
        <v>2000000</v>
      </c>
      <c r="C85" s="308">
        <f>SUM(C86)</f>
        <v>1936000</v>
      </c>
      <c r="D85" s="229">
        <f>D86</f>
        <v>1935978</v>
      </c>
      <c r="E85" s="303">
        <f t="shared" si="9"/>
        <v>0.967989</v>
      </c>
      <c r="F85" s="307">
        <f>F86</f>
        <v>32827</v>
      </c>
      <c r="G85" s="228" t="s">
        <v>365</v>
      </c>
      <c r="H85" s="230">
        <f>H86</f>
        <v>2000</v>
      </c>
      <c r="I85" s="230">
        <f>I86</f>
        <v>1936</v>
      </c>
      <c r="J85" s="230">
        <f>J86</f>
        <v>1936</v>
      </c>
      <c r="K85" s="306">
        <f t="shared" si="10"/>
        <v>96.8</v>
      </c>
      <c r="L85" s="230">
        <f>L86</f>
        <v>33</v>
      </c>
      <c r="M85" s="290"/>
    </row>
    <row r="86" spans="1:13" ht="12.75">
      <c r="A86" s="228" t="s">
        <v>356</v>
      </c>
      <c r="B86" s="229">
        <v>2000000</v>
      </c>
      <c r="C86" s="308">
        <v>1936000</v>
      </c>
      <c r="D86" s="229">
        <v>1935978</v>
      </c>
      <c r="E86" s="303">
        <f t="shared" si="9"/>
        <v>0.967989</v>
      </c>
      <c r="F86" s="307">
        <f>D86-'[6]Jūlijs'!D86</f>
        <v>32827</v>
      </c>
      <c r="G86" s="228" t="s">
        <v>356</v>
      </c>
      <c r="H86" s="304">
        <f aca="true" t="shared" si="12" ref="H86:J87">ROUND(B86/1000,0)</f>
        <v>2000</v>
      </c>
      <c r="I86" s="304">
        <f t="shared" si="12"/>
        <v>1936</v>
      </c>
      <c r="J86" s="304">
        <f t="shared" si="12"/>
        <v>1936</v>
      </c>
      <c r="K86" s="306">
        <f t="shared" si="10"/>
        <v>96.8</v>
      </c>
      <c r="L86" s="304">
        <f>J86-'[6]Jūlijs'!J86</f>
        <v>33</v>
      </c>
      <c r="M86" s="290"/>
    </row>
    <row r="87" spans="1:13" ht="12.75">
      <c r="A87" s="228" t="s">
        <v>394</v>
      </c>
      <c r="B87" s="229">
        <v>0</v>
      </c>
      <c r="C87" s="308"/>
      <c r="D87" s="229">
        <v>1000000</v>
      </c>
      <c r="E87" s="303" t="str">
        <f t="shared" si="9"/>
        <v> </v>
      </c>
      <c r="F87" s="307">
        <f>D87-'[6]Jūlijs'!D87</f>
        <v>0</v>
      </c>
      <c r="G87" s="228" t="s">
        <v>395</v>
      </c>
      <c r="H87" s="304">
        <f t="shared" si="12"/>
        <v>0</v>
      </c>
      <c r="I87" s="304">
        <f t="shared" si="12"/>
        <v>0</v>
      </c>
      <c r="J87" s="304">
        <f t="shared" si="12"/>
        <v>1000</v>
      </c>
      <c r="K87" s="306"/>
      <c r="L87" s="304">
        <f>J87-'[6]Jūlijs'!J87</f>
        <v>0</v>
      </c>
      <c r="M87" s="290"/>
    </row>
    <row r="88" spans="1:13" ht="12.75">
      <c r="A88" s="26" t="s">
        <v>248</v>
      </c>
      <c r="B88" s="229"/>
      <c r="C88" s="308"/>
      <c r="D88" s="229"/>
      <c r="E88" s="303" t="str">
        <f t="shared" si="9"/>
        <v> </v>
      </c>
      <c r="F88" s="307"/>
      <c r="G88" s="26" t="s">
        <v>248</v>
      </c>
      <c r="H88" s="230"/>
      <c r="I88" s="230"/>
      <c r="J88" s="230"/>
      <c r="K88" s="306"/>
      <c r="L88" s="230"/>
      <c r="M88" s="43"/>
    </row>
    <row r="89" spans="1:13" ht="12.75">
      <c r="A89" s="173" t="s">
        <v>396</v>
      </c>
      <c r="B89" s="229"/>
      <c r="C89" s="308"/>
      <c r="D89" s="229"/>
      <c r="E89" s="303" t="str">
        <f t="shared" si="9"/>
        <v> </v>
      </c>
      <c r="F89" s="307"/>
      <c r="G89" s="170" t="s">
        <v>396</v>
      </c>
      <c r="H89" s="230"/>
      <c r="I89" s="230"/>
      <c r="J89" s="230"/>
      <c r="K89" s="306"/>
      <c r="L89" s="230"/>
      <c r="M89" s="43"/>
    </row>
    <row r="90" spans="1:13" ht="12.75">
      <c r="A90" s="228" t="s">
        <v>363</v>
      </c>
      <c r="B90" s="229">
        <f>SUM(B91:B93)</f>
        <v>131491628</v>
      </c>
      <c r="C90" s="308">
        <f>68645374+13306731+1679087+839545+1829783+985000+408832</f>
        <v>87694352</v>
      </c>
      <c r="D90" s="229">
        <f>SUM(D91:D93)</f>
        <v>86322190</v>
      </c>
      <c r="E90" s="303">
        <f t="shared" si="9"/>
        <v>0.6564843048410656</v>
      </c>
      <c r="F90" s="307">
        <f>SUM(F91:F93)</f>
        <v>10923721</v>
      </c>
      <c r="G90" s="228" t="s">
        <v>363</v>
      </c>
      <c r="H90" s="230">
        <f>SUM(H91:H93)</f>
        <v>131491</v>
      </c>
      <c r="I90" s="230">
        <f>ROUND(C90/1000,0)</f>
        <v>87694</v>
      </c>
      <c r="J90" s="230">
        <f>SUM(J91:J93)</f>
        <v>86322</v>
      </c>
      <c r="K90" s="306">
        <f t="shared" si="10"/>
        <v>65.64859952392179</v>
      </c>
      <c r="L90" s="230">
        <f>SUM(L91:L93)</f>
        <v>10923</v>
      </c>
      <c r="M90" s="43"/>
    </row>
    <row r="91" spans="1:13" ht="12.75">
      <c r="A91" s="228" t="s">
        <v>397</v>
      </c>
      <c r="B91" s="229">
        <v>74152400</v>
      </c>
      <c r="C91" s="308"/>
      <c r="D91" s="229">
        <v>47834359</v>
      </c>
      <c r="E91" s="303">
        <f t="shared" si="9"/>
        <v>0.6450817370712209</v>
      </c>
      <c r="F91" s="307">
        <f>D91-'[6]Jūlijs'!D91</f>
        <v>6423642</v>
      </c>
      <c r="G91" s="228" t="s">
        <v>397</v>
      </c>
      <c r="H91" s="230">
        <f>ROUND(B91/1000,0)</f>
        <v>74152</v>
      </c>
      <c r="I91" s="230">
        <f>ROUND(C91/1000,0)</f>
        <v>0</v>
      </c>
      <c r="J91" s="230">
        <f>ROUND(D91/1000,0)</f>
        <v>47834</v>
      </c>
      <c r="K91" s="306">
        <f t="shared" si="10"/>
        <v>64.50803754450318</v>
      </c>
      <c r="L91" s="304">
        <f>J91-'[6]Jūlijs'!J91</f>
        <v>6423</v>
      </c>
      <c r="M91" s="43"/>
    </row>
    <row r="92" spans="1:13" ht="12.75">
      <c r="A92" s="228" t="s">
        <v>398</v>
      </c>
      <c r="B92" s="229">
        <v>53376928</v>
      </c>
      <c r="C92" s="308"/>
      <c r="D92" s="229">
        <v>36811679</v>
      </c>
      <c r="E92" s="303">
        <f t="shared" si="9"/>
        <v>0.6896552570428931</v>
      </c>
      <c r="F92" s="307">
        <f>D92-'[6]Jūlijs'!D92</f>
        <v>4377802</v>
      </c>
      <c r="G92" s="228" t="s">
        <v>398</v>
      </c>
      <c r="H92" s="230">
        <f>ROUND(B92/1000,0)</f>
        <v>53377</v>
      </c>
      <c r="I92" s="230">
        <f>ROUND(C92/1000,0)</f>
        <v>0</v>
      </c>
      <c r="J92" s="230">
        <f>ROUND(D92/1000,0)</f>
        <v>36812</v>
      </c>
      <c r="K92" s="306">
        <f t="shared" si="10"/>
        <v>68.96603405961369</v>
      </c>
      <c r="L92" s="304">
        <f>J92-'[6]Jūlijs'!J92</f>
        <v>4378</v>
      </c>
      <c r="M92" s="43"/>
    </row>
    <row r="93" spans="1:13" ht="12.75">
      <c r="A93" s="316" t="s">
        <v>289</v>
      </c>
      <c r="B93" s="229">
        <v>3962300</v>
      </c>
      <c r="C93" s="308"/>
      <c r="D93" s="229">
        <v>1676152</v>
      </c>
      <c r="E93" s="303">
        <f t="shared" si="9"/>
        <v>0.42302501072609344</v>
      </c>
      <c r="F93" s="307">
        <f>D93-'[6]Jūlijs'!D93</f>
        <v>122277</v>
      </c>
      <c r="G93" s="228" t="s">
        <v>289</v>
      </c>
      <c r="H93" s="230">
        <f>ROUND(B93/1000,0)</f>
        <v>3962</v>
      </c>
      <c r="I93" s="230">
        <f>ROUND(C93/1000,0)</f>
        <v>0</v>
      </c>
      <c r="J93" s="230">
        <f>ROUND(D93/1000,0)</f>
        <v>1676</v>
      </c>
      <c r="K93" s="306">
        <f t="shared" si="10"/>
        <v>42.30186774356386</v>
      </c>
      <c r="L93" s="304">
        <f>J93-'[6]Jūlijs'!J93</f>
        <v>122</v>
      </c>
      <c r="M93" s="43"/>
    </row>
    <row r="94" spans="1:13" ht="12.75">
      <c r="A94" s="228" t="s">
        <v>365</v>
      </c>
      <c r="B94" s="229">
        <f>SUM(B95:B96)</f>
        <v>135680628</v>
      </c>
      <c r="C94" s="308">
        <f>SUM(C95:C96)</f>
        <v>92421703</v>
      </c>
      <c r="D94" s="229">
        <f>SUM(D95:D96)</f>
        <v>86774789</v>
      </c>
      <c r="E94" s="303">
        <f t="shared" si="9"/>
        <v>0.6395517936429362</v>
      </c>
      <c r="F94" s="307">
        <f>SUM(F95:F96)</f>
        <v>11367592</v>
      </c>
      <c r="G94" s="228" t="s">
        <v>365</v>
      </c>
      <c r="H94" s="230">
        <f>SUM(H95:H96)</f>
        <v>135681</v>
      </c>
      <c r="I94" s="230">
        <f>SUM(I95:I96)</f>
        <v>92421</v>
      </c>
      <c r="J94" s="230">
        <f>SUM(J95:J96)</f>
        <v>86775</v>
      </c>
      <c r="K94" s="306">
        <f t="shared" si="10"/>
        <v>63.95515952860017</v>
      </c>
      <c r="L94" s="230">
        <f>SUM(L95:L96)</f>
        <v>11368</v>
      </c>
      <c r="M94" s="43"/>
    </row>
    <row r="95" spans="1:13" ht="12.75">
      <c r="A95" s="228" t="s">
        <v>366</v>
      </c>
      <c r="B95" s="229">
        <v>130203128</v>
      </c>
      <c r="C95" s="308">
        <f>69842725+12276531+1679087+839545+1737683+985000+408832</f>
        <v>87769403</v>
      </c>
      <c r="D95" s="229">
        <v>83994077</v>
      </c>
      <c r="E95" s="303">
        <f t="shared" si="9"/>
        <v>0.6451003005089094</v>
      </c>
      <c r="F95" s="307">
        <f>D95-'[6]Jūlijs'!D95</f>
        <v>11108930</v>
      </c>
      <c r="G95" s="228" t="s">
        <v>366</v>
      </c>
      <c r="H95" s="230">
        <f aca="true" t="shared" si="13" ref="H95:J98">ROUND(B95/1000,0)</f>
        <v>130203</v>
      </c>
      <c r="I95" s="230">
        <f t="shared" si="13"/>
        <v>87769</v>
      </c>
      <c r="J95" s="230">
        <f t="shared" si="13"/>
        <v>83994</v>
      </c>
      <c r="K95" s="306">
        <f t="shared" si="10"/>
        <v>64.5100343310062</v>
      </c>
      <c r="L95" s="304">
        <f>J95-'[6]Jūlijs'!J95</f>
        <v>11109</v>
      </c>
      <c r="M95" s="43"/>
    </row>
    <row r="96" spans="1:13" ht="12.75">
      <c r="A96" s="228" t="s">
        <v>356</v>
      </c>
      <c r="B96" s="229">
        <v>5477500</v>
      </c>
      <c r="C96" s="308">
        <f>3330200+92100+1230000</f>
        <v>4652300</v>
      </c>
      <c r="D96" s="229">
        <v>2780712</v>
      </c>
      <c r="E96" s="303">
        <f t="shared" si="9"/>
        <v>0.5076607941579188</v>
      </c>
      <c r="F96" s="307">
        <f>D96-'[6]Jūlijs'!D96</f>
        <v>258662</v>
      </c>
      <c r="G96" s="228" t="s">
        <v>356</v>
      </c>
      <c r="H96" s="230">
        <f t="shared" si="13"/>
        <v>5478</v>
      </c>
      <c r="I96" s="230">
        <f t="shared" si="13"/>
        <v>4652</v>
      </c>
      <c r="J96" s="230">
        <f t="shared" si="13"/>
        <v>2781</v>
      </c>
      <c r="K96" s="306">
        <f t="shared" si="10"/>
        <v>50.766703176341736</v>
      </c>
      <c r="L96" s="304">
        <f>J96-'[6]Jūlijs'!J96</f>
        <v>259</v>
      </c>
      <c r="M96" s="43"/>
    </row>
    <row r="97" spans="1:13" ht="12.75">
      <c r="A97" s="228" t="s">
        <v>359</v>
      </c>
      <c r="B97" s="229">
        <f>SUM(B90-B94)</f>
        <v>-4189000</v>
      </c>
      <c r="C97" s="308">
        <f>SUM(C90-C94)</f>
        <v>-4727351</v>
      </c>
      <c r="D97" s="229">
        <f>SUM(D90-D94)</f>
        <v>-452599</v>
      </c>
      <c r="E97" s="303">
        <f t="shared" si="9"/>
        <v>0.1080446407257102</v>
      </c>
      <c r="F97" s="307">
        <f>D97-'[6]Jūlijs'!D97</f>
        <v>-443871</v>
      </c>
      <c r="G97" s="228" t="s">
        <v>359</v>
      </c>
      <c r="H97" s="230">
        <f>SUM(H90-H94)</f>
        <v>-4190</v>
      </c>
      <c r="I97" s="230">
        <f>SUM(I90-I94)</f>
        <v>-4727</v>
      </c>
      <c r="J97" s="230">
        <f>SUM(J90-J94)</f>
        <v>-453</v>
      </c>
      <c r="K97" s="306">
        <f t="shared" si="10"/>
        <v>10.81145584725537</v>
      </c>
      <c r="L97" s="304">
        <f>J97-'[6]Jūlijs'!J97</f>
        <v>-445</v>
      </c>
      <c r="M97" s="43"/>
    </row>
    <row r="98" spans="1:13" ht="12.75">
      <c r="A98" s="228" t="s">
        <v>360</v>
      </c>
      <c r="B98" s="229">
        <v>4189000</v>
      </c>
      <c r="C98" s="308">
        <v>3390000</v>
      </c>
      <c r="D98" s="229">
        <f>2013556</f>
        <v>2013556</v>
      </c>
      <c r="E98" s="303">
        <f t="shared" si="9"/>
        <v>0.48067701121986156</v>
      </c>
      <c r="F98" s="307">
        <f>D98-'[6]Jūlijs'!D98</f>
        <v>188789</v>
      </c>
      <c r="G98" s="228" t="s">
        <v>360</v>
      </c>
      <c r="H98" s="230">
        <f>ROUND(B98/1000,0)</f>
        <v>4189</v>
      </c>
      <c r="I98" s="230">
        <f t="shared" si="13"/>
        <v>3390</v>
      </c>
      <c r="J98" s="230">
        <f>ROUND(D98/1000,0)</f>
        <v>2014</v>
      </c>
      <c r="K98" s="306">
        <f t="shared" si="10"/>
        <v>48.078300310336594</v>
      </c>
      <c r="L98" s="304">
        <f>J98-'[6]Jūlijs'!J98</f>
        <v>189</v>
      </c>
      <c r="M98" s="43"/>
    </row>
    <row r="99" spans="1:13" ht="12.75">
      <c r="A99" s="173" t="s">
        <v>399</v>
      </c>
      <c r="B99" s="229"/>
      <c r="C99" s="308"/>
      <c r="D99" s="229"/>
      <c r="E99" s="303" t="str">
        <f t="shared" si="9"/>
        <v> </v>
      </c>
      <c r="F99" s="307"/>
      <c r="G99" s="173" t="s">
        <v>399</v>
      </c>
      <c r="H99" s="230"/>
      <c r="I99" s="230"/>
      <c r="J99" s="230"/>
      <c r="K99" s="306"/>
      <c r="L99" s="230"/>
      <c r="M99" s="290"/>
    </row>
    <row r="100" spans="1:13" ht="12.75">
      <c r="A100" s="228" t="s">
        <v>363</v>
      </c>
      <c r="B100" s="229">
        <f>SUM(B101:B103)</f>
        <v>481062040</v>
      </c>
      <c r="C100" s="229">
        <f>229843977+44401932+40480748</f>
        <v>314726657</v>
      </c>
      <c r="D100" s="229">
        <f>SUM(D101:D103)</f>
        <v>312248841</v>
      </c>
      <c r="E100" s="303">
        <f t="shared" si="9"/>
        <v>0.6490822701371324</v>
      </c>
      <c r="F100" s="307">
        <f>SUM(F101:F103)</f>
        <v>40155386</v>
      </c>
      <c r="G100" s="228" t="s">
        <v>363</v>
      </c>
      <c r="H100" s="230">
        <f>SUM(H101:H103)</f>
        <v>481062</v>
      </c>
      <c r="I100" s="304">
        <f aca="true" t="shared" si="14" ref="H100:J103">ROUND(C100/1000,0)</f>
        <v>314727</v>
      </c>
      <c r="J100" s="230">
        <f>SUM(J101:J103)</f>
        <v>312249</v>
      </c>
      <c r="K100" s="306">
        <f t="shared" si="10"/>
        <v>64.90826546266386</v>
      </c>
      <c r="L100" s="304">
        <f>SUM(L101:L103)</f>
        <v>40155</v>
      </c>
      <c r="M100" s="290"/>
    </row>
    <row r="101" spans="1:13" ht="12.75">
      <c r="A101" s="317" t="s">
        <v>400</v>
      </c>
      <c r="B101" s="318">
        <v>473580496</v>
      </c>
      <c r="C101" s="319"/>
      <c r="D101" s="318">
        <v>306880578</v>
      </c>
      <c r="E101" s="303">
        <f t="shared" si="9"/>
        <v>0.6480008796646051</v>
      </c>
      <c r="F101" s="307">
        <f>D101-'[6]Jūlijs'!D101</f>
        <v>39652070</v>
      </c>
      <c r="G101" s="228" t="s">
        <v>400</v>
      </c>
      <c r="H101" s="304">
        <f t="shared" si="14"/>
        <v>473580</v>
      </c>
      <c r="I101" s="304">
        <f t="shared" si="14"/>
        <v>0</v>
      </c>
      <c r="J101" s="304">
        <f t="shared" si="14"/>
        <v>306881</v>
      </c>
      <c r="K101" s="306">
        <f t="shared" si="10"/>
        <v>64.8002449427763</v>
      </c>
      <c r="L101" s="304">
        <f>J101-'[6]Jūlijs'!J101</f>
        <v>39652</v>
      </c>
      <c r="M101" s="290"/>
    </row>
    <row r="102" spans="1:13" ht="12.75">
      <c r="A102" s="317" t="s">
        <v>401</v>
      </c>
      <c r="B102" s="318">
        <v>6036630</v>
      </c>
      <c r="C102" s="319"/>
      <c r="D102" s="318">
        <v>3958329</v>
      </c>
      <c r="E102" s="303">
        <f t="shared" si="9"/>
        <v>0.6557183395371259</v>
      </c>
      <c r="F102" s="307">
        <f>D102-'[6]Jūlijs'!D102</f>
        <v>471161</v>
      </c>
      <c r="G102" s="228" t="s">
        <v>401</v>
      </c>
      <c r="H102" s="304">
        <f t="shared" si="14"/>
        <v>6037</v>
      </c>
      <c r="I102" s="304">
        <f t="shared" si="14"/>
        <v>0</v>
      </c>
      <c r="J102" s="304">
        <f t="shared" si="14"/>
        <v>3958</v>
      </c>
      <c r="K102" s="306">
        <f t="shared" si="10"/>
        <v>65.56236541328474</v>
      </c>
      <c r="L102" s="304">
        <f>J102-'[6]Jūlijs'!J102</f>
        <v>471</v>
      </c>
      <c r="M102" s="290"/>
    </row>
    <row r="103" spans="1:13" ht="12.75">
      <c r="A103" s="317" t="s">
        <v>402</v>
      </c>
      <c r="B103" s="318">
        <f>481062040-473580496-6036630</f>
        <v>1444914</v>
      </c>
      <c r="C103" s="319"/>
      <c r="D103" s="318">
        <f>5368263-D102</f>
        <v>1409934</v>
      </c>
      <c r="E103" s="303">
        <f t="shared" si="9"/>
        <v>0.9757909467276253</v>
      </c>
      <c r="F103" s="307">
        <f>D103-'[6]Jūlijs'!D103</f>
        <v>32155</v>
      </c>
      <c r="G103" s="228" t="s">
        <v>402</v>
      </c>
      <c r="H103" s="304">
        <f t="shared" si="14"/>
        <v>1445</v>
      </c>
      <c r="I103" s="304">
        <f t="shared" si="14"/>
        <v>0</v>
      </c>
      <c r="J103" s="304">
        <f>ROUND(D103/1000,0)</f>
        <v>1410</v>
      </c>
      <c r="K103" s="306">
        <f t="shared" si="10"/>
        <v>97.57785467128028</v>
      </c>
      <c r="L103" s="304">
        <f>J103-'[6]Jūlijs'!J103</f>
        <v>32</v>
      </c>
      <c r="M103" s="290"/>
    </row>
    <row r="104" spans="1:13" ht="12.75">
      <c r="A104" s="228" t="s">
        <v>403</v>
      </c>
      <c r="B104" s="229">
        <f>SUM(B105:B106)</f>
        <v>516531015</v>
      </c>
      <c r="C104" s="308">
        <f>SUM(C105:C106)</f>
        <v>360781598</v>
      </c>
      <c r="D104" s="229">
        <f>SUM(D105:D106)</f>
        <v>339940987</v>
      </c>
      <c r="E104" s="303">
        <f t="shared" si="9"/>
        <v>0.6581230886977812</v>
      </c>
      <c r="F104" s="307">
        <f>SUM(F105:F106)</f>
        <v>41498704</v>
      </c>
      <c r="G104" s="228" t="s">
        <v>404</v>
      </c>
      <c r="H104" s="114">
        <f>SUM(H105:H106)</f>
        <v>516531</v>
      </c>
      <c r="I104" s="114">
        <f>SUM(I105:I106)</f>
        <v>360782</v>
      </c>
      <c r="J104" s="114">
        <f>SUM(J105:J106)</f>
        <v>339942</v>
      </c>
      <c r="K104" s="306">
        <f t="shared" si="10"/>
        <v>65.8125068969723</v>
      </c>
      <c r="L104" s="230">
        <f>SUM(L105:L106)</f>
        <v>41499</v>
      </c>
      <c r="M104" s="290"/>
    </row>
    <row r="105" spans="1:13" ht="12.75">
      <c r="A105" s="228" t="s">
        <v>366</v>
      </c>
      <c r="B105" s="229">
        <v>512300015</v>
      </c>
      <c r="C105" s="308">
        <f>226356515+44124220+40504457+46847512</f>
        <v>357832704</v>
      </c>
      <c r="D105" s="229">
        <f>339156657-171186</f>
        <v>338985471</v>
      </c>
      <c r="E105" s="303">
        <f t="shared" si="9"/>
        <v>0.6616932677622506</v>
      </c>
      <c r="F105" s="307">
        <f>D105-'[6]Jūlijs'!D105</f>
        <v>41418877</v>
      </c>
      <c r="G105" s="228" t="s">
        <v>366</v>
      </c>
      <c r="H105" s="304">
        <f aca="true" t="shared" si="15" ref="H105:J108">ROUND(B105/1000,0)</f>
        <v>512300</v>
      </c>
      <c r="I105" s="304">
        <f t="shared" si="15"/>
        <v>357833</v>
      </c>
      <c r="J105" s="304">
        <f>ROUND(D105/1000,0)+1</f>
        <v>338986</v>
      </c>
      <c r="K105" s="306">
        <f t="shared" si="10"/>
        <v>66.16943197345306</v>
      </c>
      <c r="L105" s="304">
        <f>J105-'[6]Jūlijs'!J105</f>
        <v>41419</v>
      </c>
      <c r="M105" s="290"/>
    </row>
    <row r="106" spans="1:13" ht="12.75">
      <c r="A106" s="228" t="s">
        <v>356</v>
      </c>
      <c r="B106" s="229">
        <v>4231000</v>
      </c>
      <c r="C106" s="308">
        <f>1941844+536050+180000+291000</f>
        <v>2948894</v>
      </c>
      <c r="D106" s="229">
        <f>171186+784330</f>
        <v>955516</v>
      </c>
      <c r="E106" s="303">
        <f t="shared" si="9"/>
        <v>0.22583691798629166</v>
      </c>
      <c r="F106" s="307">
        <f>D106-'[6]Jūlijs'!D106</f>
        <v>79827</v>
      </c>
      <c r="G106" s="228" t="s">
        <v>356</v>
      </c>
      <c r="H106" s="304">
        <f t="shared" si="15"/>
        <v>4231</v>
      </c>
      <c r="I106" s="304">
        <f t="shared" si="15"/>
        <v>2949</v>
      </c>
      <c r="J106" s="304">
        <f t="shared" si="15"/>
        <v>956</v>
      </c>
      <c r="K106" s="306">
        <f t="shared" si="10"/>
        <v>22.595131174663198</v>
      </c>
      <c r="L106" s="304">
        <f>J106-'[6]Jūlijs'!J106</f>
        <v>80</v>
      </c>
      <c r="M106" s="290"/>
    </row>
    <row r="107" spans="1:13" ht="12.75">
      <c r="A107" s="228" t="s">
        <v>359</v>
      </c>
      <c r="B107" s="229">
        <f>SUM(B100-B104)</f>
        <v>-35468975</v>
      </c>
      <c r="C107" s="308">
        <f>SUM(C100-C104)</f>
        <v>-46054941</v>
      </c>
      <c r="D107" s="229">
        <f>SUM(D100-D104)</f>
        <v>-27692146</v>
      </c>
      <c r="E107" s="303">
        <f t="shared" si="9"/>
        <v>0.7807427759048577</v>
      </c>
      <c r="F107" s="307">
        <f>D107-'[6]Jūlijs'!D107</f>
        <v>-1343318</v>
      </c>
      <c r="G107" s="228" t="s">
        <v>359</v>
      </c>
      <c r="H107" s="304">
        <f t="shared" si="15"/>
        <v>-35469</v>
      </c>
      <c r="I107" s="304">
        <f t="shared" si="15"/>
        <v>-46055</v>
      </c>
      <c r="J107" s="304">
        <f t="shared" si="15"/>
        <v>-27692</v>
      </c>
      <c r="K107" s="306">
        <f t="shared" si="10"/>
        <v>78.07381093349122</v>
      </c>
      <c r="L107" s="304">
        <f>J107-'[6]Jūlijs'!J107</f>
        <v>-1343</v>
      </c>
      <c r="M107" s="290"/>
    </row>
    <row r="108" spans="1:13" ht="12.75">
      <c r="A108" s="228" t="s">
        <v>360</v>
      </c>
      <c r="B108" s="229">
        <v>35815863</v>
      </c>
      <c r="C108" s="308">
        <v>46036985</v>
      </c>
      <c r="D108" s="229">
        <f>29188601+784330</f>
        <v>29972931</v>
      </c>
      <c r="E108" s="303">
        <f t="shared" si="9"/>
        <v>0.8368618955237795</v>
      </c>
      <c r="F108" s="307">
        <f>D108-'[6]Jūlijs'!D108</f>
        <v>1175352</v>
      </c>
      <c r="G108" s="228" t="s">
        <v>360</v>
      </c>
      <c r="H108" s="304">
        <f t="shared" si="15"/>
        <v>35816</v>
      </c>
      <c r="I108" s="304">
        <f t="shared" si="15"/>
        <v>46037</v>
      </c>
      <c r="J108" s="304">
        <f>ROUND(D108/1000,0)</f>
        <v>29973</v>
      </c>
      <c r="K108" s="306">
        <f t="shared" si="10"/>
        <v>83.686062095153</v>
      </c>
      <c r="L108" s="304">
        <f>J108-'[6]Jūlijs'!J108</f>
        <v>1175</v>
      </c>
      <c r="M108" s="290"/>
    </row>
    <row r="109" spans="1:13" ht="12.75">
      <c r="A109" s="173" t="s">
        <v>405</v>
      </c>
      <c r="B109" s="229"/>
      <c r="C109" s="308"/>
      <c r="D109" s="229"/>
      <c r="E109" s="303" t="str">
        <f t="shared" si="9"/>
        <v> </v>
      </c>
      <c r="F109" s="307"/>
      <c r="G109" s="173" t="s">
        <v>405</v>
      </c>
      <c r="H109" s="230"/>
      <c r="I109" s="230"/>
      <c r="J109" s="230"/>
      <c r="K109" s="306"/>
      <c r="L109" s="230"/>
      <c r="M109" s="290"/>
    </row>
    <row r="110" spans="1:13" ht="12.75">
      <c r="A110" s="228" t="s">
        <v>363</v>
      </c>
      <c r="B110" s="229">
        <f>SUM(B111:B113)</f>
        <v>377995087</v>
      </c>
      <c r="C110" s="308">
        <f>215878774+31723536</f>
        <v>247602310</v>
      </c>
      <c r="D110" s="229">
        <f>SUM(D111:D113)</f>
        <v>243264882</v>
      </c>
      <c r="E110" s="303">
        <f t="shared" si="9"/>
        <v>0.6435662535476288</v>
      </c>
      <c r="F110" s="307">
        <f>SUM(F111:F113)</f>
        <v>31153367</v>
      </c>
      <c r="G110" s="228" t="s">
        <v>363</v>
      </c>
      <c r="H110" s="230">
        <f>SUM(H111:H113)</f>
        <v>377996</v>
      </c>
      <c r="I110" s="320">
        <f aca="true" t="shared" si="16" ref="H110:J115">ROUND(C110/1000,0)</f>
        <v>247602</v>
      </c>
      <c r="J110" s="230">
        <f>SUM(J111:J113)</f>
        <v>243265</v>
      </c>
      <c r="K110" s="306">
        <f t="shared" si="10"/>
        <v>64.35650112699605</v>
      </c>
      <c r="L110" s="304">
        <f>SUM(L111:L113)</f>
        <v>31153</v>
      </c>
      <c r="M110" s="290"/>
    </row>
    <row r="111" spans="1:13" ht="12.75">
      <c r="A111" s="317" t="s">
        <v>400</v>
      </c>
      <c r="B111" s="318">
        <v>355768535</v>
      </c>
      <c r="C111" s="319"/>
      <c r="D111" s="321">
        <v>230522733</v>
      </c>
      <c r="E111" s="303" t="str">
        <f>IF(ISERROR(#REF!/B111)," ",(#REF!/B111))</f>
        <v> </v>
      </c>
      <c r="F111" s="307">
        <f>D111-'[6]Jūlijs'!D111</f>
        <v>29783159</v>
      </c>
      <c r="G111" s="317" t="s">
        <v>400</v>
      </c>
      <c r="H111" s="320">
        <f t="shared" si="16"/>
        <v>355769</v>
      </c>
      <c r="I111" s="320">
        <f t="shared" si="16"/>
        <v>0</v>
      </c>
      <c r="J111" s="320">
        <f>ROUND(D111/1000,0)</f>
        <v>230523</v>
      </c>
      <c r="K111" s="306">
        <f t="shared" si="10"/>
        <v>64.79569608369475</v>
      </c>
      <c r="L111" s="304">
        <f>J111-'[6]Jūlijs'!J111</f>
        <v>29783</v>
      </c>
      <c r="M111" s="290"/>
    </row>
    <row r="112" spans="1:13" ht="12.75">
      <c r="A112" s="317" t="s">
        <v>401</v>
      </c>
      <c r="B112" s="318">
        <v>3397829</v>
      </c>
      <c r="C112" s="319"/>
      <c r="D112" s="321">
        <v>2163597</v>
      </c>
      <c r="E112" s="303" t="str">
        <f>IF(ISERROR(#REF!/B112)," ",(#REF!/B112))</f>
        <v> </v>
      </c>
      <c r="F112" s="307">
        <f>D112-'[6]Jūlijs'!D112</f>
        <v>263267</v>
      </c>
      <c r="G112" s="317" t="s">
        <v>401</v>
      </c>
      <c r="H112" s="320">
        <f t="shared" si="16"/>
        <v>3398</v>
      </c>
      <c r="I112" s="320">
        <f t="shared" si="16"/>
        <v>0</v>
      </c>
      <c r="J112" s="320">
        <f>ROUND(D112/1000,0)-1</f>
        <v>2163</v>
      </c>
      <c r="K112" s="306">
        <f t="shared" si="10"/>
        <v>63.655091230135376</v>
      </c>
      <c r="L112" s="304">
        <f>J112-'[6]Jūlijs'!J112</f>
        <v>263</v>
      </c>
      <c r="M112" s="290"/>
    </row>
    <row r="113" spans="1:13" ht="12.75">
      <c r="A113" s="317" t="s">
        <v>402</v>
      </c>
      <c r="B113" s="318">
        <f>377995087-355768535-3397829</f>
        <v>18828723</v>
      </c>
      <c r="C113" s="319"/>
      <c r="D113" s="321">
        <f>12742149-D112</f>
        <v>10578552</v>
      </c>
      <c r="E113" s="303" t="str">
        <f>IF(ISERROR(#REF!/B113)," ",(#REF!/B113))</f>
        <v> </v>
      </c>
      <c r="F113" s="307">
        <f>D113-'[6]Jūlijs'!D113</f>
        <v>1106941</v>
      </c>
      <c r="G113" s="317" t="s">
        <v>402</v>
      </c>
      <c r="H113" s="320">
        <f t="shared" si="16"/>
        <v>18829</v>
      </c>
      <c r="I113" s="320">
        <f t="shared" si="16"/>
        <v>0</v>
      </c>
      <c r="J113" s="320">
        <f t="shared" si="16"/>
        <v>10579</v>
      </c>
      <c r="K113" s="306">
        <f t="shared" si="10"/>
        <v>56.18460884805353</v>
      </c>
      <c r="L113" s="304">
        <f>J113-'[6]Jūlijs'!J113</f>
        <v>1107</v>
      </c>
      <c r="M113" s="290"/>
    </row>
    <row r="114" spans="1:13" ht="12.75">
      <c r="A114" s="228" t="s">
        <v>365</v>
      </c>
      <c r="B114" s="318">
        <f>SUM(B115)</f>
        <v>399579811</v>
      </c>
      <c r="C114" s="308">
        <f>SUM(C115)</f>
        <v>280651798</v>
      </c>
      <c r="D114" s="318">
        <f>SUM(D115)</f>
        <v>269299928</v>
      </c>
      <c r="E114" s="303">
        <f t="shared" si="9"/>
        <v>0.6739577941288931</v>
      </c>
      <c r="F114" s="322">
        <f>SUM(F115)</f>
        <v>32527240</v>
      </c>
      <c r="G114" s="228" t="s">
        <v>365</v>
      </c>
      <c r="H114" s="230">
        <f>SUM(H115)</f>
        <v>399580</v>
      </c>
      <c r="I114" s="230">
        <f>SUM(I115)</f>
        <v>280652</v>
      </c>
      <c r="J114" s="230">
        <f>SUM(J115)</f>
        <v>269300</v>
      </c>
      <c r="K114" s="306">
        <f t="shared" si="10"/>
        <v>67.39576555383152</v>
      </c>
      <c r="L114" s="230">
        <f>SUM(L115)</f>
        <v>32527</v>
      </c>
      <c r="M114" s="290"/>
    </row>
    <row r="115" spans="1:13" ht="12.75">
      <c r="A115" s="228" t="s">
        <v>406</v>
      </c>
      <c r="B115" s="229">
        <v>399579811</v>
      </c>
      <c r="C115" s="308">
        <f>243381576+37270222</f>
        <v>280651798</v>
      </c>
      <c r="D115" s="321">
        <v>269299928</v>
      </c>
      <c r="E115" s="303" t="str">
        <f>IF(ISERROR(#REF!/B115)," ",(#REF!/B115))</f>
        <v> </v>
      </c>
      <c r="F115" s="307">
        <f>D115-'[6]Jūlijs'!D115</f>
        <v>32527240</v>
      </c>
      <c r="G115" s="317" t="s">
        <v>406</v>
      </c>
      <c r="H115" s="320">
        <f>ROUND(B115/1000,0)</f>
        <v>399580</v>
      </c>
      <c r="I115" s="320">
        <f>ROUND(C115/1000,0)</f>
        <v>280652</v>
      </c>
      <c r="J115" s="320">
        <f t="shared" si="16"/>
        <v>269300</v>
      </c>
      <c r="K115" s="306">
        <f t="shared" si="10"/>
        <v>67.39576555383152</v>
      </c>
      <c r="L115" s="304">
        <f>J115-'[6]Jūlijs'!J115</f>
        <v>32527</v>
      </c>
      <c r="M115" s="290"/>
    </row>
    <row r="116" spans="1:13" ht="12.75">
      <c r="A116" s="228" t="s">
        <v>359</v>
      </c>
      <c r="B116" s="229">
        <f>SUM(B110-B114)</f>
        <v>-21584724</v>
      </c>
      <c r="C116" s="308">
        <f>SUM(C110-C114)</f>
        <v>-33049488</v>
      </c>
      <c r="D116" s="229">
        <f>SUM(D110-D114)</f>
        <v>-26035046</v>
      </c>
      <c r="E116" s="303">
        <f t="shared" si="9"/>
        <v>1.2061792404665448</v>
      </c>
      <c r="F116" s="307">
        <f>D116-'[6]Jūlijs'!D116</f>
        <v>-1373873</v>
      </c>
      <c r="G116" s="228" t="s">
        <v>359</v>
      </c>
      <c r="H116" s="230">
        <f>SUM(H110-H114)</f>
        <v>-21584</v>
      </c>
      <c r="I116" s="230">
        <f>SUM(I110-I114)</f>
        <v>-33050</v>
      </c>
      <c r="J116" s="230">
        <f>SUM(J110-J114)</f>
        <v>-26035</v>
      </c>
      <c r="K116" s="306"/>
      <c r="L116" s="304">
        <f>J116-'[6]Jūlijs'!J116</f>
        <v>-1374</v>
      </c>
      <c r="M116" s="290"/>
    </row>
    <row r="117" spans="1:13" ht="12.75">
      <c r="A117" s="228" t="s">
        <v>360</v>
      </c>
      <c r="B117" s="229">
        <v>21584724</v>
      </c>
      <c r="C117" s="308">
        <v>33049488</v>
      </c>
      <c r="D117" s="229">
        <v>26046750</v>
      </c>
      <c r="E117" s="303">
        <f t="shared" si="9"/>
        <v>1.2067214757992737</v>
      </c>
      <c r="F117" s="307">
        <f>D117-'[6]Jūlijs'!D117</f>
        <v>1370488</v>
      </c>
      <c r="G117" s="228" t="s">
        <v>360</v>
      </c>
      <c r="H117" s="304">
        <f>ROUND(B117/1000,0)</f>
        <v>21585</v>
      </c>
      <c r="I117" s="304">
        <f>ROUND(C117/1000,0)</f>
        <v>33049</v>
      </c>
      <c r="J117" s="304">
        <f>ROUND(D117/1000,0)</f>
        <v>26047</v>
      </c>
      <c r="K117" s="306"/>
      <c r="L117" s="304">
        <f>J117-'[6]Jūlijs'!J117</f>
        <v>1371</v>
      </c>
      <c r="M117" s="290"/>
    </row>
    <row r="118" spans="1:13" ht="12.75">
      <c r="A118" s="173" t="s">
        <v>407</v>
      </c>
      <c r="B118" s="229"/>
      <c r="C118" s="308"/>
      <c r="D118" s="229"/>
      <c r="E118" s="303" t="str">
        <f t="shared" si="9"/>
        <v> </v>
      </c>
      <c r="F118" s="307"/>
      <c r="G118" s="173" t="s">
        <v>407</v>
      </c>
      <c r="H118" s="230"/>
      <c r="I118" s="230"/>
      <c r="J118" s="230"/>
      <c r="K118" s="306"/>
      <c r="L118" s="230"/>
      <c r="M118" s="290"/>
    </row>
    <row r="119" spans="1:13" ht="12.75">
      <c r="A119" s="228" t="s">
        <v>363</v>
      </c>
      <c r="B119" s="229">
        <f>SUM(B120:B122)</f>
        <v>36515639</v>
      </c>
      <c r="C119" s="308">
        <f>3738719+3512825+3494337+2946311+2860213+2782857+2722523+2803661</f>
        <v>24861446</v>
      </c>
      <c r="D119" s="229">
        <f>SUM(D120:D122)</f>
        <v>24583583</v>
      </c>
      <c r="E119" s="303">
        <f t="shared" si="9"/>
        <v>0.6732343640487847</v>
      </c>
      <c r="F119" s="307">
        <f>SUM(F120:F122)</f>
        <v>2765849</v>
      </c>
      <c r="G119" s="228" t="s">
        <v>363</v>
      </c>
      <c r="H119" s="230">
        <f>SUM(H120:H122)</f>
        <v>36515</v>
      </c>
      <c r="I119" s="320">
        <f aca="true" t="shared" si="17" ref="H119:J122">ROUND(C119/1000,0)</f>
        <v>24861</v>
      </c>
      <c r="J119" s="230">
        <f>SUM(J120:J122)</f>
        <v>24584</v>
      </c>
      <c r="K119" s="306">
        <f t="shared" si="10"/>
        <v>67.32575653840888</v>
      </c>
      <c r="L119" s="304">
        <f>SUM(L120:L122)</f>
        <v>2766</v>
      </c>
      <c r="M119" s="290"/>
    </row>
    <row r="120" spans="1:13" ht="12.75">
      <c r="A120" s="317" t="s">
        <v>400</v>
      </c>
      <c r="B120" s="318">
        <v>32186474</v>
      </c>
      <c r="C120" s="319"/>
      <c r="D120" s="318">
        <v>20861123</v>
      </c>
      <c r="E120" s="303">
        <f t="shared" si="9"/>
        <v>0.6481332189415964</v>
      </c>
      <c r="F120" s="307">
        <f>D120-'[6]Jūlijs'!D120</f>
        <v>2696207</v>
      </c>
      <c r="G120" s="317" t="s">
        <v>400</v>
      </c>
      <c r="H120" s="320">
        <f t="shared" si="17"/>
        <v>32186</v>
      </c>
      <c r="I120" s="320">
        <f t="shared" si="17"/>
        <v>0</v>
      </c>
      <c r="J120" s="320">
        <f t="shared" si="17"/>
        <v>20861</v>
      </c>
      <c r="K120" s="306">
        <f t="shared" si="10"/>
        <v>64.81389423973157</v>
      </c>
      <c r="L120" s="304">
        <f>J120-'[6]Jūlijs'!J120</f>
        <v>2696</v>
      </c>
      <c r="M120" s="290"/>
    </row>
    <row r="121" spans="1:13" ht="12.75">
      <c r="A121" s="317" t="s">
        <v>401</v>
      </c>
      <c r="B121" s="318">
        <v>468801</v>
      </c>
      <c r="C121" s="319"/>
      <c r="D121" s="318">
        <v>290957</v>
      </c>
      <c r="E121" s="303">
        <f t="shared" si="9"/>
        <v>0.6206407409540509</v>
      </c>
      <c r="F121" s="307">
        <f>D121-'[6]Jūlijs'!D121</f>
        <v>35749</v>
      </c>
      <c r="G121" s="317" t="s">
        <v>401</v>
      </c>
      <c r="H121" s="320">
        <f>ROUND(B121/1000,0)</f>
        <v>469</v>
      </c>
      <c r="I121" s="320">
        <f t="shared" si="17"/>
        <v>0</v>
      </c>
      <c r="J121" s="320">
        <f>ROUND(D121/1000,0)</f>
        <v>291</v>
      </c>
      <c r="K121" s="306">
        <f t="shared" si="10"/>
        <v>62.046908315565034</v>
      </c>
      <c r="L121" s="304">
        <f>J121-'[6]Jūlijs'!J121</f>
        <v>36</v>
      </c>
      <c r="M121" s="290"/>
    </row>
    <row r="122" spans="1:13" ht="12.75">
      <c r="A122" s="317" t="s">
        <v>402</v>
      </c>
      <c r="B122" s="318">
        <f>36515639-32186474-468801</f>
        <v>3860364</v>
      </c>
      <c r="C122" s="319"/>
      <c r="D122" s="318">
        <f>3722460-D121</f>
        <v>3431503</v>
      </c>
      <c r="E122" s="303">
        <f t="shared" si="9"/>
        <v>0.888906590155747</v>
      </c>
      <c r="F122" s="307">
        <f>D122-'[6]Jūlijs'!D122</f>
        <v>33893</v>
      </c>
      <c r="G122" s="317" t="s">
        <v>402</v>
      </c>
      <c r="H122" s="320">
        <f>ROUND(B122/1000,0)</f>
        <v>3860</v>
      </c>
      <c r="I122" s="320">
        <f t="shared" si="17"/>
        <v>0</v>
      </c>
      <c r="J122" s="320">
        <f t="shared" si="17"/>
        <v>3432</v>
      </c>
      <c r="K122" s="306">
        <f t="shared" si="10"/>
        <v>88.9119170984456</v>
      </c>
      <c r="L122" s="304">
        <f>J122-'[6]Jūlijs'!J122</f>
        <v>34</v>
      </c>
      <c r="M122" s="290"/>
    </row>
    <row r="123" spans="1:13" ht="12.75">
      <c r="A123" s="228" t="s">
        <v>365</v>
      </c>
      <c r="B123" s="318">
        <f>SUM(B124:B124)</f>
        <v>36168751</v>
      </c>
      <c r="C123" s="308">
        <f>SUM(C124)</f>
        <v>24879402</v>
      </c>
      <c r="D123" s="318">
        <f>SUM(D124:D124)</f>
        <v>22536192</v>
      </c>
      <c r="E123" s="303">
        <f t="shared" si="9"/>
        <v>0.6230846069304411</v>
      </c>
      <c r="F123" s="322">
        <f>SUM(F124:F124)</f>
        <v>2365427</v>
      </c>
      <c r="G123" s="228" t="s">
        <v>365</v>
      </c>
      <c r="H123" s="230">
        <f>SUM(H124:H124)</f>
        <v>36169</v>
      </c>
      <c r="I123" s="230">
        <f>SUM(I124:I124)</f>
        <v>24879</v>
      </c>
      <c r="J123" s="230">
        <f>SUM(J124:J124)</f>
        <v>22536</v>
      </c>
      <c r="K123" s="306">
        <f t="shared" si="10"/>
        <v>62.30750089855954</v>
      </c>
      <c r="L123" s="230">
        <f>SUM(L124:L124)</f>
        <v>2365</v>
      </c>
      <c r="M123" s="290"/>
    </row>
    <row r="124" spans="1:13" ht="12.75">
      <c r="A124" s="317" t="s">
        <v>406</v>
      </c>
      <c r="B124" s="318">
        <v>36168751</v>
      </c>
      <c r="C124" s="308">
        <f>3662852+3559932+3456423+2959536+2877673+2819349+2735676+2807961</f>
        <v>24879402</v>
      </c>
      <c r="D124" s="318">
        <v>22536192</v>
      </c>
      <c r="E124" s="323">
        <f t="shared" si="9"/>
        <v>0.6230846069304411</v>
      </c>
      <c r="F124" s="307">
        <f>D124-'[6]Jūlijs'!D124</f>
        <v>2365427</v>
      </c>
      <c r="G124" s="317" t="s">
        <v>406</v>
      </c>
      <c r="H124" s="320">
        <f>ROUND(B124/1000,0)</f>
        <v>36169</v>
      </c>
      <c r="I124" s="320">
        <f>ROUND(C124/1000,0)</f>
        <v>24879</v>
      </c>
      <c r="J124" s="320">
        <f>ROUND(D124/1000,0)</f>
        <v>22536</v>
      </c>
      <c r="K124" s="306">
        <f t="shared" si="10"/>
        <v>62.30750089855954</v>
      </c>
      <c r="L124" s="304">
        <f>J124-'[6]Jūlijs'!J124</f>
        <v>2365</v>
      </c>
      <c r="M124" s="324"/>
    </row>
    <row r="125" spans="1:13" ht="12.75">
      <c r="A125" s="228" t="s">
        <v>359</v>
      </c>
      <c r="B125" s="229">
        <f>SUM(B119-B123)</f>
        <v>346888</v>
      </c>
      <c r="C125" s="308">
        <f>SUM(C119-C123)</f>
        <v>-17956</v>
      </c>
      <c r="D125" s="229">
        <f>SUM(D119-D123)</f>
        <v>2047391</v>
      </c>
      <c r="E125" s="323"/>
      <c r="F125" s="307">
        <f>D125-'[6]Jūlijs'!D125</f>
        <v>400422</v>
      </c>
      <c r="G125" s="228" t="s">
        <v>359</v>
      </c>
      <c r="H125" s="230">
        <f>SUM(H119-H123)</f>
        <v>346</v>
      </c>
      <c r="I125" s="230">
        <f>SUM(I119-I123)</f>
        <v>-18</v>
      </c>
      <c r="J125" s="230">
        <f>SUM(J119-J123)</f>
        <v>2048</v>
      </c>
      <c r="K125" s="306"/>
      <c r="L125" s="304">
        <f>J125-'[6]Jūlijs'!J125</f>
        <v>401</v>
      </c>
      <c r="M125" s="290"/>
    </row>
    <row r="126" spans="1:13" ht="12.75">
      <c r="A126" s="173" t="s">
        <v>408</v>
      </c>
      <c r="B126" s="229"/>
      <c r="C126" s="308"/>
      <c r="D126" s="229"/>
      <c r="E126" s="303" t="str">
        <f t="shared" si="9"/>
        <v> </v>
      </c>
      <c r="F126" s="307"/>
      <c r="G126" s="173" t="s">
        <v>408</v>
      </c>
      <c r="H126" s="230"/>
      <c r="I126" s="230"/>
      <c r="J126" s="230"/>
      <c r="K126" s="306"/>
      <c r="L126" s="230"/>
      <c r="M126" s="290"/>
    </row>
    <row r="127" spans="1:13" ht="12.75">
      <c r="A127" s="228" t="s">
        <v>363</v>
      </c>
      <c r="B127" s="229">
        <f>SUM(B128:B130)</f>
        <v>1057977</v>
      </c>
      <c r="C127" s="308">
        <f>80213+79269+85249+86862+85748+88205+97685+89039</f>
        <v>692270</v>
      </c>
      <c r="D127" s="229">
        <f>SUM(D128:D130)</f>
        <v>687374</v>
      </c>
      <c r="E127" s="303">
        <f t="shared" si="9"/>
        <v>0.649705995498957</v>
      </c>
      <c r="F127" s="307">
        <f>SUM(F128:F130)</f>
        <v>87779</v>
      </c>
      <c r="G127" s="228" t="s">
        <v>363</v>
      </c>
      <c r="H127" s="230">
        <f>SUM(H128:H130)</f>
        <v>1058</v>
      </c>
      <c r="I127" s="320">
        <f>ROUND(C127/1000,0)</f>
        <v>692</v>
      </c>
      <c r="J127" s="230">
        <f>SUM(J128:J130)</f>
        <v>687</v>
      </c>
      <c r="K127" s="306">
        <f t="shared" si="10"/>
        <v>64.93383742911153</v>
      </c>
      <c r="L127" s="230">
        <f>SUM(L128:L130)</f>
        <v>87</v>
      </c>
      <c r="M127" s="290"/>
    </row>
    <row r="128" spans="1:13" ht="12" customHeight="1">
      <c r="A128" s="317" t="s">
        <v>400</v>
      </c>
      <c r="B128" s="318">
        <v>1041327</v>
      </c>
      <c r="C128" s="308"/>
      <c r="D128" s="318">
        <v>674918</v>
      </c>
      <c r="E128" s="303">
        <f t="shared" si="9"/>
        <v>0.6481326230857358</v>
      </c>
      <c r="F128" s="307">
        <f>D128-'[6]Jūlijs'!D128</f>
        <v>87230</v>
      </c>
      <c r="G128" s="317" t="s">
        <v>400</v>
      </c>
      <c r="H128" s="320">
        <f>ROUND(B128/1000,0)</f>
        <v>1041</v>
      </c>
      <c r="I128" s="320">
        <f>ROUND(C128/1000,0)</f>
        <v>0</v>
      </c>
      <c r="J128" s="320">
        <f>ROUND(D128/1000,0)</f>
        <v>675</v>
      </c>
      <c r="K128" s="306">
        <f t="shared" si="10"/>
        <v>64.84149855907782</v>
      </c>
      <c r="L128" s="304">
        <f>J128-'[6]Jūlijs'!J128</f>
        <v>87</v>
      </c>
      <c r="M128" s="290"/>
    </row>
    <row r="129" spans="1:13" ht="12.75" hidden="1">
      <c r="A129" s="317"/>
      <c r="B129" s="318"/>
      <c r="C129" s="308"/>
      <c r="D129" s="318"/>
      <c r="E129" s="303" t="str">
        <f t="shared" si="9"/>
        <v> </v>
      </c>
      <c r="F129" s="322"/>
      <c r="G129" s="317"/>
      <c r="H129" s="325"/>
      <c r="I129" s="325"/>
      <c r="J129" s="325"/>
      <c r="K129" s="306" t="e">
        <f t="shared" si="10"/>
        <v>#VALUE!</v>
      </c>
      <c r="L129" s="304">
        <f>J129-'[6]Jūlijs'!J129</f>
        <v>0</v>
      </c>
      <c r="M129" s="290"/>
    </row>
    <row r="130" spans="1:13" ht="12.75">
      <c r="A130" s="317" t="s">
        <v>402</v>
      </c>
      <c r="B130" s="318">
        <v>16650</v>
      </c>
      <c r="C130" s="308"/>
      <c r="D130" s="318">
        <v>12456</v>
      </c>
      <c r="E130" s="303">
        <f t="shared" si="9"/>
        <v>0.7481081081081081</v>
      </c>
      <c r="F130" s="307">
        <f>D130-'[6]Jūlijs'!D130</f>
        <v>549</v>
      </c>
      <c r="G130" s="317" t="s">
        <v>402</v>
      </c>
      <c r="H130" s="320">
        <f>ROUND(B130/1000,0)</f>
        <v>17</v>
      </c>
      <c r="I130" s="320">
        <f>ROUND(C130/1000,0)</f>
        <v>0</v>
      </c>
      <c r="J130" s="320">
        <f>ROUND(D130/1000,0)</f>
        <v>12</v>
      </c>
      <c r="K130" s="306">
        <f t="shared" si="10"/>
        <v>70.58823529411765</v>
      </c>
      <c r="L130" s="304">
        <f>J130-'[6]Jūlijs'!J130</f>
        <v>0</v>
      </c>
      <c r="M130" s="290"/>
    </row>
    <row r="131" spans="1:13" ht="12.75">
      <c r="A131" s="228" t="s">
        <v>365</v>
      </c>
      <c r="B131" s="318">
        <f>SUM(B132:B133)</f>
        <v>1192801</v>
      </c>
      <c r="C131" s="308">
        <f>SUM(C132)</f>
        <v>578037</v>
      </c>
      <c r="D131" s="318">
        <f>SUM(D132:D133)</f>
        <v>520347</v>
      </c>
      <c r="E131" s="303">
        <f t="shared" si="9"/>
        <v>0.4362395739104846</v>
      </c>
      <c r="F131" s="322">
        <f>SUM(F132:F133)</f>
        <v>58801</v>
      </c>
      <c r="G131" s="228" t="s">
        <v>365</v>
      </c>
      <c r="H131" s="230">
        <f>SUM(H132:H133)</f>
        <v>1193</v>
      </c>
      <c r="I131" s="230">
        <f>SUM(I132:I133)</f>
        <v>578</v>
      </c>
      <c r="J131" s="230">
        <f>SUM(J132:J133)</f>
        <v>520</v>
      </c>
      <c r="K131" s="306">
        <f t="shared" si="10"/>
        <v>43.58759430008382</v>
      </c>
      <c r="L131" s="230">
        <f>SUM(L132:L133)</f>
        <v>58</v>
      </c>
      <c r="M131" s="290"/>
    </row>
    <row r="132" spans="1:13" ht="12" customHeight="1">
      <c r="A132" s="228" t="s">
        <v>406</v>
      </c>
      <c r="B132" s="229">
        <v>1192801</v>
      </c>
      <c r="C132" s="308">
        <f>61941+67993+68009+67339+74026+76333+80085+82311</f>
        <v>578037</v>
      </c>
      <c r="D132" s="229">
        <v>520347</v>
      </c>
      <c r="E132" s="303">
        <f t="shared" si="9"/>
        <v>0.4362395739104846</v>
      </c>
      <c r="F132" s="307">
        <f>D132-'[6]Jūlijs'!D132</f>
        <v>58801</v>
      </c>
      <c r="G132" s="317" t="s">
        <v>406</v>
      </c>
      <c r="H132" s="320">
        <f>ROUND(B132/1000,0)</f>
        <v>1193</v>
      </c>
      <c r="I132" s="320">
        <f>ROUND(C132/1000,0)</f>
        <v>578</v>
      </c>
      <c r="J132" s="320">
        <f>ROUND(D132/1000,0)</f>
        <v>520</v>
      </c>
      <c r="K132" s="306">
        <f t="shared" si="10"/>
        <v>43.58759430008382</v>
      </c>
      <c r="L132" s="304">
        <f>J132-'[6]Jūlijs'!J132</f>
        <v>58</v>
      </c>
      <c r="M132" s="290"/>
    </row>
    <row r="133" spans="1:13" ht="12.75" hidden="1">
      <c r="A133" s="228"/>
      <c r="B133" s="229"/>
      <c r="C133" s="308"/>
      <c r="D133" s="229"/>
      <c r="E133" s="303" t="str">
        <f t="shared" si="9"/>
        <v> </v>
      </c>
      <c r="F133" s="307"/>
      <c r="G133" s="228"/>
      <c r="H133" s="230"/>
      <c r="I133" s="230"/>
      <c r="J133" s="230"/>
      <c r="K133" s="306" t="e">
        <f t="shared" si="10"/>
        <v>#VALUE!</v>
      </c>
      <c r="L133" s="230"/>
      <c r="M133" s="290"/>
    </row>
    <row r="134" spans="1:13" ht="12.75">
      <c r="A134" s="228" t="s">
        <v>359</v>
      </c>
      <c r="B134" s="229">
        <f>SUM(B127-B131)</f>
        <v>-134824</v>
      </c>
      <c r="C134" s="308">
        <f>SUM(C127-C131)</f>
        <v>114233</v>
      </c>
      <c r="D134" s="229">
        <f>SUM(D127-D131)</f>
        <v>167027</v>
      </c>
      <c r="E134" s="303"/>
      <c r="F134" s="307">
        <f>D134-'[6]Jūlijs'!D134</f>
        <v>28978</v>
      </c>
      <c r="G134" s="228" t="s">
        <v>359</v>
      </c>
      <c r="H134" s="230">
        <f>SUM(H127-H131)</f>
        <v>-135</v>
      </c>
      <c r="I134" s="230">
        <f>SUM(I127-I131)</f>
        <v>114</v>
      </c>
      <c r="J134" s="230">
        <f>SUM(J127-J131)</f>
        <v>167</v>
      </c>
      <c r="K134" s="306"/>
      <c r="L134" s="304">
        <f>J134-'[6]Jūlijs'!J134</f>
        <v>29</v>
      </c>
      <c r="M134" s="290"/>
    </row>
    <row r="135" spans="1:13" ht="12.75">
      <c r="A135" s="228" t="s">
        <v>360</v>
      </c>
      <c r="B135" s="229">
        <v>134824</v>
      </c>
      <c r="C135" s="308">
        <f>-107505-6728</f>
        <v>-114233</v>
      </c>
      <c r="D135" s="229"/>
      <c r="E135" s="303">
        <f t="shared" si="9"/>
        <v>0</v>
      </c>
      <c r="F135" s="307">
        <f>D135-'[6]Jūlijs'!D135</f>
        <v>0</v>
      </c>
      <c r="G135" s="228" t="s">
        <v>360</v>
      </c>
      <c r="H135" s="304">
        <f>ROUND(B135/1000,0)</f>
        <v>135</v>
      </c>
      <c r="I135" s="304">
        <f>ROUND(C135/1000,0)</f>
        <v>-114</v>
      </c>
      <c r="J135" s="304">
        <f>ROUND(D135/1000,0)</f>
        <v>0</v>
      </c>
      <c r="K135" s="306"/>
      <c r="L135" s="304">
        <f>J135-'[6]Jūlijs'!J135</f>
        <v>0</v>
      </c>
      <c r="M135" s="290"/>
    </row>
    <row r="136" spans="1:13" ht="25.5">
      <c r="A136" s="100" t="s">
        <v>409</v>
      </c>
      <c r="B136" s="229"/>
      <c r="C136" s="308"/>
      <c r="D136" s="229"/>
      <c r="E136" s="303" t="str">
        <f t="shared" si="9"/>
        <v> </v>
      </c>
      <c r="F136" s="307"/>
      <c r="G136" s="100" t="s">
        <v>409</v>
      </c>
      <c r="H136" s="230"/>
      <c r="I136" s="230"/>
      <c r="J136" s="230"/>
      <c r="K136" s="306"/>
      <c r="L136" s="230"/>
      <c r="M136" s="290"/>
    </row>
    <row r="137" spans="1:13" ht="12.75">
      <c r="A137" s="228" t="s">
        <v>363</v>
      </c>
      <c r="B137" s="229">
        <f>SUM(B138:B140)</f>
        <v>84878185</v>
      </c>
      <c r="C137" s="308">
        <f>6427352+6350601+6836308+6967384+6876872+7076480+7846409+7144208</f>
        <v>55525614</v>
      </c>
      <c r="D137" s="229">
        <f>SUM(D138:D140)</f>
        <v>55174326</v>
      </c>
      <c r="E137" s="303">
        <f t="shared" si="9"/>
        <v>0.6500413033101498</v>
      </c>
      <c r="F137" s="307">
        <f>SUM(F138:F140)</f>
        <v>7093170</v>
      </c>
      <c r="G137" s="228" t="s">
        <v>363</v>
      </c>
      <c r="H137" s="230">
        <f>SUM(H138:H140)</f>
        <v>84878</v>
      </c>
      <c r="I137" s="304">
        <f>ROUND(C137/1000,0)</f>
        <v>55526</v>
      </c>
      <c r="J137" s="230">
        <f>SUM(J138:J140)</f>
        <v>55175</v>
      </c>
      <c r="K137" s="306">
        <f t="shared" si="10"/>
        <v>65.00506609486557</v>
      </c>
      <c r="L137" s="230">
        <f>SUM(L138:L140)</f>
        <v>7094</v>
      </c>
      <c r="M137" s="290"/>
    </row>
    <row r="138" spans="1:13" ht="12" customHeight="1">
      <c r="A138" s="317" t="s">
        <v>400</v>
      </c>
      <c r="B138" s="318">
        <v>84584160</v>
      </c>
      <c r="C138" s="308"/>
      <c r="D138" s="318">
        <v>54821804</v>
      </c>
      <c r="E138" s="303">
        <f t="shared" si="9"/>
        <v>0.648133220215227</v>
      </c>
      <c r="F138" s="307">
        <f>D138-'[6]Jūlijs'!D138</f>
        <v>7085474</v>
      </c>
      <c r="G138" s="317" t="s">
        <v>400</v>
      </c>
      <c r="H138" s="320">
        <f>ROUND(B138/1000,0)</f>
        <v>84584</v>
      </c>
      <c r="I138" s="320">
        <f>ROUND(C138/1000,0)</f>
        <v>0</v>
      </c>
      <c r="J138" s="320">
        <f>ROUND(D138/1000,0)</f>
        <v>54822</v>
      </c>
      <c r="K138" s="306">
        <f t="shared" si="10"/>
        <v>64.81367634540811</v>
      </c>
      <c r="L138" s="304">
        <f>J138-'[6]Jūlijs'!J138</f>
        <v>7086</v>
      </c>
      <c r="M138" s="290"/>
    </row>
    <row r="139" spans="1:13" ht="12.75" hidden="1">
      <c r="A139" s="317"/>
      <c r="B139" s="318"/>
      <c r="C139" s="308"/>
      <c r="D139" s="318"/>
      <c r="E139" s="303" t="str">
        <f t="shared" si="9"/>
        <v> </v>
      </c>
      <c r="F139" s="322"/>
      <c r="G139" s="317"/>
      <c r="H139" s="325"/>
      <c r="I139" s="325"/>
      <c r="J139" s="325"/>
      <c r="K139" s="306" t="e">
        <f t="shared" si="10"/>
        <v>#VALUE!</v>
      </c>
      <c r="L139" s="325"/>
      <c r="M139" s="290"/>
    </row>
    <row r="140" spans="1:13" ht="12.75">
      <c r="A140" s="317" t="s">
        <v>402</v>
      </c>
      <c r="B140" s="318">
        <v>294025</v>
      </c>
      <c r="C140" s="308"/>
      <c r="D140" s="318">
        <v>352522</v>
      </c>
      <c r="E140" s="303">
        <f aca="true" t="shared" si="18" ref="E140:E183">IF(ISERROR(D140/B140)," ",(D140/B140))</f>
        <v>1.198952470028059</v>
      </c>
      <c r="F140" s="307">
        <f>D140-'[6]Jūlijs'!D140</f>
        <v>7696</v>
      </c>
      <c r="G140" s="317" t="s">
        <v>402</v>
      </c>
      <c r="H140" s="320">
        <f>ROUND(B140/1000,0)</f>
        <v>294</v>
      </c>
      <c r="I140" s="320">
        <f>ROUND(C140/1000,0)</f>
        <v>0</v>
      </c>
      <c r="J140" s="320">
        <f>ROUND(D140/1000,0)</f>
        <v>353</v>
      </c>
      <c r="K140" s="306">
        <f t="shared" si="10"/>
        <v>120.06802721088434</v>
      </c>
      <c r="L140" s="304">
        <f>J140-'[6]Jūlijs'!J140</f>
        <v>8</v>
      </c>
      <c r="M140" s="290"/>
    </row>
    <row r="141" spans="1:13" ht="12.75">
      <c r="A141" s="228" t="s">
        <v>365</v>
      </c>
      <c r="B141" s="318">
        <f>B142</f>
        <v>95023500</v>
      </c>
      <c r="C141" s="308">
        <f>SUM(C142)</f>
        <v>65958450</v>
      </c>
      <c r="D141" s="318">
        <f>D142</f>
        <v>58315964</v>
      </c>
      <c r="E141" s="303">
        <f t="shared" si="18"/>
        <v>0.613700442522113</v>
      </c>
      <c r="F141" s="322">
        <f>F142</f>
        <v>6730166</v>
      </c>
      <c r="G141" s="228" t="s">
        <v>365</v>
      </c>
      <c r="H141" s="230">
        <f>H142</f>
        <v>95024</v>
      </c>
      <c r="I141" s="230">
        <f>I142</f>
        <v>65958</v>
      </c>
      <c r="J141" s="230">
        <f>J142</f>
        <v>58316</v>
      </c>
      <c r="K141" s="306">
        <f aca="true" t="shared" si="19" ref="K141:K183">IF(ISERROR(ROUND(J141,0)/ROUND(H141,0))," ",(ROUND(J141,)/ROUND(H141,)))*100</f>
        <v>61.36975921872369</v>
      </c>
      <c r="L141" s="230">
        <f>L142</f>
        <v>6730</v>
      </c>
      <c r="M141" s="290"/>
    </row>
    <row r="142" spans="1:13" ht="12.75">
      <c r="A142" s="228" t="s">
        <v>406</v>
      </c>
      <c r="B142" s="229">
        <v>95023500</v>
      </c>
      <c r="C142" s="308">
        <f>9147308+9128241+9221377+7554069+8507155+7728539+6685047+7986714</f>
        <v>65958450</v>
      </c>
      <c r="D142" s="229">
        <v>58315964</v>
      </c>
      <c r="E142" s="303">
        <f t="shared" si="18"/>
        <v>0.613700442522113</v>
      </c>
      <c r="F142" s="307">
        <f>D142-'[6]Jūlijs'!D142</f>
        <v>6730166</v>
      </c>
      <c r="G142" s="317" t="s">
        <v>406</v>
      </c>
      <c r="H142" s="320">
        <f>ROUND(B142/1000,0)</f>
        <v>95024</v>
      </c>
      <c r="I142" s="320">
        <f>ROUND(C142/1000,0)</f>
        <v>65958</v>
      </c>
      <c r="J142" s="320">
        <f>ROUND(D142/1000,0)</f>
        <v>58316</v>
      </c>
      <c r="K142" s="306">
        <f t="shared" si="19"/>
        <v>61.36975921872369</v>
      </c>
      <c r="L142" s="304">
        <f>J142-'[6]Jūlijs'!J142</f>
        <v>6730</v>
      </c>
      <c r="M142" s="290"/>
    </row>
    <row r="143" spans="1:13" ht="12.75">
      <c r="A143" s="228" t="s">
        <v>359</v>
      </c>
      <c r="B143" s="229">
        <f>SUM(B137-B141)</f>
        <v>-10145315</v>
      </c>
      <c r="C143" s="308">
        <f>SUM(C137-C141)</f>
        <v>-10432836</v>
      </c>
      <c r="D143" s="229">
        <f>SUM(D137-D141)</f>
        <v>-3141638</v>
      </c>
      <c r="E143" s="303">
        <f t="shared" si="18"/>
        <v>0.309663918764474</v>
      </c>
      <c r="F143" s="307">
        <f>D143-'[6]Jūlijs'!D143</f>
        <v>363004</v>
      </c>
      <c r="G143" s="228" t="s">
        <v>359</v>
      </c>
      <c r="H143" s="230">
        <f>SUM(H137-H141)</f>
        <v>-10146</v>
      </c>
      <c r="I143" s="230">
        <f>SUM(I137-I141)</f>
        <v>-10432</v>
      </c>
      <c r="J143" s="230">
        <f>SUM(J137-J141)</f>
        <v>-3141</v>
      </c>
      <c r="K143" s="306">
        <f t="shared" si="19"/>
        <v>30.95801301005322</v>
      </c>
      <c r="L143" s="304">
        <f>J143-'[6]Jūlijs'!J143</f>
        <v>364</v>
      </c>
      <c r="M143" s="290"/>
    </row>
    <row r="144" spans="1:13" ht="12.75">
      <c r="A144" s="228" t="s">
        <v>360</v>
      </c>
      <c r="B144" s="229">
        <v>10145315</v>
      </c>
      <c r="C144" s="308">
        <f>9590330+842506</f>
        <v>10432836</v>
      </c>
      <c r="D144" s="229">
        <v>3141851</v>
      </c>
      <c r="E144" s="303">
        <f t="shared" si="18"/>
        <v>0.3096849136769041</v>
      </c>
      <c r="F144" s="307">
        <f>D144-'[6]Jūlijs'!D144</f>
        <v>-363017</v>
      </c>
      <c r="G144" s="228" t="s">
        <v>360</v>
      </c>
      <c r="H144" s="304">
        <f>ROUND(B144/1000,0)</f>
        <v>10145</v>
      </c>
      <c r="I144" s="304">
        <f>ROUND(C144/1000,0)</f>
        <v>10433</v>
      </c>
      <c r="J144" s="304">
        <f>ROUND(D144/1000,0)</f>
        <v>3142</v>
      </c>
      <c r="K144" s="306">
        <f t="shared" si="19"/>
        <v>30.970921636274028</v>
      </c>
      <c r="L144" s="304">
        <f>J144-'[6]Jūlijs'!J144</f>
        <v>-363</v>
      </c>
      <c r="M144" s="290"/>
    </row>
    <row r="145" spans="1:13" ht="12.75">
      <c r="A145" s="173" t="s">
        <v>410</v>
      </c>
      <c r="B145" s="229"/>
      <c r="C145" s="308"/>
      <c r="D145" s="229"/>
      <c r="E145" s="303" t="str">
        <f t="shared" si="18"/>
        <v> </v>
      </c>
      <c r="F145" s="307"/>
      <c r="G145" s="173" t="s">
        <v>410</v>
      </c>
      <c r="H145" s="230"/>
      <c r="I145" s="230"/>
      <c r="J145" s="230"/>
      <c r="K145" s="306"/>
      <c r="L145" s="230"/>
      <c r="M145" s="290"/>
    </row>
    <row r="146" spans="1:13" ht="12.75">
      <c r="A146" s="228" t="s">
        <v>363</v>
      </c>
      <c r="B146" s="229">
        <f>SUM(B147:B148)</f>
        <v>10125184</v>
      </c>
      <c r="C146" s="308">
        <f>859370+904266+875156+899817+945726+816794+855817+757217</f>
        <v>6914163</v>
      </c>
      <c r="D146" s="229">
        <f>SUM(D147:D148)</f>
        <v>6329091</v>
      </c>
      <c r="E146" s="303">
        <f t="shared" si="18"/>
        <v>0.6250840478553279</v>
      </c>
      <c r="F146" s="307">
        <f>SUM(F147:F148)</f>
        <v>172145</v>
      </c>
      <c r="G146" s="228" t="s">
        <v>363</v>
      </c>
      <c r="H146" s="230">
        <f>SUM(H147:H148)</f>
        <v>10125</v>
      </c>
      <c r="I146" s="304">
        <f aca="true" t="shared" si="20" ref="H146:J148">ROUND(C146/1000,0)</f>
        <v>6914</v>
      </c>
      <c r="J146" s="230">
        <f>SUM(J147:J148)</f>
        <v>6329</v>
      </c>
      <c r="K146" s="306">
        <f t="shared" si="19"/>
        <v>62.50864197530864</v>
      </c>
      <c r="L146" s="304">
        <f>SUM(L147:L148)</f>
        <v>172</v>
      </c>
      <c r="M146" s="290"/>
    </row>
    <row r="147" spans="1:13" ht="12.75">
      <c r="A147" s="317" t="s">
        <v>401</v>
      </c>
      <c r="B147" s="318">
        <f>280000+1890000</f>
        <v>2170000</v>
      </c>
      <c r="C147" s="319"/>
      <c r="D147" s="318">
        <v>1503775</v>
      </c>
      <c r="E147" s="303">
        <f t="shared" si="18"/>
        <v>0.6929838709677419</v>
      </c>
      <c r="F147" s="307">
        <f>D147-'[6]Jūlijs'!D147</f>
        <v>172145</v>
      </c>
      <c r="G147" s="317" t="s">
        <v>401</v>
      </c>
      <c r="H147" s="320">
        <f t="shared" si="20"/>
        <v>2170</v>
      </c>
      <c r="I147" s="320">
        <f t="shared" si="20"/>
        <v>0</v>
      </c>
      <c r="J147" s="320">
        <f>ROUND(D147/1000,0)</f>
        <v>1504</v>
      </c>
      <c r="K147" s="306">
        <f t="shared" si="19"/>
        <v>69.30875576036867</v>
      </c>
      <c r="L147" s="304">
        <f>J147-'[6]Jūlijs'!J147</f>
        <v>172</v>
      </c>
      <c r="M147" s="290"/>
    </row>
    <row r="148" spans="1:13" ht="12.75">
      <c r="A148" s="317" t="s">
        <v>402</v>
      </c>
      <c r="B148" s="318">
        <f>10125184-2170000</f>
        <v>7955184</v>
      </c>
      <c r="C148" s="319"/>
      <c r="D148" s="318">
        <f>6329091-D147</f>
        <v>4825316</v>
      </c>
      <c r="E148" s="303">
        <f t="shared" si="18"/>
        <v>0.6065624629172625</v>
      </c>
      <c r="F148" s="307">
        <f>D148-'[6]Jūlijs'!D148</f>
        <v>0</v>
      </c>
      <c r="G148" s="317" t="s">
        <v>402</v>
      </c>
      <c r="H148" s="320">
        <f t="shared" si="20"/>
        <v>7955</v>
      </c>
      <c r="I148" s="320">
        <f t="shared" si="20"/>
        <v>0</v>
      </c>
      <c r="J148" s="320">
        <f t="shared" si="20"/>
        <v>4825</v>
      </c>
      <c r="K148" s="306">
        <f t="shared" si="19"/>
        <v>60.653676932746706</v>
      </c>
      <c r="L148" s="304">
        <f>J148-'[6]Jūlijs'!J148</f>
        <v>0</v>
      </c>
      <c r="M148" s="290"/>
    </row>
    <row r="149" spans="1:13" ht="12.75">
      <c r="A149" s="228" t="s">
        <v>365</v>
      </c>
      <c r="B149" s="229">
        <f>SUM(B150:B151)</f>
        <v>14076184</v>
      </c>
      <c r="C149" s="308">
        <f>SUM(C150:C151)</f>
        <v>9583057</v>
      </c>
      <c r="D149" s="229">
        <f>SUM(D150:D151)</f>
        <v>7011124</v>
      </c>
      <c r="E149" s="303">
        <f t="shared" si="18"/>
        <v>0.49808413984926597</v>
      </c>
      <c r="F149" s="307">
        <f>SUM(F150:F151)</f>
        <v>886146</v>
      </c>
      <c r="G149" s="228" t="s">
        <v>365</v>
      </c>
      <c r="H149" s="230">
        <f>SUM(H150:H151)</f>
        <v>14076</v>
      </c>
      <c r="I149" s="230">
        <f>SUM(I150:I151)</f>
        <v>9583</v>
      </c>
      <c r="J149" s="230">
        <f>SUM(J150:J151)</f>
        <v>7011</v>
      </c>
      <c r="K149" s="306">
        <f t="shared" si="19"/>
        <v>49.808184143222505</v>
      </c>
      <c r="L149" s="230">
        <f>SUM(L150:L151)</f>
        <v>886</v>
      </c>
      <c r="M149" s="290"/>
    </row>
    <row r="150" spans="1:13" ht="12.75">
      <c r="A150" s="62" t="s">
        <v>406</v>
      </c>
      <c r="B150" s="229">
        <v>9845184</v>
      </c>
      <c r="C150" s="308">
        <f>826870+874266+850156+807317+905726+796794+835817+737217</f>
        <v>6634163</v>
      </c>
      <c r="D150" s="229">
        <v>6103455</v>
      </c>
      <c r="E150" s="303">
        <f t="shared" si="18"/>
        <v>0.6199432128439651</v>
      </c>
      <c r="F150" s="307">
        <f>D150-'[6]Jūlijs'!D150</f>
        <v>854165</v>
      </c>
      <c r="G150" s="326" t="s">
        <v>406</v>
      </c>
      <c r="H150" s="320">
        <f aca="true" t="shared" si="21" ref="H150:J151">ROUND(B150/1000,0)</f>
        <v>9845</v>
      </c>
      <c r="I150" s="320">
        <f t="shared" si="21"/>
        <v>6634</v>
      </c>
      <c r="J150" s="320">
        <f t="shared" si="21"/>
        <v>6103</v>
      </c>
      <c r="K150" s="306">
        <f t="shared" si="19"/>
        <v>61.99085830370746</v>
      </c>
      <c r="L150" s="304">
        <f>J150-'[6]Jūlijs'!J150</f>
        <v>854</v>
      </c>
      <c r="M150" s="290"/>
    </row>
    <row r="151" spans="1:13" ht="12.75">
      <c r="A151" s="62" t="s">
        <v>411</v>
      </c>
      <c r="B151" s="229">
        <v>4231000</v>
      </c>
      <c r="C151" s="308">
        <f>162741+426941+417131+681591+253440+536050+180000+291000</f>
        <v>2948894</v>
      </c>
      <c r="D151" s="229">
        <v>907669</v>
      </c>
      <c r="E151" s="303">
        <f t="shared" si="18"/>
        <v>0.21452824391396833</v>
      </c>
      <c r="F151" s="307">
        <f>D151-'[6]Jūlijs'!D151</f>
        <v>31981</v>
      </c>
      <c r="G151" s="326" t="s">
        <v>411</v>
      </c>
      <c r="H151" s="320">
        <f t="shared" si="21"/>
        <v>4231</v>
      </c>
      <c r="I151" s="320">
        <f t="shared" si="21"/>
        <v>2949</v>
      </c>
      <c r="J151" s="320">
        <f t="shared" si="21"/>
        <v>908</v>
      </c>
      <c r="K151" s="306">
        <f t="shared" si="19"/>
        <v>21.46064760103994</v>
      </c>
      <c r="L151" s="304">
        <f>J151-'[6]Jūlijs'!J151</f>
        <v>32</v>
      </c>
      <c r="M151" s="290"/>
    </row>
    <row r="152" spans="1:13" ht="12.75">
      <c r="A152" s="228" t="s">
        <v>359</v>
      </c>
      <c r="B152" s="229">
        <f>SUM(B146-B149)</f>
        <v>-3951000</v>
      </c>
      <c r="C152" s="308">
        <f>SUM(C146-C149)</f>
        <v>-2668894</v>
      </c>
      <c r="D152" s="229">
        <f>SUM(D146-D149)</f>
        <v>-682033</v>
      </c>
      <c r="E152" s="303">
        <f t="shared" si="18"/>
        <v>0.17262288028347253</v>
      </c>
      <c r="F152" s="307">
        <f>D152-'[6]Jūlijs'!D152</f>
        <v>-714001</v>
      </c>
      <c r="G152" s="228" t="s">
        <v>359</v>
      </c>
      <c r="H152" s="230">
        <f>SUM(H146-H149)</f>
        <v>-3951</v>
      </c>
      <c r="I152" s="230">
        <f>SUM(I146-I149)</f>
        <v>-2669</v>
      </c>
      <c r="J152" s="230">
        <f>SUM(J146-J149)</f>
        <v>-682</v>
      </c>
      <c r="K152" s="306">
        <f t="shared" si="19"/>
        <v>17.261452796760313</v>
      </c>
      <c r="L152" s="304">
        <f>J152-'[6]Jūlijs'!J152</f>
        <v>-714</v>
      </c>
      <c r="M152" s="290"/>
    </row>
    <row r="153" spans="1:13" ht="12.75">
      <c r="A153" s="228" t="s">
        <v>360</v>
      </c>
      <c r="B153" s="229">
        <v>3951000</v>
      </c>
      <c r="C153" s="308">
        <f>2397894+271000</f>
        <v>2668894</v>
      </c>
      <c r="D153" s="229">
        <v>188258</v>
      </c>
      <c r="E153" s="303">
        <f t="shared" si="18"/>
        <v>0.04764819033156163</v>
      </c>
      <c r="F153" s="307">
        <f>D153-'[6]Jūlijs'!D153</f>
        <v>-520688</v>
      </c>
      <c r="G153" s="228" t="s">
        <v>360</v>
      </c>
      <c r="H153" s="304">
        <f>ROUND(B153/1000,0)</f>
        <v>3951</v>
      </c>
      <c r="I153" s="304">
        <f>ROUND(C153/1000,0)</f>
        <v>2669</v>
      </c>
      <c r="J153" s="304">
        <f>ROUND(D153/1000,0)</f>
        <v>188</v>
      </c>
      <c r="K153" s="306">
        <f t="shared" si="19"/>
        <v>4.758289040749177</v>
      </c>
      <c r="L153" s="304">
        <f>J153-'[6]Jūlijs'!J153</f>
        <v>-521</v>
      </c>
      <c r="M153" s="290"/>
    </row>
    <row r="154" spans="1:13" ht="25.5">
      <c r="A154" s="70" t="s">
        <v>250</v>
      </c>
      <c r="B154" s="101"/>
      <c r="C154" s="309"/>
      <c r="D154" s="101"/>
      <c r="E154" s="303" t="str">
        <f t="shared" si="18"/>
        <v> </v>
      </c>
      <c r="F154" s="302"/>
      <c r="G154" s="70" t="s">
        <v>250</v>
      </c>
      <c r="H154" s="241"/>
      <c r="I154" s="241"/>
      <c r="J154" s="241"/>
      <c r="K154" s="306"/>
      <c r="L154" s="241"/>
      <c r="M154" s="290"/>
    </row>
    <row r="155" spans="1:13" ht="12.75">
      <c r="A155" s="173" t="s">
        <v>412</v>
      </c>
      <c r="B155" s="229"/>
      <c r="C155" s="308"/>
      <c r="D155" s="229"/>
      <c r="E155" s="303" t="str">
        <f t="shared" si="18"/>
        <v> </v>
      </c>
      <c r="F155" s="307"/>
      <c r="G155" s="173" t="s">
        <v>412</v>
      </c>
      <c r="H155" s="230"/>
      <c r="I155" s="230"/>
      <c r="J155" s="230"/>
      <c r="K155" s="306"/>
      <c r="L155" s="230"/>
      <c r="M155" s="290"/>
    </row>
    <row r="156" spans="1:13" ht="12.75">
      <c r="A156" s="228" t="s">
        <v>363</v>
      </c>
      <c r="B156" s="229">
        <f>SUM(B157:B159)</f>
        <v>8568100</v>
      </c>
      <c r="C156" s="229">
        <v>6070321</v>
      </c>
      <c r="D156" s="229">
        <f>SUM(D157:D159)</f>
        <v>5591032</v>
      </c>
      <c r="E156" s="303">
        <f t="shared" si="18"/>
        <v>0.652540469882471</v>
      </c>
      <c r="F156" s="307">
        <f>SUM(F157:F159)</f>
        <v>857415</v>
      </c>
      <c r="G156" s="228" t="s">
        <v>363</v>
      </c>
      <c r="H156" s="230">
        <f>SUM(H157:H159)</f>
        <v>8568</v>
      </c>
      <c r="I156" s="304">
        <f>ROUND(C156/1000,0)</f>
        <v>6070</v>
      </c>
      <c r="J156" s="230">
        <f>SUM(J157:J159)</f>
        <v>5592</v>
      </c>
      <c r="K156" s="306">
        <f t="shared" si="19"/>
        <v>65.26610644257703</v>
      </c>
      <c r="L156" s="230">
        <f>SUM(L157:L159)</f>
        <v>859</v>
      </c>
      <c r="M156" s="290"/>
    </row>
    <row r="157" spans="1:13" ht="12.75">
      <c r="A157" s="228" t="s">
        <v>413</v>
      </c>
      <c r="B157" s="229">
        <v>8000000</v>
      </c>
      <c r="C157" s="308"/>
      <c r="D157" s="229">
        <v>5191462</v>
      </c>
      <c r="E157" s="303">
        <f t="shared" si="18"/>
        <v>0.64893275</v>
      </c>
      <c r="F157" s="307">
        <f>D157-'[6]Jūlijs'!D157</f>
        <v>714504</v>
      </c>
      <c r="G157" s="228" t="s">
        <v>413</v>
      </c>
      <c r="H157" s="304">
        <f>ROUND(B157/1000,0)</f>
        <v>8000</v>
      </c>
      <c r="I157" s="304">
        <f>ROUND(C157/1000,0)</f>
        <v>0</v>
      </c>
      <c r="J157" s="304">
        <f>ROUND(D157/1000,0)+1</f>
        <v>5192</v>
      </c>
      <c r="K157" s="306">
        <f t="shared" si="19"/>
        <v>64.9</v>
      </c>
      <c r="L157" s="304">
        <f>J157-'[6]Jūlijs'!J157</f>
        <v>715</v>
      </c>
      <c r="M157" s="290"/>
    </row>
    <row r="158" spans="1:13" ht="12.75">
      <c r="A158" s="228" t="s">
        <v>414</v>
      </c>
      <c r="B158" s="229">
        <v>350000</v>
      </c>
      <c r="C158" s="308"/>
      <c r="D158" s="229">
        <v>320959</v>
      </c>
      <c r="E158" s="303">
        <f t="shared" si="18"/>
        <v>0.9170257142857143</v>
      </c>
      <c r="F158" s="307">
        <f>D158-'[6]Jūlijs'!D158</f>
        <v>123906</v>
      </c>
      <c r="G158" s="228" t="s">
        <v>414</v>
      </c>
      <c r="H158" s="304">
        <f>ROUND(B158/1000,0)</f>
        <v>350</v>
      </c>
      <c r="I158" s="304">
        <f>ROUND(C158/1000,0)</f>
        <v>0</v>
      </c>
      <c r="J158" s="304">
        <f>ROUND(D158/1000,0)</f>
        <v>321</v>
      </c>
      <c r="K158" s="306">
        <f t="shared" si="19"/>
        <v>91.71428571428571</v>
      </c>
      <c r="L158" s="304">
        <f>J158-'[6]Jūlijs'!J158</f>
        <v>124</v>
      </c>
      <c r="M158" s="290"/>
    </row>
    <row r="159" spans="1:13" ht="12.75">
      <c r="A159" s="316" t="s">
        <v>289</v>
      </c>
      <c r="B159" s="229">
        <f>150000+68100</f>
        <v>218100</v>
      </c>
      <c r="C159" s="308"/>
      <c r="D159" s="229">
        <f>40520+38091</f>
        <v>78611</v>
      </c>
      <c r="E159" s="303">
        <f t="shared" si="18"/>
        <v>0.3604355800091701</v>
      </c>
      <c r="F159" s="307">
        <f>D159-'[6]Jūlijs'!D159</f>
        <v>19005</v>
      </c>
      <c r="G159" s="228" t="s">
        <v>289</v>
      </c>
      <c r="H159" s="304">
        <f>ROUND(B159/1000,0)</f>
        <v>218</v>
      </c>
      <c r="I159" s="304">
        <f>ROUND(C159/1000,0)</f>
        <v>0</v>
      </c>
      <c r="J159" s="304">
        <f>ROUND(D159/1000,0)</f>
        <v>79</v>
      </c>
      <c r="K159" s="306">
        <f t="shared" si="19"/>
        <v>36.23853211009174</v>
      </c>
      <c r="L159" s="304">
        <f>J159-'[6]Jūlijs'!J159</f>
        <v>20</v>
      </c>
      <c r="M159" s="290"/>
    </row>
    <row r="160" spans="1:13" ht="12.75">
      <c r="A160" s="228" t="s">
        <v>365</v>
      </c>
      <c r="B160" s="229">
        <f>SUM(B161:B162)</f>
        <v>8563245</v>
      </c>
      <c r="C160" s="308">
        <f>SUM(C161:C162)</f>
        <v>6065466</v>
      </c>
      <c r="D160" s="229">
        <f>SUM(D161:D162)</f>
        <v>4178420</v>
      </c>
      <c r="E160" s="303">
        <f t="shared" si="18"/>
        <v>0.4879482018790774</v>
      </c>
      <c r="F160" s="307">
        <f>SUM(F161:F162)</f>
        <v>304649</v>
      </c>
      <c r="G160" s="228" t="s">
        <v>365</v>
      </c>
      <c r="H160" s="230">
        <f>SUM(H161:H162)</f>
        <v>8563</v>
      </c>
      <c r="I160" s="230">
        <f>SUM(I161:I162)</f>
        <v>6065</v>
      </c>
      <c r="J160" s="230">
        <f>SUM(J161:J162)</f>
        <v>4178</v>
      </c>
      <c r="K160" s="306">
        <f t="shared" si="19"/>
        <v>48.791311456265326</v>
      </c>
      <c r="L160" s="230">
        <f>SUM(L161:L162)</f>
        <v>304</v>
      </c>
      <c r="M160" s="290"/>
    </row>
    <row r="161" spans="1:13" ht="12.75">
      <c r="A161" s="228" t="s">
        <v>366</v>
      </c>
      <c r="B161" s="229">
        <v>3815245</v>
      </c>
      <c r="C161" s="308">
        <v>2784016</v>
      </c>
      <c r="D161" s="229">
        <v>2375235</v>
      </c>
      <c r="E161" s="303">
        <f t="shared" si="18"/>
        <v>0.6225642127831895</v>
      </c>
      <c r="F161" s="307">
        <f>D161-'[6]Jūlijs'!D161</f>
        <v>140544</v>
      </c>
      <c r="G161" s="228" t="s">
        <v>366</v>
      </c>
      <c r="H161" s="304">
        <f aca="true" t="shared" si="22" ref="H161:J162">ROUND(B161/1000,0)</f>
        <v>3815</v>
      </c>
      <c r="I161" s="304">
        <f t="shared" si="22"/>
        <v>2784</v>
      </c>
      <c r="J161" s="304">
        <f>ROUND(D161/1000,0)</f>
        <v>2375</v>
      </c>
      <c r="K161" s="306">
        <f t="shared" si="19"/>
        <v>62.254259501965926</v>
      </c>
      <c r="L161" s="304">
        <f>J161-'[6]Jūlijs'!J161</f>
        <v>140</v>
      </c>
      <c r="M161" s="290"/>
    </row>
    <row r="162" spans="1:13" ht="12.75">
      <c r="A162" s="228" t="s">
        <v>356</v>
      </c>
      <c r="B162" s="229">
        <v>4748000</v>
      </c>
      <c r="C162" s="308">
        <v>3281450</v>
      </c>
      <c r="D162" s="229">
        <v>1803185</v>
      </c>
      <c r="E162" s="303">
        <f t="shared" si="18"/>
        <v>0.379777801179444</v>
      </c>
      <c r="F162" s="307">
        <f>D162-'[6]Jūlijs'!D162</f>
        <v>164105</v>
      </c>
      <c r="G162" s="228" t="s">
        <v>356</v>
      </c>
      <c r="H162" s="304">
        <f t="shared" si="22"/>
        <v>4748</v>
      </c>
      <c r="I162" s="304">
        <f t="shared" si="22"/>
        <v>3281</v>
      </c>
      <c r="J162" s="304">
        <f t="shared" si="22"/>
        <v>1803</v>
      </c>
      <c r="K162" s="306">
        <f t="shared" si="19"/>
        <v>37.973883740522325</v>
      </c>
      <c r="L162" s="304">
        <f>J162-'[6]Jūlijs'!J162</f>
        <v>164</v>
      </c>
      <c r="M162" s="290"/>
    </row>
    <row r="163" spans="1:13" ht="12.75">
      <c r="A163" s="173" t="s">
        <v>415</v>
      </c>
      <c r="B163" s="229"/>
      <c r="C163" s="308"/>
      <c r="D163" s="229"/>
      <c r="E163" s="303" t="str">
        <f t="shared" si="18"/>
        <v> </v>
      </c>
      <c r="F163" s="307"/>
      <c r="G163" s="170" t="s">
        <v>415</v>
      </c>
      <c r="H163" s="230"/>
      <c r="I163" s="230"/>
      <c r="J163" s="230"/>
      <c r="K163" s="306"/>
      <c r="L163" s="304">
        <f>J163-'[6]Jūlijs'!J163</f>
        <v>0</v>
      </c>
      <c r="M163" s="290"/>
    </row>
    <row r="164" spans="1:13" ht="12.75">
      <c r="A164" s="228" t="s">
        <v>363</v>
      </c>
      <c r="B164" s="229">
        <v>228000</v>
      </c>
      <c r="C164" s="308">
        <v>228000</v>
      </c>
      <c r="D164" s="229">
        <v>443709</v>
      </c>
      <c r="E164" s="303">
        <f t="shared" si="18"/>
        <v>1.946092105263158</v>
      </c>
      <c r="F164" s="307">
        <f>D164-'[6]Jūlijs'!D164</f>
        <v>0.09999999997671694</v>
      </c>
      <c r="G164" s="228" t="s">
        <v>363</v>
      </c>
      <c r="H164" s="304">
        <f>ROUND(B164/1000,0)</f>
        <v>228</v>
      </c>
      <c r="I164" s="304">
        <f>ROUND(C164/1000,0)</f>
        <v>228</v>
      </c>
      <c r="J164" s="304">
        <f>ROUND(D164/1000,0)</f>
        <v>444</v>
      </c>
      <c r="K164" s="306">
        <f t="shared" si="19"/>
        <v>194.73684210526315</v>
      </c>
      <c r="L164" s="304">
        <f>J164-'[6]Jūlijs'!J164</f>
        <v>0</v>
      </c>
      <c r="M164" s="290"/>
    </row>
    <row r="165" spans="1:13" ht="12.75">
      <c r="A165" s="228" t="s">
        <v>365</v>
      </c>
      <c r="B165" s="229">
        <f>SUM(B166:B167)</f>
        <v>228000</v>
      </c>
      <c r="C165" s="308">
        <f>SUM(C166:C167)</f>
        <v>355337</v>
      </c>
      <c r="D165" s="229">
        <f>SUM(D166:D167)</f>
        <v>304896</v>
      </c>
      <c r="E165" s="303">
        <f t="shared" si="18"/>
        <v>1.337263157894737</v>
      </c>
      <c r="F165" s="307">
        <f>SUM(F166:F167)</f>
        <v>639.3899999999994</v>
      </c>
      <c r="G165" s="228" t="s">
        <v>365</v>
      </c>
      <c r="H165" s="230">
        <f>SUM(H166:H167)</f>
        <v>228</v>
      </c>
      <c r="I165" s="230">
        <f>SUM(I166:I167)</f>
        <v>356</v>
      </c>
      <c r="J165" s="230">
        <f>SUM(J166:J167)</f>
        <v>304</v>
      </c>
      <c r="K165" s="306">
        <f t="shared" si="19"/>
        <v>133.33333333333331</v>
      </c>
      <c r="L165" s="304">
        <f>J165-'[6]Jūlijs'!J165</f>
        <v>0</v>
      </c>
      <c r="M165" s="290"/>
    </row>
    <row r="166" spans="1:13" ht="12.75">
      <c r="A166" s="228" t="s">
        <v>366</v>
      </c>
      <c r="B166" s="229">
        <v>63556</v>
      </c>
      <c r="C166" s="308">
        <v>63556</v>
      </c>
      <c r="D166" s="229">
        <v>59452</v>
      </c>
      <c r="E166" s="303">
        <f t="shared" si="18"/>
        <v>0.9354270249858393</v>
      </c>
      <c r="F166" s="307">
        <f>D166-'[6]Jūlijs'!D166</f>
        <v>639.3899999999994</v>
      </c>
      <c r="G166" s="228" t="s">
        <v>366</v>
      </c>
      <c r="H166" s="304">
        <f aca="true" t="shared" si="23" ref="H166:J167">ROUND(B166/1000,0)</f>
        <v>64</v>
      </c>
      <c r="I166" s="304">
        <f t="shared" si="23"/>
        <v>64</v>
      </c>
      <c r="J166" s="304">
        <f t="shared" si="23"/>
        <v>59</v>
      </c>
      <c r="K166" s="306">
        <f t="shared" si="19"/>
        <v>92.1875</v>
      </c>
      <c r="L166" s="304">
        <f>J166-'[6]Jūlijs'!J166</f>
        <v>0</v>
      </c>
      <c r="M166" s="290"/>
    </row>
    <row r="167" spans="1:13" ht="17.25" customHeight="1">
      <c r="A167" s="228" t="s">
        <v>356</v>
      </c>
      <c r="B167" s="229">
        <v>164444</v>
      </c>
      <c r="C167" s="308">
        <v>291781</v>
      </c>
      <c r="D167" s="229">
        <v>245444</v>
      </c>
      <c r="E167" s="303">
        <f t="shared" si="18"/>
        <v>1.4925688988348618</v>
      </c>
      <c r="F167" s="307">
        <f>D167-'[6]Jūlijs'!D167</f>
        <v>0</v>
      </c>
      <c r="G167" s="228" t="s">
        <v>356</v>
      </c>
      <c r="H167" s="304">
        <f t="shared" si="23"/>
        <v>164</v>
      </c>
      <c r="I167" s="304">
        <f>ROUND(C167/1000,0)</f>
        <v>292</v>
      </c>
      <c r="J167" s="304">
        <f>ROUND(D167/1000,0)</f>
        <v>245</v>
      </c>
      <c r="K167" s="306">
        <f t="shared" si="19"/>
        <v>149.390243902439</v>
      </c>
      <c r="L167" s="304">
        <f>J167-'[6]Jūlijs'!J167</f>
        <v>0</v>
      </c>
      <c r="M167" s="290"/>
    </row>
    <row r="168" spans="1:13" ht="17.25" customHeight="1">
      <c r="A168" s="26" t="s">
        <v>251</v>
      </c>
      <c r="B168" s="101"/>
      <c r="C168" s="308"/>
      <c r="D168" s="101"/>
      <c r="E168" s="303" t="str">
        <f t="shared" si="18"/>
        <v> </v>
      </c>
      <c r="F168" s="302"/>
      <c r="G168" s="26" t="s">
        <v>251</v>
      </c>
      <c r="H168" s="241"/>
      <c r="I168" s="241"/>
      <c r="J168" s="241"/>
      <c r="K168" s="306"/>
      <c r="L168" s="241"/>
      <c r="M168" s="290"/>
    </row>
    <row r="169" spans="1:13" ht="12.75">
      <c r="A169" s="173" t="s">
        <v>416</v>
      </c>
      <c r="B169" s="229"/>
      <c r="C169" s="308"/>
      <c r="D169" s="229"/>
      <c r="E169" s="303" t="str">
        <f t="shared" si="18"/>
        <v> </v>
      </c>
      <c r="F169" s="307"/>
      <c r="G169" s="173" t="s">
        <v>416</v>
      </c>
      <c r="H169" s="230"/>
      <c r="I169" s="230"/>
      <c r="J169" s="230"/>
      <c r="K169" s="306"/>
      <c r="L169" s="230"/>
      <c r="M169" s="290"/>
    </row>
    <row r="170" spans="1:13" ht="12.75">
      <c r="A170" s="228" t="s">
        <v>363</v>
      </c>
      <c r="B170" s="229">
        <f>SUM(B171:B173)</f>
        <v>2400000</v>
      </c>
      <c r="C170" s="308">
        <v>1527000</v>
      </c>
      <c r="D170" s="308">
        <f>SUM(D171:D173)</f>
        <v>1318046</v>
      </c>
      <c r="E170" s="303">
        <f>IF(ISERROR(D170/B170)," ",(D170/B170))</f>
        <v>0.5491858333333334</v>
      </c>
      <c r="F170" s="307">
        <f>SUM(F171:F173)</f>
        <v>257131</v>
      </c>
      <c r="G170" s="228" t="s">
        <v>363</v>
      </c>
      <c r="H170" s="230">
        <f>SUM(H171:H173)</f>
        <v>2400</v>
      </c>
      <c r="I170" s="230">
        <f>ROUND(C170/1000,0)</f>
        <v>1527</v>
      </c>
      <c r="J170" s="230">
        <f>SUM(J171:J173)</f>
        <v>1318</v>
      </c>
      <c r="K170" s="306">
        <f t="shared" si="19"/>
        <v>54.91666666666667</v>
      </c>
      <c r="L170" s="230">
        <f>SUM(L171:L173)</f>
        <v>257</v>
      </c>
      <c r="M170" s="290"/>
    </row>
    <row r="171" spans="1:13" ht="29.25" customHeight="1">
      <c r="A171" s="62" t="s">
        <v>417</v>
      </c>
      <c r="B171" s="229">
        <v>1578000</v>
      </c>
      <c r="C171" s="308"/>
      <c r="D171" s="229">
        <v>853595</v>
      </c>
      <c r="E171" s="303">
        <f t="shared" si="18"/>
        <v>0.5409347275031686</v>
      </c>
      <c r="F171" s="307">
        <f>D171-'[6]Jūlijs'!D171</f>
        <v>105423</v>
      </c>
      <c r="G171" s="62" t="s">
        <v>417</v>
      </c>
      <c r="H171" s="304">
        <f aca="true" t="shared" si="24" ref="H171:J173">ROUND(B171/1000,0)</f>
        <v>1578</v>
      </c>
      <c r="I171" s="304">
        <f t="shared" si="24"/>
        <v>0</v>
      </c>
      <c r="J171" s="304">
        <f t="shared" si="24"/>
        <v>854</v>
      </c>
      <c r="K171" s="306">
        <f t="shared" si="19"/>
        <v>54.1191381495564</v>
      </c>
      <c r="L171" s="304">
        <f>J171-'[6]Jūlijs'!J171</f>
        <v>106</v>
      </c>
      <c r="M171" s="290"/>
    </row>
    <row r="172" spans="1:13" ht="27.75" customHeight="1">
      <c r="A172" s="62" t="s">
        <v>418</v>
      </c>
      <c r="B172" s="229">
        <v>618000</v>
      </c>
      <c r="C172" s="308"/>
      <c r="D172" s="229">
        <v>364451</v>
      </c>
      <c r="E172" s="303">
        <f>IF(ISERROR(D172/B172)," ",(D172/B172))</f>
        <v>0.5897265372168284</v>
      </c>
      <c r="F172" s="307">
        <f>D172-'[6]Jūlijs'!D172</f>
        <v>51708</v>
      </c>
      <c r="G172" s="62" t="s">
        <v>418</v>
      </c>
      <c r="H172" s="304">
        <f t="shared" si="24"/>
        <v>618</v>
      </c>
      <c r="I172" s="304">
        <f t="shared" si="24"/>
        <v>0</v>
      </c>
      <c r="J172" s="304">
        <f t="shared" si="24"/>
        <v>364</v>
      </c>
      <c r="K172" s="306">
        <f t="shared" si="19"/>
        <v>58.89967637540453</v>
      </c>
      <c r="L172" s="304">
        <f>J172-'[6]Jūlijs'!J172</f>
        <v>51</v>
      </c>
      <c r="M172" s="290"/>
    </row>
    <row r="173" spans="1:13" ht="12.75">
      <c r="A173" s="228" t="s">
        <v>398</v>
      </c>
      <c r="B173" s="229">
        <v>204000</v>
      </c>
      <c r="C173" s="308"/>
      <c r="D173" s="229">
        <v>100000</v>
      </c>
      <c r="E173" s="303">
        <f t="shared" si="18"/>
        <v>0.49019607843137253</v>
      </c>
      <c r="F173" s="307">
        <f>D173-'[6]Jūlijs'!D173</f>
        <v>100000</v>
      </c>
      <c r="G173" s="228" t="s">
        <v>398</v>
      </c>
      <c r="H173" s="304">
        <f t="shared" si="24"/>
        <v>204</v>
      </c>
      <c r="I173" s="304">
        <f t="shared" si="24"/>
        <v>0</v>
      </c>
      <c r="J173" s="304">
        <f t="shared" si="24"/>
        <v>100</v>
      </c>
      <c r="K173" s="306">
        <f t="shared" si="19"/>
        <v>49.01960784313725</v>
      </c>
      <c r="L173" s="304">
        <f>J173-'[6]Jūlijs'!J173</f>
        <v>100</v>
      </c>
      <c r="M173" s="290"/>
    </row>
    <row r="174" spans="1:13" ht="12.75">
      <c r="A174" s="228" t="s">
        <v>365</v>
      </c>
      <c r="B174" s="229">
        <f>B175</f>
        <v>2400000</v>
      </c>
      <c r="C174" s="308">
        <f>SUM(C175)</f>
        <v>1527000</v>
      </c>
      <c r="D174" s="229">
        <f>D175</f>
        <v>1491500</v>
      </c>
      <c r="E174" s="303">
        <f t="shared" si="18"/>
        <v>0.6214583333333333</v>
      </c>
      <c r="F174" s="307">
        <f>F175</f>
        <v>271500</v>
      </c>
      <c r="G174" s="228" t="s">
        <v>365</v>
      </c>
      <c r="H174" s="230">
        <f>H175</f>
        <v>2400</v>
      </c>
      <c r="I174" s="230">
        <f>I175</f>
        <v>1527</v>
      </c>
      <c r="J174" s="230">
        <f>J175</f>
        <v>1492</v>
      </c>
      <c r="K174" s="306">
        <f t="shared" si="19"/>
        <v>62.16666666666667</v>
      </c>
      <c r="L174" s="230">
        <f>L175</f>
        <v>272</v>
      </c>
      <c r="M174" s="290"/>
    </row>
    <row r="175" spans="1:13" ht="12.75">
      <c r="A175" s="228" t="s">
        <v>366</v>
      </c>
      <c r="B175" s="229">
        <v>2400000</v>
      </c>
      <c r="C175" s="308">
        <v>1527000</v>
      </c>
      <c r="D175" s="229">
        <v>1491500</v>
      </c>
      <c r="E175" s="303">
        <f t="shared" si="18"/>
        <v>0.6214583333333333</v>
      </c>
      <c r="F175" s="307">
        <f>D175-'[6]Jūlijs'!D175</f>
        <v>271500</v>
      </c>
      <c r="G175" s="228" t="s">
        <v>366</v>
      </c>
      <c r="H175" s="304">
        <f>ROUND(B175/1000,0)</f>
        <v>2400</v>
      </c>
      <c r="I175" s="304">
        <f>ROUND(C175/1000,0)</f>
        <v>1527</v>
      </c>
      <c r="J175" s="304">
        <f>ROUND(D175/1000,0)</f>
        <v>1492</v>
      </c>
      <c r="K175" s="306">
        <f t="shared" si="19"/>
        <v>62.16666666666667</v>
      </c>
      <c r="L175" s="304">
        <f>J175-'[6]Jūlijs'!J175</f>
        <v>272</v>
      </c>
      <c r="M175" s="290"/>
    </row>
    <row r="176" spans="1:13" ht="38.25">
      <c r="A176" s="70" t="s">
        <v>419</v>
      </c>
      <c r="B176" s="229"/>
      <c r="C176" s="308"/>
      <c r="D176" s="229"/>
      <c r="E176" s="303" t="str">
        <f t="shared" si="18"/>
        <v> </v>
      </c>
      <c r="F176" s="327"/>
      <c r="G176" s="70" t="s">
        <v>419</v>
      </c>
      <c r="H176" s="230"/>
      <c r="I176" s="230"/>
      <c r="J176" s="230"/>
      <c r="K176" s="306"/>
      <c r="L176" s="230"/>
      <c r="M176" s="290"/>
    </row>
    <row r="177" spans="1:13" ht="12.75">
      <c r="A177" s="316" t="s">
        <v>363</v>
      </c>
      <c r="B177" s="229">
        <f>B178</f>
        <v>144073</v>
      </c>
      <c r="C177" s="308">
        <v>96048</v>
      </c>
      <c r="D177" s="229">
        <f>D178</f>
        <v>54442</v>
      </c>
      <c r="E177" s="303">
        <f t="shared" si="18"/>
        <v>0.3778778813518147</v>
      </c>
      <c r="F177" s="327">
        <f>F178</f>
        <v>711</v>
      </c>
      <c r="G177" s="228" t="s">
        <v>363</v>
      </c>
      <c r="H177" s="230">
        <f>H178</f>
        <v>144</v>
      </c>
      <c r="I177" s="304">
        <f>ROUND(C177/1000,0)</f>
        <v>96</v>
      </c>
      <c r="J177" s="230">
        <f>J178</f>
        <v>54</v>
      </c>
      <c r="K177" s="306">
        <f t="shared" si="19"/>
        <v>37.5</v>
      </c>
      <c r="L177" s="230">
        <f>L178</f>
        <v>0</v>
      </c>
      <c r="M177" s="290"/>
    </row>
    <row r="178" spans="1:13" ht="25.5">
      <c r="A178" s="62" t="s">
        <v>420</v>
      </c>
      <c r="B178" s="229">
        <v>144073</v>
      </c>
      <c r="C178" s="308"/>
      <c r="D178" s="229">
        <v>54442</v>
      </c>
      <c r="E178" s="303">
        <f t="shared" si="18"/>
        <v>0.3778778813518147</v>
      </c>
      <c r="F178" s="307">
        <f>D178-'[6]Jūlijs'!D178</f>
        <v>711</v>
      </c>
      <c r="G178" s="62" t="s">
        <v>420</v>
      </c>
      <c r="H178" s="304">
        <f>ROUND(B178/1000,0)</f>
        <v>144</v>
      </c>
      <c r="I178" s="304">
        <f>ROUND(C178/1000,0)</f>
        <v>0</v>
      </c>
      <c r="J178" s="304">
        <f>ROUND(D178/1000,0)</f>
        <v>54</v>
      </c>
      <c r="K178" s="306">
        <f t="shared" si="19"/>
        <v>37.5</v>
      </c>
      <c r="L178" s="304">
        <f>J178-'[6]Jūlijs'!J178</f>
        <v>0</v>
      </c>
      <c r="M178" s="290"/>
    </row>
    <row r="179" spans="1:13" ht="12.75">
      <c r="A179" s="228" t="s">
        <v>365</v>
      </c>
      <c r="B179" s="229">
        <f>SUM(B180:B181)</f>
        <v>200829</v>
      </c>
      <c r="C179" s="308">
        <f>SUM(C180:C181)</f>
        <v>132752</v>
      </c>
      <c r="D179" s="229">
        <f>SUM(D180:D181)</f>
        <v>126373</v>
      </c>
      <c r="E179" s="303">
        <f t="shared" si="18"/>
        <v>0.6292567308506242</v>
      </c>
      <c r="F179" s="307">
        <f>SUM(F180:F181)</f>
        <v>10753</v>
      </c>
      <c r="G179" s="228" t="s">
        <v>365</v>
      </c>
      <c r="H179" s="230">
        <f>SUM(H180:H181)</f>
        <v>201</v>
      </c>
      <c r="I179" s="230">
        <f>SUM(I180:I181)</f>
        <v>133</v>
      </c>
      <c r="J179" s="230">
        <f>SUM(J180:J181)</f>
        <v>127</v>
      </c>
      <c r="K179" s="306">
        <f t="shared" si="19"/>
        <v>63.18407960199005</v>
      </c>
      <c r="L179" s="230">
        <f>SUM(L180:L181)</f>
        <v>11</v>
      </c>
      <c r="M179" s="290"/>
    </row>
    <row r="180" spans="1:13" ht="12.75">
      <c r="A180" s="228" t="s">
        <v>366</v>
      </c>
      <c r="B180" s="229">
        <v>189219</v>
      </c>
      <c r="C180" s="308">
        <v>121142</v>
      </c>
      <c r="D180" s="229">
        <v>116828</v>
      </c>
      <c r="E180" s="303">
        <f t="shared" si="18"/>
        <v>0.617422140482721</v>
      </c>
      <c r="F180" s="307">
        <f>D180-'[6]Jūlijs'!D180</f>
        <v>10753</v>
      </c>
      <c r="G180" s="228" t="s">
        <v>366</v>
      </c>
      <c r="H180" s="304">
        <f aca="true" t="shared" si="25" ref="H180:J183">ROUND(B180/1000,0)</f>
        <v>189</v>
      </c>
      <c r="I180" s="304">
        <f t="shared" si="25"/>
        <v>121</v>
      </c>
      <c r="J180" s="304">
        <f t="shared" si="25"/>
        <v>117</v>
      </c>
      <c r="K180" s="306">
        <f t="shared" si="19"/>
        <v>61.904761904761905</v>
      </c>
      <c r="L180" s="304">
        <f>J180-'[6]Jūlijs'!J180</f>
        <v>11</v>
      </c>
      <c r="M180" s="290"/>
    </row>
    <row r="181" spans="1:13" ht="12.75">
      <c r="A181" s="228" t="s">
        <v>356</v>
      </c>
      <c r="B181" s="229">
        <v>11610</v>
      </c>
      <c r="C181" s="308">
        <v>11610</v>
      </c>
      <c r="D181" s="229">
        <v>9545</v>
      </c>
      <c r="E181" s="303">
        <f t="shared" si="18"/>
        <v>0.82213608957795</v>
      </c>
      <c r="F181" s="307">
        <f>D181-'[6]Jūlijs'!D181</f>
        <v>0</v>
      </c>
      <c r="G181" s="228" t="s">
        <v>356</v>
      </c>
      <c r="H181" s="304">
        <f t="shared" si="25"/>
        <v>12</v>
      </c>
      <c r="I181" s="304">
        <f t="shared" si="25"/>
        <v>12</v>
      </c>
      <c r="J181" s="304">
        <f t="shared" si="25"/>
        <v>10</v>
      </c>
      <c r="K181" s="306">
        <f t="shared" si="19"/>
        <v>83.33333333333334</v>
      </c>
      <c r="L181" s="304">
        <f>J181-'[6]Jūlijs'!J181</f>
        <v>0</v>
      </c>
      <c r="M181" s="290"/>
    </row>
    <row r="182" spans="1:13" ht="12.75">
      <c r="A182" s="228" t="s">
        <v>359</v>
      </c>
      <c r="B182" s="229">
        <f>SUM(B177-B179)</f>
        <v>-56756</v>
      </c>
      <c r="C182" s="308">
        <f>SUM(C177-C179)</f>
        <v>-36704</v>
      </c>
      <c r="D182" s="229">
        <f>SUM(D177-D179)</f>
        <v>-71931</v>
      </c>
      <c r="E182" s="303">
        <f t="shared" si="18"/>
        <v>1.2673726125872153</v>
      </c>
      <c r="F182" s="307">
        <f>D182-'[6]Jūlijs'!D182</f>
        <v>-10042</v>
      </c>
      <c r="G182" s="228" t="s">
        <v>359</v>
      </c>
      <c r="H182" s="230">
        <f>SUM(H177-H179)</f>
        <v>-57</v>
      </c>
      <c r="I182" s="230">
        <f>SUM(I177-I179)</f>
        <v>-37</v>
      </c>
      <c r="J182" s="230">
        <f>SUM(J177-J179)</f>
        <v>-73</v>
      </c>
      <c r="K182" s="306"/>
      <c r="L182" s="304">
        <f>J182-'[6]Jūlijs'!J182</f>
        <v>-11</v>
      </c>
      <c r="M182" s="290"/>
    </row>
    <row r="183" spans="1:13" ht="12.75">
      <c r="A183" s="228" t="s">
        <v>360</v>
      </c>
      <c r="B183" s="229">
        <f>-B182</f>
        <v>56756</v>
      </c>
      <c r="C183" s="229">
        <f>10682+3334+3334+3334+8574+2482+2482+2482</f>
        <v>36704</v>
      </c>
      <c r="D183" s="229">
        <v>36704</v>
      </c>
      <c r="E183" s="303">
        <f t="shared" si="18"/>
        <v>0.6466981464514765</v>
      </c>
      <c r="F183" s="307">
        <f>D183-'[6]Jūlijs'!D183</f>
        <v>2482</v>
      </c>
      <c r="G183" s="228" t="s">
        <v>360</v>
      </c>
      <c r="H183" s="230">
        <f>-H182</f>
        <v>57</v>
      </c>
      <c r="I183" s="304">
        <f>ROUND(C183/1000,0)</f>
        <v>37</v>
      </c>
      <c r="J183" s="304">
        <f t="shared" si="25"/>
        <v>37</v>
      </c>
      <c r="K183" s="306">
        <f t="shared" si="19"/>
        <v>64.91228070175438</v>
      </c>
      <c r="L183" s="304">
        <f>J183-'[6]Jūlijs'!J183</f>
        <v>3</v>
      </c>
      <c r="M183" s="290"/>
    </row>
    <row r="184" spans="1:13" ht="12.75">
      <c r="A184" s="328"/>
      <c r="B184" s="121"/>
      <c r="C184" s="121"/>
      <c r="D184" s="121"/>
      <c r="E184" s="76"/>
      <c r="F184" s="289"/>
      <c r="H184" s="76"/>
      <c r="I184" s="76"/>
      <c r="J184" s="76"/>
      <c r="K184" s="76"/>
      <c r="L184" s="76"/>
      <c r="M184" s="290"/>
    </row>
    <row r="185" spans="1:13" ht="26.25" customHeight="1">
      <c r="A185" s="503" t="s">
        <v>421</v>
      </c>
      <c r="B185" s="504"/>
      <c r="C185" s="504"/>
      <c r="D185" s="504"/>
      <c r="E185" s="76"/>
      <c r="F185" s="289"/>
      <c r="G185" s="761" t="s">
        <v>422</v>
      </c>
      <c r="H185" s="762"/>
      <c r="I185" s="762"/>
      <c r="J185" s="762"/>
      <c r="K185" s="76"/>
      <c r="L185" s="289"/>
      <c r="M185" s="290"/>
    </row>
    <row r="186" spans="1:13" ht="12.75">
      <c r="A186" s="76" t="s">
        <v>423</v>
      </c>
      <c r="B186" s="329"/>
      <c r="C186" s="76"/>
      <c r="D186" s="76"/>
      <c r="E186" s="76"/>
      <c r="F186" s="289"/>
      <c r="G186" s="761" t="s">
        <v>424</v>
      </c>
      <c r="H186" s="762"/>
      <c r="I186" s="762"/>
      <c r="J186" s="762"/>
      <c r="K186" s="76"/>
      <c r="L186" s="289"/>
      <c r="M186" s="290"/>
    </row>
    <row r="187" spans="1:13" ht="12.75">
      <c r="A187" s="289"/>
      <c r="B187" s="38"/>
      <c r="C187" s="38"/>
      <c r="D187" s="35"/>
      <c r="E187" s="32"/>
      <c r="F187" s="289"/>
      <c r="G187" s="761" t="s">
        <v>425</v>
      </c>
      <c r="H187" s="762"/>
      <c r="I187" s="762"/>
      <c r="J187" s="762"/>
      <c r="K187" s="32"/>
      <c r="L187" s="289"/>
      <c r="M187" s="290"/>
    </row>
    <row r="188" spans="1:13" ht="16.5" customHeight="1">
      <c r="A188" s="289"/>
      <c r="B188" s="38"/>
      <c r="C188" s="38"/>
      <c r="D188" s="38"/>
      <c r="E188" s="289"/>
      <c r="F188" s="289"/>
      <c r="G188" s="501" t="s">
        <v>426</v>
      </c>
      <c r="H188" s="501"/>
      <c r="I188" s="289"/>
      <c r="J188" s="289"/>
      <c r="K188" s="289"/>
      <c r="L188" s="289"/>
      <c r="M188" s="290"/>
    </row>
    <row r="189" spans="1:13" ht="12.75">
      <c r="A189" s="289"/>
      <c r="B189" s="38"/>
      <c r="C189" s="38"/>
      <c r="D189" s="38"/>
      <c r="E189" s="289"/>
      <c r="F189" s="289"/>
      <c r="G189" s="502" t="s">
        <v>427</v>
      </c>
      <c r="H189" s="502"/>
      <c r="I189" s="289"/>
      <c r="J189" s="289"/>
      <c r="K189" s="289"/>
      <c r="L189" s="289"/>
      <c r="M189" s="290"/>
    </row>
    <row r="190" spans="1:13" ht="12.75">
      <c r="A190" s="289"/>
      <c r="B190" s="38"/>
      <c r="C190" s="38"/>
      <c r="D190" s="38"/>
      <c r="E190" s="289"/>
      <c r="F190" s="289"/>
      <c r="H190" s="289"/>
      <c r="I190" s="289"/>
      <c r="J190" s="289"/>
      <c r="K190" s="289"/>
      <c r="L190" s="289"/>
      <c r="M190" s="290"/>
    </row>
    <row r="191" spans="1:13" ht="12.75">
      <c r="A191" s="289"/>
      <c r="B191" s="38"/>
      <c r="C191" s="38"/>
      <c r="D191" s="38"/>
      <c r="E191" s="289"/>
      <c r="F191" s="289"/>
      <c r="G191" s="289"/>
      <c r="H191" s="289"/>
      <c r="I191" s="289"/>
      <c r="J191" s="289"/>
      <c r="K191" s="289"/>
      <c r="L191" s="289"/>
      <c r="M191" s="290"/>
    </row>
    <row r="192" spans="1:13" ht="12.75">
      <c r="A192" s="289"/>
      <c r="B192" s="38"/>
      <c r="C192" s="38"/>
      <c r="D192" s="38"/>
      <c r="E192" s="289"/>
      <c r="F192" s="289"/>
      <c r="J192" s="289"/>
      <c r="K192" s="289"/>
      <c r="L192" s="289"/>
      <c r="M192" s="290"/>
    </row>
    <row r="193" spans="1:13" ht="12.75">
      <c r="A193" s="289"/>
      <c r="B193" s="38"/>
      <c r="C193" s="38"/>
      <c r="D193" s="38"/>
      <c r="E193" s="289"/>
      <c r="F193" s="289"/>
      <c r="H193" s="289"/>
      <c r="I193" s="289"/>
      <c r="J193" s="289"/>
      <c r="K193" s="289"/>
      <c r="L193" s="289"/>
      <c r="M193" s="290"/>
    </row>
    <row r="194" spans="1:13" ht="12.75">
      <c r="A194" s="37" t="s">
        <v>428</v>
      </c>
      <c r="B194" s="38"/>
      <c r="C194" s="38"/>
      <c r="D194" s="38"/>
      <c r="E194" s="289"/>
      <c r="F194" s="289"/>
      <c r="K194" s="289"/>
      <c r="L194" s="289"/>
      <c r="M194" s="290"/>
    </row>
    <row r="195" spans="1:13" ht="12.75">
      <c r="A195" s="289"/>
      <c r="B195" s="38"/>
      <c r="C195" s="38"/>
      <c r="D195" s="38"/>
      <c r="E195" s="289"/>
      <c r="F195" s="289"/>
      <c r="G195" s="289"/>
      <c r="H195" s="289"/>
      <c r="I195" s="289"/>
      <c r="J195" s="289"/>
      <c r="K195" s="289"/>
      <c r="L195" s="289"/>
      <c r="M195" s="290"/>
    </row>
    <row r="196" spans="1:13" ht="12.75">
      <c r="A196" s="289"/>
      <c r="B196" s="38"/>
      <c r="C196" s="38"/>
      <c r="D196" s="38"/>
      <c r="E196" s="289"/>
      <c r="F196" s="289"/>
      <c r="H196" s="289"/>
      <c r="I196" s="289"/>
      <c r="J196" s="289"/>
      <c r="K196" s="289"/>
      <c r="L196" s="289"/>
      <c r="M196" s="290"/>
    </row>
    <row r="197" spans="1:13" ht="12.75">
      <c r="A197" s="289"/>
      <c r="B197" s="38"/>
      <c r="C197" s="38"/>
      <c r="D197" s="38"/>
      <c r="E197" s="289"/>
      <c r="F197" s="289"/>
      <c r="G197" s="37" t="s">
        <v>429</v>
      </c>
      <c r="H197" s="290"/>
      <c r="I197" s="290"/>
      <c r="J197" s="289"/>
      <c r="K197" s="290"/>
      <c r="L197" s="290"/>
      <c r="M197" s="290"/>
    </row>
    <row r="198" spans="1:13" ht="12.75">
      <c r="A198" s="289" t="s">
        <v>174</v>
      </c>
      <c r="B198" s="38"/>
      <c r="C198" s="38"/>
      <c r="D198" s="38"/>
      <c r="E198" s="289"/>
      <c r="F198" s="289"/>
      <c r="H198" s="290"/>
      <c r="I198" s="290"/>
      <c r="J198" s="290"/>
      <c r="K198" s="290"/>
      <c r="L198" s="290"/>
      <c r="M198" s="290"/>
    </row>
    <row r="199" spans="1:13" ht="12.75">
      <c r="A199" s="289" t="s">
        <v>96</v>
      </c>
      <c r="B199" s="35"/>
      <c r="C199" s="35"/>
      <c r="D199" s="38"/>
      <c r="E199" s="289"/>
      <c r="F199" s="289"/>
      <c r="H199" s="290"/>
      <c r="I199" s="290"/>
      <c r="J199" s="290"/>
      <c r="K199" s="290"/>
      <c r="L199" s="290"/>
      <c r="M199" s="290"/>
    </row>
    <row r="200" spans="1:13" ht="12.75">
      <c r="A200" s="289"/>
      <c r="B200" s="38"/>
      <c r="C200" s="38"/>
      <c r="D200" s="38"/>
      <c r="E200" s="289"/>
      <c r="F200" s="289"/>
      <c r="H200" s="290"/>
      <c r="I200" s="290"/>
      <c r="J200" s="290"/>
      <c r="K200" s="290"/>
      <c r="L200" s="290"/>
      <c r="M200" s="290"/>
    </row>
    <row r="201" spans="1:13" ht="12.75">
      <c r="A201" s="289"/>
      <c r="B201" s="38"/>
      <c r="C201" s="38"/>
      <c r="D201" s="38"/>
      <c r="E201" s="289"/>
      <c r="F201" s="289"/>
      <c r="H201" s="290"/>
      <c r="I201" s="290"/>
      <c r="J201" s="290"/>
      <c r="K201" s="290"/>
      <c r="L201" s="290"/>
      <c r="M201" s="290"/>
    </row>
    <row r="202" spans="1:13" ht="12.75">
      <c r="A202" s="289"/>
      <c r="B202" s="38"/>
      <c r="C202" s="38"/>
      <c r="D202" s="38"/>
      <c r="E202" s="289"/>
      <c r="F202" s="289"/>
      <c r="H202" s="290"/>
      <c r="I202" s="290"/>
      <c r="J202" s="290"/>
      <c r="K202" s="290"/>
      <c r="L202" s="290"/>
      <c r="M202" s="290"/>
    </row>
    <row r="203" spans="1:13" ht="12.75">
      <c r="A203" s="289"/>
      <c r="B203" s="38"/>
      <c r="C203" s="38"/>
      <c r="D203" s="38"/>
      <c r="E203" s="289"/>
      <c r="F203" s="289"/>
      <c r="H203" s="290"/>
      <c r="I203" s="290"/>
      <c r="J203" s="290"/>
      <c r="K203" s="290"/>
      <c r="L203" s="290"/>
      <c r="M203" s="290"/>
    </row>
    <row r="204" spans="1:13" ht="12.75">
      <c r="A204" s="289"/>
      <c r="B204" s="38"/>
      <c r="C204" s="38"/>
      <c r="D204" s="38"/>
      <c r="E204" s="289"/>
      <c r="F204" s="289"/>
      <c r="G204" s="330" t="s">
        <v>174</v>
      </c>
      <c r="H204" s="290"/>
      <c r="I204" s="290"/>
      <c r="J204" s="290"/>
      <c r="K204" s="290"/>
      <c r="L204" s="290"/>
      <c r="M204" s="290"/>
    </row>
    <row r="205" spans="1:13" ht="12.75">
      <c r="A205" s="289"/>
      <c r="B205" s="38"/>
      <c r="C205" s="38"/>
      <c r="D205" s="38"/>
      <c r="E205" s="289"/>
      <c r="F205" s="289"/>
      <c r="G205" s="330" t="s">
        <v>96</v>
      </c>
      <c r="H205" s="290"/>
      <c r="I205" s="290"/>
      <c r="J205" s="290"/>
      <c r="K205" s="290"/>
      <c r="L205" s="290"/>
      <c r="M205" s="290"/>
    </row>
    <row r="206" spans="1:13" ht="12.75">
      <c r="A206" s="289"/>
      <c r="B206" s="38"/>
      <c r="C206" s="38"/>
      <c r="D206" s="38"/>
      <c r="E206" s="289"/>
      <c r="F206" s="289"/>
      <c r="H206" s="290"/>
      <c r="I206" s="290"/>
      <c r="J206" s="290"/>
      <c r="K206" s="290"/>
      <c r="L206" s="290"/>
      <c r="M206" s="290"/>
    </row>
    <row r="207" spans="1:13" ht="12.75">
      <c r="A207" s="289"/>
      <c r="B207" s="38"/>
      <c r="C207" s="38"/>
      <c r="D207" s="38"/>
      <c r="E207" s="289"/>
      <c r="F207" s="289"/>
      <c r="G207" s="290"/>
      <c r="H207" s="290"/>
      <c r="I207" s="290"/>
      <c r="J207" s="290"/>
      <c r="K207" s="290"/>
      <c r="L207" s="290"/>
      <c r="M207" s="290"/>
    </row>
    <row r="208" spans="1:13" ht="12.75">
      <c r="A208" s="289"/>
      <c r="B208" s="38"/>
      <c r="C208" s="38"/>
      <c r="D208" s="38"/>
      <c r="E208" s="289"/>
      <c r="F208" s="289"/>
      <c r="G208" s="290"/>
      <c r="H208" s="290"/>
      <c r="I208" s="290"/>
      <c r="J208" s="290"/>
      <c r="K208" s="290"/>
      <c r="L208" s="290"/>
      <c r="M208" s="290"/>
    </row>
    <row r="209" spans="1:13" ht="12.75">
      <c r="A209" s="289"/>
      <c r="B209" s="38"/>
      <c r="C209" s="38"/>
      <c r="D209" s="38"/>
      <c r="E209" s="289"/>
      <c r="F209" s="289"/>
      <c r="G209" s="290"/>
      <c r="H209" s="290"/>
      <c r="I209" s="290"/>
      <c r="J209" s="290"/>
      <c r="K209" s="290"/>
      <c r="L209" s="290"/>
      <c r="M209" s="290"/>
    </row>
    <row r="210" spans="1:13" ht="12.75">
      <c r="A210" s="289"/>
      <c r="B210" s="38"/>
      <c r="C210" s="38"/>
      <c r="D210" s="38"/>
      <c r="E210" s="289"/>
      <c r="F210" s="289"/>
      <c r="G210" s="290"/>
      <c r="H210" s="290"/>
      <c r="I210" s="290"/>
      <c r="J210" s="290"/>
      <c r="K210" s="290"/>
      <c r="L210" s="290"/>
      <c r="M210" s="290"/>
    </row>
    <row r="211" spans="1:13" ht="12.75">
      <c r="A211" s="289"/>
      <c r="B211" s="38"/>
      <c r="C211" s="38"/>
      <c r="D211" s="38"/>
      <c r="E211" s="289"/>
      <c r="F211" s="289"/>
      <c r="H211" s="290"/>
      <c r="I211" s="290"/>
      <c r="J211" s="290"/>
      <c r="K211" s="290"/>
      <c r="L211" s="290"/>
      <c r="M211" s="290"/>
    </row>
    <row r="212" spans="1:13" ht="12.75">
      <c r="A212" s="289"/>
      <c r="B212" s="38"/>
      <c r="C212" s="38"/>
      <c r="D212" s="38"/>
      <c r="E212" s="289"/>
      <c r="F212" s="289"/>
      <c r="H212" s="290"/>
      <c r="I212" s="290"/>
      <c r="J212" s="290"/>
      <c r="K212" s="290"/>
      <c r="L212" s="290"/>
      <c r="M212" s="290"/>
    </row>
    <row r="213" spans="1:13" ht="12.75">
      <c r="A213" s="289"/>
      <c r="B213" s="38"/>
      <c r="C213" s="38"/>
      <c r="D213" s="38"/>
      <c r="E213" s="289"/>
      <c r="F213" s="289"/>
      <c r="H213" s="290"/>
      <c r="I213" s="290"/>
      <c r="J213" s="290"/>
      <c r="K213" s="290"/>
      <c r="L213" s="290"/>
      <c r="M213" s="290"/>
    </row>
    <row r="214" spans="1:13" ht="12.75">
      <c r="A214" s="289"/>
      <c r="B214" s="38"/>
      <c r="C214" s="38"/>
      <c r="D214" s="38"/>
      <c r="E214" s="289"/>
      <c r="F214" s="289"/>
      <c r="H214" s="290"/>
      <c r="I214" s="290"/>
      <c r="J214" s="290"/>
      <c r="K214" s="290"/>
      <c r="L214" s="290"/>
      <c r="M214" s="290"/>
    </row>
    <row r="215" spans="1:13" ht="12.75">
      <c r="A215" s="289"/>
      <c r="B215" s="38"/>
      <c r="C215" s="38"/>
      <c r="D215" s="38"/>
      <c r="E215" s="289"/>
      <c r="F215" s="289"/>
      <c r="H215" s="290"/>
      <c r="I215" s="290"/>
      <c r="J215" s="290"/>
      <c r="K215" s="290"/>
      <c r="L215" s="290"/>
      <c r="M215" s="290"/>
    </row>
    <row r="216" spans="1:13" ht="12.75">
      <c r="A216" s="289"/>
      <c r="B216" s="38"/>
      <c r="C216" s="38"/>
      <c r="D216" s="38"/>
      <c r="E216" s="289"/>
      <c r="F216" s="289"/>
      <c r="G216" s="290"/>
      <c r="H216" s="290"/>
      <c r="I216" s="290"/>
      <c r="J216" s="290"/>
      <c r="K216" s="290"/>
      <c r="L216" s="290"/>
      <c r="M216" s="290"/>
    </row>
    <row r="217" spans="1:13" ht="12.75">
      <c r="A217" s="289"/>
      <c r="B217" s="38"/>
      <c r="C217" s="38"/>
      <c r="D217" s="38"/>
      <c r="E217" s="289"/>
      <c r="F217" s="289"/>
      <c r="G217" s="290"/>
      <c r="H217" s="290"/>
      <c r="I217" s="290"/>
      <c r="J217" s="290"/>
      <c r="K217" s="290"/>
      <c r="L217" s="290"/>
      <c r="M217" s="290"/>
    </row>
    <row r="218" spans="1:13" ht="12.75">
      <c r="A218" s="289"/>
      <c r="B218" s="38"/>
      <c r="C218" s="38"/>
      <c r="D218" s="38"/>
      <c r="E218" s="289"/>
      <c r="F218" s="289"/>
      <c r="H218" s="290"/>
      <c r="I218" s="290"/>
      <c r="J218" s="290"/>
      <c r="K218" s="290"/>
      <c r="L218" s="290"/>
      <c r="M218" s="290"/>
    </row>
    <row r="219" spans="1:13" ht="12.75">
      <c r="A219" s="289"/>
      <c r="B219" s="38"/>
      <c r="C219" s="38"/>
      <c r="D219" s="38"/>
      <c r="E219" s="289"/>
      <c r="F219" s="289"/>
      <c r="H219" s="290"/>
      <c r="I219" s="290"/>
      <c r="J219" s="290"/>
      <c r="K219" s="290"/>
      <c r="L219" s="290"/>
      <c r="M219" s="290"/>
    </row>
    <row r="220" spans="1:13" ht="12.75">
      <c r="A220" s="289"/>
      <c r="B220" s="38"/>
      <c r="C220" s="38"/>
      <c r="D220" s="38"/>
      <c r="E220" s="289"/>
      <c r="F220" s="289"/>
      <c r="H220" s="290"/>
      <c r="I220" s="290"/>
      <c r="J220" s="290"/>
      <c r="K220" s="290"/>
      <c r="L220" s="290"/>
      <c r="M220" s="290"/>
    </row>
    <row r="221" spans="1:13" ht="12.75">
      <c r="A221" s="289"/>
      <c r="B221" s="38"/>
      <c r="C221" s="38"/>
      <c r="D221" s="38"/>
      <c r="E221" s="289"/>
      <c r="F221" s="289"/>
      <c r="H221" s="290"/>
      <c r="I221" s="290"/>
      <c r="J221" s="290"/>
      <c r="K221" s="290"/>
      <c r="L221" s="290"/>
      <c r="M221" s="290"/>
    </row>
    <row r="222" spans="1:13" ht="12.75">
      <c r="A222" s="289"/>
      <c r="B222" s="38"/>
      <c r="C222" s="38"/>
      <c r="D222" s="38"/>
      <c r="E222" s="289"/>
      <c r="F222" s="289"/>
      <c r="H222" s="290"/>
      <c r="I222" s="290"/>
      <c r="J222" s="290"/>
      <c r="K222" s="290"/>
      <c r="L222" s="290"/>
      <c r="M222" s="290"/>
    </row>
    <row r="223" spans="1:13" ht="12.75">
      <c r="A223" s="289"/>
      <c r="B223" s="38"/>
      <c r="C223" s="38"/>
      <c r="D223" s="38"/>
      <c r="E223" s="289"/>
      <c r="F223" s="289"/>
      <c r="H223" s="290"/>
      <c r="I223" s="290"/>
      <c r="J223" s="290"/>
      <c r="K223" s="290"/>
      <c r="L223" s="290"/>
      <c r="M223" s="290"/>
    </row>
    <row r="224" spans="1:13" ht="12.75">
      <c r="A224" s="289"/>
      <c r="B224" s="38"/>
      <c r="C224" s="38"/>
      <c r="D224" s="38"/>
      <c r="E224" s="289"/>
      <c r="F224" s="289"/>
      <c r="G224" s="290"/>
      <c r="H224" s="290"/>
      <c r="I224" s="290"/>
      <c r="J224" s="290"/>
      <c r="K224" s="290"/>
      <c r="L224" s="290"/>
      <c r="M224" s="290"/>
    </row>
    <row r="225" spans="1:13" ht="12.75">
      <c r="A225" s="289"/>
      <c r="B225" s="38"/>
      <c r="C225" s="38"/>
      <c r="D225" s="38"/>
      <c r="E225" s="289"/>
      <c r="F225" s="289"/>
      <c r="G225" s="290"/>
      <c r="H225" s="290"/>
      <c r="I225" s="290"/>
      <c r="J225" s="290"/>
      <c r="K225" s="290"/>
      <c r="L225" s="290"/>
      <c r="M225" s="290"/>
    </row>
    <row r="226" spans="1:13" ht="12.75">
      <c r="A226" s="289"/>
      <c r="B226" s="38"/>
      <c r="C226" s="38"/>
      <c r="D226" s="38"/>
      <c r="E226" s="289"/>
      <c r="F226" s="289"/>
      <c r="H226" s="290"/>
      <c r="I226" s="290"/>
      <c r="J226" s="290"/>
      <c r="K226" s="290"/>
      <c r="L226" s="290"/>
      <c r="M226" s="290"/>
    </row>
    <row r="227" spans="2:13" ht="12.75">
      <c r="B227" s="38"/>
      <c r="C227" s="38"/>
      <c r="D227" s="38"/>
      <c r="E227" s="289"/>
      <c r="F227" s="289"/>
      <c r="H227" s="290"/>
      <c r="I227" s="290"/>
      <c r="J227" s="290"/>
      <c r="K227" s="290"/>
      <c r="L227" s="290"/>
      <c r="M227" s="290"/>
    </row>
    <row r="228" spans="2:13" ht="12.75">
      <c r="B228" s="38"/>
      <c r="C228" s="38"/>
      <c r="D228" s="38"/>
      <c r="E228" s="289"/>
      <c r="F228" s="289"/>
      <c r="G228" s="290"/>
      <c r="H228" s="290"/>
      <c r="I228" s="290"/>
      <c r="J228" s="290"/>
      <c r="K228" s="290"/>
      <c r="L228" s="290"/>
      <c r="M228" s="290"/>
    </row>
    <row r="229" spans="1:13" ht="12.75">
      <c r="A229" s="289"/>
      <c r="B229" s="38"/>
      <c r="C229" s="38"/>
      <c r="D229" s="38"/>
      <c r="E229" s="289"/>
      <c r="F229" s="289"/>
      <c r="H229" s="290"/>
      <c r="I229" s="290"/>
      <c r="J229" s="290"/>
      <c r="K229" s="290"/>
      <c r="L229" s="290"/>
      <c r="M229" s="290"/>
    </row>
    <row r="230" spans="1:13" ht="12.75">
      <c r="A230" s="289"/>
      <c r="B230" s="38"/>
      <c r="C230" s="38"/>
      <c r="D230" s="38"/>
      <c r="E230" s="289"/>
      <c r="F230" s="289"/>
      <c r="H230" s="290"/>
      <c r="I230" s="290"/>
      <c r="J230" s="290"/>
      <c r="K230" s="290"/>
      <c r="L230" s="290"/>
      <c r="M230" s="290"/>
    </row>
    <row r="231" spans="1:13" ht="12.75">
      <c r="A231" s="289"/>
      <c r="B231" s="38"/>
      <c r="C231" s="38"/>
      <c r="D231" s="38"/>
      <c r="E231" s="289"/>
      <c r="F231" s="289"/>
      <c r="H231" s="290"/>
      <c r="I231" s="290"/>
      <c r="J231" s="290"/>
      <c r="K231" s="290"/>
      <c r="L231" s="290"/>
      <c r="M231" s="290"/>
    </row>
    <row r="232" spans="1:13" ht="12.75">
      <c r="A232" s="289"/>
      <c r="B232" s="38"/>
      <c r="C232" s="38"/>
      <c r="D232" s="38"/>
      <c r="E232" s="289"/>
      <c r="F232" s="289"/>
      <c r="H232" s="290"/>
      <c r="I232" s="290"/>
      <c r="J232" s="290"/>
      <c r="K232" s="290"/>
      <c r="L232" s="290"/>
      <c r="M232" s="290"/>
    </row>
  </sheetData>
  <mergeCells count="11">
    <mergeCell ref="G188:H188"/>
    <mergeCell ref="G189:H189"/>
    <mergeCell ref="A185:D185"/>
    <mergeCell ref="G185:J185"/>
    <mergeCell ref="G186:J186"/>
    <mergeCell ref="G187:J187"/>
    <mergeCell ref="G2:L2"/>
    <mergeCell ref="A4:F4"/>
    <mergeCell ref="G4:L4"/>
    <mergeCell ref="A5:F5"/>
    <mergeCell ref="G5:L5"/>
  </mergeCells>
  <printOptions/>
  <pageMargins left="0.75" right="0.19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G317"/>
  <sheetViews>
    <sheetView workbookViewId="0" topLeftCell="H1">
      <selection activeCell="H6" sqref="H6"/>
    </sheetView>
  </sheetViews>
  <sheetFormatPr defaultColWidth="9.140625" defaultRowHeight="12.75"/>
  <cols>
    <col min="1" max="1" width="35.421875" style="294" hidden="1" customWidth="1"/>
    <col min="2" max="2" width="13.28125" style="334" hidden="1" customWidth="1"/>
    <col min="3" max="3" width="12.57421875" style="334" hidden="1" customWidth="1"/>
    <col min="4" max="4" width="13.00390625" style="334" hidden="1" customWidth="1"/>
    <col min="5" max="5" width="9.140625" style="294" hidden="1" customWidth="1"/>
    <col min="6" max="6" width="12.28125" style="294" hidden="1" customWidth="1"/>
    <col min="7" max="7" width="0.9921875" style="294" hidden="1" customWidth="1"/>
    <col min="8" max="8" width="35.421875" style="294" customWidth="1"/>
    <col min="9" max="9" width="11.57421875" style="294" customWidth="1"/>
    <col min="10" max="10" width="12.140625" style="294" customWidth="1"/>
    <col min="11" max="11" width="8.57421875" style="294" customWidth="1"/>
    <col min="12" max="12" width="8.421875" style="294" customWidth="1"/>
    <col min="13" max="13" width="12.421875" style="294" customWidth="1"/>
    <col min="14" max="16384" width="7.8515625" style="294" customWidth="1"/>
  </cols>
  <sheetData>
    <row r="1" spans="1:14" ht="21" customHeight="1">
      <c r="A1" s="331" t="s">
        <v>176</v>
      </c>
      <c r="B1" s="332"/>
      <c r="C1" s="332"/>
      <c r="D1" s="332"/>
      <c r="E1" s="331"/>
      <c r="F1" s="331"/>
      <c r="G1" s="294" t="s">
        <v>430</v>
      </c>
      <c r="H1" s="331" t="s">
        <v>431</v>
      </c>
      <c r="I1" s="331"/>
      <c r="J1" s="331"/>
      <c r="K1" s="331"/>
      <c r="L1" s="331"/>
      <c r="M1" s="331"/>
      <c r="N1" s="333" t="s">
        <v>430</v>
      </c>
    </row>
    <row r="2" ht="0.75" customHeight="1" hidden="1"/>
    <row r="3" ht="20.25" customHeight="1"/>
    <row r="4" spans="1:14" ht="18.75" customHeight="1">
      <c r="A4" s="335"/>
      <c r="B4" s="336" t="s">
        <v>432</v>
      </c>
      <c r="C4" s="336"/>
      <c r="D4" s="336"/>
      <c r="E4" s="335"/>
      <c r="F4" s="335"/>
      <c r="G4" s="335"/>
      <c r="H4" s="292"/>
      <c r="I4" s="292"/>
      <c r="J4" s="292" t="s">
        <v>433</v>
      </c>
      <c r="K4" s="292"/>
      <c r="L4" s="292"/>
      <c r="M4" s="46"/>
      <c r="N4" s="335"/>
    </row>
    <row r="5" spans="1:14" ht="20.25" customHeight="1">
      <c r="A5" s="335"/>
      <c r="B5" s="336" t="s">
        <v>276</v>
      </c>
      <c r="C5" s="336"/>
      <c r="D5" s="336"/>
      <c r="E5" s="335"/>
      <c r="F5" s="335"/>
      <c r="G5" s="335"/>
      <c r="H5" s="292"/>
      <c r="I5" s="292"/>
      <c r="J5" s="292" t="s">
        <v>276</v>
      </c>
      <c r="K5" s="292"/>
      <c r="L5" s="292"/>
      <c r="M5" s="46"/>
      <c r="N5" s="335"/>
    </row>
    <row r="6" spans="1:14" ht="18" customHeight="1">
      <c r="A6" s="292"/>
      <c r="B6" s="337" t="s">
        <v>434</v>
      </c>
      <c r="C6" s="336"/>
      <c r="D6" s="336"/>
      <c r="E6" s="335"/>
      <c r="F6" s="335"/>
      <c r="G6" s="335"/>
      <c r="H6" s="292"/>
      <c r="I6" s="292"/>
      <c r="J6" s="292" t="s">
        <v>435</v>
      </c>
      <c r="K6" s="292"/>
      <c r="L6" s="292"/>
      <c r="M6" s="46"/>
      <c r="N6" s="335"/>
    </row>
    <row r="7" spans="7:14" ht="36" customHeight="1">
      <c r="G7" s="294" t="s">
        <v>436</v>
      </c>
      <c r="N7" s="333" t="s">
        <v>101</v>
      </c>
    </row>
    <row r="8" spans="1:14" s="2" customFormat="1" ht="95.25" customHeight="1">
      <c r="A8" s="169" t="s">
        <v>54</v>
      </c>
      <c r="B8" s="338" t="s">
        <v>102</v>
      </c>
      <c r="C8" s="338" t="s">
        <v>278</v>
      </c>
      <c r="D8" s="338" t="s">
        <v>103</v>
      </c>
      <c r="E8" s="169" t="s">
        <v>279</v>
      </c>
      <c r="F8" s="169" t="s">
        <v>437</v>
      </c>
      <c r="G8" s="169" t="s">
        <v>281</v>
      </c>
      <c r="H8" s="169" t="s">
        <v>54</v>
      </c>
      <c r="I8" s="169" t="s">
        <v>102</v>
      </c>
      <c r="J8" s="169" t="s">
        <v>278</v>
      </c>
      <c r="K8" s="169" t="s">
        <v>103</v>
      </c>
      <c r="L8" s="169" t="s">
        <v>279</v>
      </c>
      <c r="M8" s="169" t="s">
        <v>438</v>
      </c>
      <c r="N8" s="169" t="str">
        <f>G8</f>
        <v>Augusta  izpilde</v>
      </c>
    </row>
    <row r="9" spans="1:14" ht="14.25">
      <c r="A9" s="339">
        <v>1</v>
      </c>
      <c r="B9" s="340">
        <v>2</v>
      </c>
      <c r="C9" s="340">
        <v>3</v>
      </c>
      <c r="D9" s="340">
        <v>4</v>
      </c>
      <c r="E9" s="339">
        <v>5</v>
      </c>
      <c r="F9" s="339">
        <v>6</v>
      </c>
      <c r="G9" s="341">
        <v>7</v>
      </c>
      <c r="H9" s="339">
        <v>1</v>
      </c>
      <c r="I9" s="339">
        <v>2</v>
      </c>
      <c r="J9" s="339">
        <v>3</v>
      </c>
      <c r="K9" s="339">
        <v>4</v>
      </c>
      <c r="L9" s="339">
        <v>5</v>
      </c>
      <c r="M9" s="339">
        <v>6</v>
      </c>
      <c r="N9" s="339">
        <v>7</v>
      </c>
    </row>
    <row r="10" spans="1:14" ht="18.75" customHeight="1">
      <c r="A10" s="342" t="s">
        <v>439</v>
      </c>
      <c r="B10" s="343">
        <f>SUM(B11:B12:B13)</f>
        <v>699762222</v>
      </c>
      <c r="C10" s="343">
        <f>SUM(C11:C13)</f>
        <v>461775457</v>
      </c>
      <c r="D10" s="343">
        <f>SUM(D11:D13)</f>
        <v>449670679</v>
      </c>
      <c r="E10" s="344">
        <f>IF(ISERROR(D10/B10)," ",(D10/B10))</f>
        <v>0.6426049661766393</v>
      </c>
      <c r="F10" s="344">
        <f>IF(ISERROR(D10/C10)," ",(D10/C10))</f>
        <v>0.973786441404572</v>
      </c>
      <c r="G10" s="345">
        <f>SUM(G11:G13)</f>
        <v>57663956</v>
      </c>
      <c r="H10" s="342" t="s">
        <v>439</v>
      </c>
      <c r="I10" s="346">
        <f>SUM(I11:I12:I13)</f>
        <v>699762</v>
      </c>
      <c r="J10" s="346">
        <f>SUM(J11:J13)-1</f>
        <v>461775</v>
      </c>
      <c r="K10" s="346">
        <f>SUM(K11:K13)</f>
        <v>449670</v>
      </c>
      <c r="L10" s="347">
        <f>IF(ISERROR(ROUND(K10,0)/ROUND(I10,0))," ",(ROUND(K10,)/ROUND(I10,)))*100</f>
        <v>64.2604199713617</v>
      </c>
      <c r="M10" s="347">
        <f>IF(ISERROR(ROUND(K10,0)/ROUND(J10,0))," ",(ROUND(K10,)/ROUND(J10,)))*100</f>
        <v>97.37859347084618</v>
      </c>
      <c r="N10" s="346">
        <f>SUM(N11:N13)</f>
        <v>57663</v>
      </c>
    </row>
    <row r="11" spans="1:14" ht="26.25" customHeight="1">
      <c r="A11" s="348" t="s">
        <v>440</v>
      </c>
      <c r="B11" s="349">
        <v>692166497</v>
      </c>
      <c r="C11" s="350">
        <f>141558256+36421481+35990428+38712123+39570361+39034797+40114787+44401932+40480748</f>
        <v>456284913</v>
      </c>
      <c r="D11" s="350">
        <f>445750734+1398725</f>
        <v>447149459</v>
      </c>
      <c r="E11" s="351">
        <f aca="true" t="shared" si="0" ref="E11:E17">IF(ISERROR(D11/B11)," ",(D11/B11))</f>
        <v>0.6460143057169668</v>
      </c>
      <c r="F11" s="351">
        <f aca="true" t="shared" si="1" ref="F11:F17">IF(ISERROR(D11/C11)," ",(D11/C11))</f>
        <v>0.9799786191922589</v>
      </c>
      <c r="G11" s="352">
        <f>D11-'[8]Jūlijs'!D11</f>
        <v>57344703</v>
      </c>
      <c r="H11" s="62" t="s">
        <v>440</v>
      </c>
      <c r="I11" s="234">
        <f>ROUND(B11/1000,0)</f>
        <v>692166</v>
      </c>
      <c r="J11" s="234">
        <f>ROUND(C11/1000,0)</f>
        <v>456285</v>
      </c>
      <c r="K11" s="234">
        <f>ROUND(D11/1000,0)</f>
        <v>447149</v>
      </c>
      <c r="L11" s="353">
        <f aca="true" t="shared" si="2" ref="L11:L17">IF(ISERROR(ROUND(K11,0)/ROUND(I11,0))," ",(ROUND(K11,)/ROUND(I11,)))*100</f>
        <v>64.60141064426742</v>
      </c>
      <c r="M11" s="353">
        <f aca="true" t="shared" si="3" ref="M11:M17">IF(ISERROR(ROUND(K11,0)/ROUND(J11,0))," ",(ROUND(K11,)/ROUND(J11,)))*100</f>
        <v>97.99774263892085</v>
      </c>
      <c r="N11" s="253">
        <f>K11-'[8]Jūlijs'!K11</f>
        <v>57344</v>
      </c>
    </row>
    <row r="12" spans="1:14" ht="27.75" customHeight="1">
      <c r="A12" s="348" t="s">
        <v>441</v>
      </c>
      <c r="B12" s="349">
        <v>4224473</v>
      </c>
      <c r="C12" s="350">
        <v>2995721</v>
      </c>
      <c r="D12" s="350">
        <f>'[6]Augusts'!$D$69+'[6]Augusts'!$D$93+'[6]Augusts'!$D$159+'[6]Augusts'!$D$177</f>
        <v>1824214</v>
      </c>
      <c r="E12" s="351">
        <f t="shared" si="0"/>
        <v>0.4318204897983725</v>
      </c>
      <c r="F12" s="351">
        <f t="shared" si="1"/>
        <v>0.6089398845887184</v>
      </c>
      <c r="G12" s="352">
        <f>D12-'[8]Jūlijs'!D12</f>
        <v>144030</v>
      </c>
      <c r="H12" s="62" t="s">
        <v>441</v>
      </c>
      <c r="I12" s="234">
        <f>ROUND(B12/1000,0)+1</f>
        <v>4225</v>
      </c>
      <c r="J12" s="234">
        <f>ROUND(C12/1000,0)</f>
        <v>2996</v>
      </c>
      <c r="K12" s="234">
        <f>ROUND(D12/1000,0)</f>
        <v>1824</v>
      </c>
      <c r="L12" s="353">
        <f t="shared" si="2"/>
        <v>43.171597633136095</v>
      </c>
      <c r="M12" s="353">
        <f t="shared" si="3"/>
        <v>60.88117489986649</v>
      </c>
      <c r="N12" s="253">
        <f>K12-'[8]Jūlijs'!K12</f>
        <v>144</v>
      </c>
    </row>
    <row r="13" spans="1:14" ht="15.75" customHeight="1">
      <c r="A13" s="348" t="s">
        <v>442</v>
      </c>
      <c r="B13" s="349">
        <v>3371252</v>
      </c>
      <c r="C13" s="350">
        <v>2494823</v>
      </c>
      <c r="D13" s="350">
        <f>'[6]Augusts'!$D$70</f>
        <v>697006</v>
      </c>
      <c r="E13" s="351">
        <f t="shared" si="0"/>
        <v>0.20674989588437767</v>
      </c>
      <c r="F13" s="351">
        <f t="shared" si="1"/>
        <v>0.27938094205480707</v>
      </c>
      <c r="G13" s="352">
        <f>D13-'[8]Jūlijs'!D13</f>
        <v>175223</v>
      </c>
      <c r="H13" s="62" t="s">
        <v>442</v>
      </c>
      <c r="I13" s="234">
        <f>ROUND(B13/1000,0)</f>
        <v>3371</v>
      </c>
      <c r="J13" s="234">
        <f>ROUND(C13/1000,0)</f>
        <v>2495</v>
      </c>
      <c r="K13" s="234">
        <f>ROUND(D13/1000,0)</f>
        <v>697</v>
      </c>
      <c r="L13" s="353">
        <f t="shared" si="2"/>
        <v>20.676357164046276</v>
      </c>
      <c r="M13" s="353">
        <f t="shared" si="3"/>
        <v>27.935871743486974</v>
      </c>
      <c r="N13" s="253">
        <f>K13-'[8]Jūlijs'!K13</f>
        <v>175</v>
      </c>
    </row>
    <row r="14" spans="1:14" ht="21.75" customHeight="1">
      <c r="A14" s="342" t="s">
        <v>292</v>
      </c>
      <c r="B14" s="354">
        <f>SUM(B15,B36)</f>
        <v>743446778</v>
      </c>
      <c r="C14" s="354">
        <f>SUM(C15,C36)</f>
        <v>517333173</v>
      </c>
      <c r="D14" s="354">
        <f>SUM(D15,D36)</f>
        <v>479296169</v>
      </c>
      <c r="E14" s="344">
        <f t="shared" si="0"/>
        <v>0.6446946616533726</v>
      </c>
      <c r="F14" s="344">
        <f t="shared" si="1"/>
        <v>0.9264748406149473</v>
      </c>
      <c r="G14" s="355">
        <f>SUM(G15,G36)</f>
        <v>59243050</v>
      </c>
      <c r="H14" s="100" t="s">
        <v>292</v>
      </c>
      <c r="I14" s="241">
        <f>SUM(I15,I36)</f>
        <v>743447</v>
      </c>
      <c r="J14" s="241">
        <f>SUM(J15,J36)</f>
        <v>517332</v>
      </c>
      <c r="K14" s="241">
        <f>SUM(K15,K36)</f>
        <v>479296</v>
      </c>
      <c r="L14" s="353">
        <f t="shared" si="2"/>
        <v>64.46942418222146</v>
      </c>
      <c r="M14" s="353">
        <f t="shared" si="3"/>
        <v>92.64766146304501</v>
      </c>
      <c r="N14" s="241">
        <f>SUM(N15,N36)</f>
        <v>59243</v>
      </c>
    </row>
    <row r="15" spans="1:14" ht="20.25" customHeight="1">
      <c r="A15" s="356" t="s">
        <v>443</v>
      </c>
      <c r="B15" s="357">
        <f>SUM(B16,B21,B24)</f>
        <v>706050840</v>
      </c>
      <c r="C15" s="357">
        <f>SUM(C16,C21,C24)</f>
        <v>490285783</v>
      </c>
      <c r="D15" s="357">
        <f>SUM(D16,D21,D24)</f>
        <v>461919694</v>
      </c>
      <c r="E15" s="344">
        <f t="shared" si="0"/>
        <v>0.6542300749900672</v>
      </c>
      <c r="F15" s="344">
        <f t="shared" si="1"/>
        <v>0.9421437659757718</v>
      </c>
      <c r="G15" s="358">
        <f>SUM(G16,G21,G24)</f>
        <v>57449366</v>
      </c>
      <c r="H15" s="106" t="s">
        <v>443</v>
      </c>
      <c r="I15" s="49">
        <f>SUM(I16,I21,I24)+1</f>
        <v>706051</v>
      </c>
      <c r="J15" s="49">
        <f>SUM(J16,J21,J24)</f>
        <v>490285</v>
      </c>
      <c r="K15" s="49">
        <f>SUM(K16,K21,K24)-1</f>
        <v>461920</v>
      </c>
      <c r="L15" s="353">
        <f t="shared" si="2"/>
        <v>65.42303601297922</v>
      </c>
      <c r="M15" s="353">
        <f t="shared" si="3"/>
        <v>94.21458947346952</v>
      </c>
      <c r="N15" s="49">
        <f>SUM(N16,N21,N24)</f>
        <v>57449</v>
      </c>
    </row>
    <row r="16" spans="1:14" ht="18.75" customHeight="1">
      <c r="A16" s="356" t="s">
        <v>294</v>
      </c>
      <c r="B16" s="357">
        <v>29000156</v>
      </c>
      <c r="C16" s="357">
        <v>21155206</v>
      </c>
      <c r="D16" s="357">
        <f>SUM(D17,D18,D19,D20)</f>
        <v>18050341</v>
      </c>
      <c r="E16" s="344">
        <f t="shared" si="0"/>
        <v>0.6224222035219397</v>
      </c>
      <c r="F16" s="344">
        <f t="shared" si="1"/>
        <v>0.8532339982886482</v>
      </c>
      <c r="G16" s="358">
        <f>SUM(G17,G18,G19,G20)</f>
        <v>2068159</v>
      </c>
      <c r="H16" s="106" t="s">
        <v>294</v>
      </c>
      <c r="I16" s="218">
        <f>ROUND(B16/1000,0)</f>
        <v>29000</v>
      </c>
      <c r="J16" s="218">
        <f>ROUND(C16/1000,0)+2</f>
        <v>21157</v>
      </c>
      <c r="K16" s="241">
        <f>SUM(K17,K18,K19,K20)</f>
        <v>18050</v>
      </c>
      <c r="L16" s="353">
        <f t="shared" si="2"/>
        <v>62.241379310344826</v>
      </c>
      <c r="M16" s="353">
        <f t="shared" si="3"/>
        <v>85.31455310299192</v>
      </c>
      <c r="N16" s="49">
        <f>SUM(N17,N18,N19,N20)</f>
        <v>2067</v>
      </c>
    </row>
    <row r="17" spans="1:14" ht="14.25">
      <c r="A17" s="359" t="s">
        <v>295</v>
      </c>
      <c r="B17" s="360">
        <v>1540940</v>
      </c>
      <c r="C17" s="360">
        <v>1060972</v>
      </c>
      <c r="D17" s="360">
        <f>'[7]Augusts'!$Z$10</f>
        <v>804255</v>
      </c>
      <c r="E17" s="351">
        <f t="shared" si="0"/>
        <v>0.5219249289394785</v>
      </c>
      <c r="F17" s="351">
        <f t="shared" si="1"/>
        <v>0.7580360273409665</v>
      </c>
      <c r="G17" s="361">
        <f>D17-'[8]Jūlijs'!D17</f>
        <v>108072</v>
      </c>
      <c r="H17" s="228" t="s">
        <v>295</v>
      </c>
      <c r="I17" s="253">
        <f>ROUND(B17/1000,0)</f>
        <v>1541</v>
      </c>
      <c r="J17" s="253">
        <f>ROUND(C17/1000,0)</f>
        <v>1061</v>
      </c>
      <c r="K17" s="234">
        <f>ROUND(D17/1000,0)</f>
        <v>804</v>
      </c>
      <c r="L17" s="353">
        <f t="shared" si="2"/>
        <v>52.17391304347826</v>
      </c>
      <c r="M17" s="353">
        <f t="shared" si="3"/>
        <v>75.7775683317625</v>
      </c>
      <c r="N17" s="253">
        <f>K17-'[8]Jūlijs'!K17</f>
        <v>108</v>
      </c>
    </row>
    <row r="18" spans="1:14" ht="28.5">
      <c r="A18" s="348" t="s">
        <v>296</v>
      </c>
      <c r="B18" s="362" t="s">
        <v>61</v>
      </c>
      <c r="C18" s="362" t="s">
        <v>61</v>
      </c>
      <c r="D18" s="360">
        <f>'[7]Augusts'!$Z$11</f>
        <v>224114</v>
      </c>
      <c r="E18" s="363" t="s">
        <v>61</v>
      </c>
      <c r="F18" s="364" t="s">
        <v>61</v>
      </c>
      <c r="G18" s="361">
        <f>D18-'[8]Jūlijs'!D18</f>
        <v>31368</v>
      </c>
      <c r="H18" s="62" t="s">
        <v>296</v>
      </c>
      <c r="I18" s="248" t="s">
        <v>61</v>
      </c>
      <c r="J18" s="248" t="s">
        <v>61</v>
      </c>
      <c r="K18" s="234">
        <f>ROUND(D18/1000,0)</f>
        <v>224</v>
      </c>
      <c r="L18" s="283" t="s">
        <v>61</v>
      </c>
      <c r="M18" s="271" t="s">
        <v>61</v>
      </c>
      <c r="N18" s="253">
        <f>K18-'[8]Jūlijs'!K18</f>
        <v>31</v>
      </c>
    </row>
    <row r="19" spans="1:14" ht="14.25">
      <c r="A19" s="348" t="s">
        <v>297</v>
      </c>
      <c r="B19" s="362" t="s">
        <v>61</v>
      </c>
      <c r="C19" s="362" t="s">
        <v>61</v>
      </c>
      <c r="D19" s="360">
        <f>'[7]Augusts'!$Z$12</f>
        <v>14544387</v>
      </c>
      <c r="E19" s="363" t="s">
        <v>61</v>
      </c>
      <c r="F19" s="364" t="s">
        <v>61</v>
      </c>
      <c r="G19" s="361">
        <f>D19-'[8]Jūlijs'!D19</f>
        <v>1412087</v>
      </c>
      <c r="H19" s="62" t="s">
        <v>297</v>
      </c>
      <c r="I19" s="248" t="s">
        <v>61</v>
      </c>
      <c r="J19" s="248" t="s">
        <v>61</v>
      </c>
      <c r="K19" s="234">
        <f>ROUND(D19/1000,0)</f>
        <v>14544</v>
      </c>
      <c r="L19" s="283" t="s">
        <v>61</v>
      </c>
      <c r="M19" s="271" t="s">
        <v>61</v>
      </c>
      <c r="N19" s="253">
        <f>K19-'[8]Jūlijs'!K19-1</f>
        <v>1411</v>
      </c>
    </row>
    <row r="20" spans="1:14" ht="14.25">
      <c r="A20" s="348" t="s">
        <v>444</v>
      </c>
      <c r="B20" s="362" t="s">
        <v>61</v>
      </c>
      <c r="C20" s="362" t="s">
        <v>61</v>
      </c>
      <c r="D20" s="360">
        <f>'[7]Augusts'!$Z$15</f>
        <v>2477585</v>
      </c>
      <c r="E20" s="363" t="s">
        <v>61</v>
      </c>
      <c r="F20" s="364" t="s">
        <v>61</v>
      </c>
      <c r="G20" s="361">
        <f>D20-'[8]Jūlijs'!D20</f>
        <v>516632</v>
      </c>
      <c r="H20" s="62" t="s">
        <v>444</v>
      </c>
      <c r="I20" s="248" t="s">
        <v>61</v>
      </c>
      <c r="J20" s="248" t="s">
        <v>61</v>
      </c>
      <c r="K20" s="234">
        <f>ROUND(D20/1000,0)</f>
        <v>2478</v>
      </c>
      <c r="L20" s="283" t="s">
        <v>61</v>
      </c>
      <c r="M20" s="271" t="s">
        <v>61</v>
      </c>
      <c r="N20" s="253">
        <f>K20-'[8]Jūlijs'!K20</f>
        <v>517</v>
      </c>
    </row>
    <row r="21" spans="1:14" ht="30.75" customHeight="1">
      <c r="A21" s="365" t="s">
        <v>298</v>
      </c>
      <c r="B21" s="360">
        <v>8446493</v>
      </c>
      <c r="C21" s="360">
        <f>2750003+2977967</f>
        <v>5727970</v>
      </c>
      <c r="D21" s="360">
        <f>SUM(D22:D23)</f>
        <v>3933787</v>
      </c>
      <c r="E21" s="351">
        <f>IF(ISERROR(D21/B21)," ",(D21/B21))</f>
        <v>0.46573021489510497</v>
      </c>
      <c r="F21" s="351">
        <f>IF(ISERROR(D21/C21)," ",(D21/C21))</f>
        <v>0.6867680871233613</v>
      </c>
      <c r="G21" s="361">
        <f>SUM(G22:G23)</f>
        <v>650071</v>
      </c>
      <c r="H21" s="70" t="s">
        <v>298</v>
      </c>
      <c r="I21" s="218">
        <f>ROUND(B21/1000,0)</f>
        <v>8446</v>
      </c>
      <c r="J21" s="218">
        <f>ROUND(C21/1000,0)</f>
        <v>5728</v>
      </c>
      <c r="K21" s="241">
        <f>SUM(K22:K23)</f>
        <v>3934</v>
      </c>
      <c r="L21" s="353">
        <f>IF(ISERROR(ROUND(J21,0)/ROUND(I21,0))," ",(ROUND(J21,)/ROUND(I21,)))*100</f>
        <v>67.81908595784986</v>
      </c>
      <c r="M21" s="353">
        <f>IF(ISERROR(ROUND(K21,0)/ROUND(J21,0))," ",(ROUND(K21,)/ROUND(J21,)))*100</f>
        <v>68.68016759776536</v>
      </c>
      <c r="N21" s="241">
        <f>SUM(N22:N23)</f>
        <v>650</v>
      </c>
    </row>
    <row r="22" spans="1:14" ht="27.75" customHeight="1">
      <c r="A22" s="348" t="s">
        <v>445</v>
      </c>
      <c r="B22" s="362" t="s">
        <v>61</v>
      </c>
      <c r="C22" s="362" t="s">
        <v>61</v>
      </c>
      <c r="D22" s="360">
        <f>'[7]Augusts'!$Z$17</f>
        <v>2512315</v>
      </c>
      <c r="E22" s="363" t="s">
        <v>61</v>
      </c>
      <c r="F22" s="364" t="s">
        <v>61</v>
      </c>
      <c r="G22" s="361">
        <f>D22-'[8]Jūlijs'!D22</f>
        <v>1806</v>
      </c>
      <c r="H22" s="62" t="s">
        <v>445</v>
      </c>
      <c r="I22" s="248" t="s">
        <v>61</v>
      </c>
      <c r="J22" s="248" t="s">
        <v>61</v>
      </c>
      <c r="K22" s="234">
        <f>ROUND(D22/1000,0)</f>
        <v>2512</v>
      </c>
      <c r="L22" s="283" t="s">
        <v>61</v>
      </c>
      <c r="M22" s="271" t="s">
        <v>61</v>
      </c>
      <c r="N22" s="253">
        <f>K22-'[8]Jūlijs'!K22</f>
        <v>1</v>
      </c>
    </row>
    <row r="23" spans="1:14" ht="27" customHeight="1">
      <c r="A23" s="348" t="s">
        <v>446</v>
      </c>
      <c r="B23" s="362" t="s">
        <v>61</v>
      </c>
      <c r="C23" s="362" t="s">
        <v>61</v>
      </c>
      <c r="D23" s="360">
        <f>'[7]Augusts'!$Z$18</f>
        <v>1421472</v>
      </c>
      <c r="E23" s="363" t="s">
        <v>61</v>
      </c>
      <c r="F23" s="364" t="s">
        <v>61</v>
      </c>
      <c r="G23" s="361">
        <f>D23-'[8]Jūlijs'!D23</f>
        <v>648265</v>
      </c>
      <c r="H23" s="62" t="s">
        <v>446</v>
      </c>
      <c r="I23" s="248" t="s">
        <v>61</v>
      </c>
      <c r="J23" s="248" t="s">
        <v>61</v>
      </c>
      <c r="K23" s="234">
        <f>ROUND(D23/1000,0)+1</f>
        <v>1422</v>
      </c>
      <c r="L23" s="283" t="s">
        <v>61</v>
      </c>
      <c r="M23" s="271" t="s">
        <v>61</v>
      </c>
      <c r="N23" s="253">
        <f>K23-'[8]Jūlijs'!K23</f>
        <v>649</v>
      </c>
    </row>
    <row r="24" spans="1:14" ht="16.5" customHeight="1">
      <c r="A24" s="366" t="s">
        <v>303</v>
      </c>
      <c r="B24" s="360">
        <v>668604191</v>
      </c>
      <c r="C24" s="360">
        <f>108547870+354854737</f>
        <v>463402607</v>
      </c>
      <c r="D24" s="360">
        <f>SUM(D25,D26,D28,D27,D29,D34,D35)</f>
        <v>439935566</v>
      </c>
      <c r="E24" s="351">
        <f>IF(ISERROR(D24/B24)," ",(D24/B24))</f>
        <v>0.6579910385276062</v>
      </c>
      <c r="F24" s="351">
        <f>IF(ISERROR(D24/C24)," ",(D24/C24))</f>
        <v>0.9493592814422815</v>
      </c>
      <c r="G24" s="361">
        <f>SUM(G25,G26,G28,G27,G29,G34,G35)</f>
        <v>54731136</v>
      </c>
      <c r="H24" s="26" t="s">
        <v>303</v>
      </c>
      <c r="I24" s="218">
        <f>ROUND(B24/1000,0)</f>
        <v>668604</v>
      </c>
      <c r="J24" s="218">
        <f>ROUND(C24/1000,0)-3</f>
        <v>463400</v>
      </c>
      <c r="K24" s="241">
        <f>SUM(K25,K26,K27,K28,K29,K34,K35)</f>
        <v>439937</v>
      </c>
      <c r="L24" s="353">
        <f>IF(ISERROR(ROUND(J24,0)/ROUND(I24,0))," ",(ROUND(J24,)/ROUND(I24,)))*100</f>
        <v>69.30858923966952</v>
      </c>
      <c r="M24" s="353">
        <f>IF(ISERROR(ROUND(K24,0)/ROUND(J24,0))," ",(ROUND(K24,)/ROUND(J24,)))*100</f>
        <v>94.93677168752697</v>
      </c>
      <c r="N24" s="241">
        <f>SUM(N25,N26,N27,N28,N29,N34,N35)</f>
        <v>54732</v>
      </c>
    </row>
    <row r="25" spans="1:14" ht="15.75" customHeight="1">
      <c r="A25" s="359" t="s">
        <v>304</v>
      </c>
      <c r="B25" s="362" t="s">
        <v>61</v>
      </c>
      <c r="C25" s="362" t="s">
        <v>61</v>
      </c>
      <c r="D25" s="360">
        <f>'[7]Augusts'!$Z$20</f>
        <v>1391532</v>
      </c>
      <c r="E25" s="363" t="s">
        <v>61</v>
      </c>
      <c r="F25" s="364" t="s">
        <v>61</v>
      </c>
      <c r="G25" s="361">
        <f>D25-'[8]Jūlijs'!D25</f>
        <v>27086</v>
      </c>
      <c r="H25" s="228" t="s">
        <v>304</v>
      </c>
      <c r="I25" s="248" t="s">
        <v>61</v>
      </c>
      <c r="J25" s="248" t="s">
        <v>61</v>
      </c>
      <c r="K25" s="234">
        <f>ROUND(D25/1000,0)</f>
        <v>1392</v>
      </c>
      <c r="L25" s="283" t="s">
        <v>61</v>
      </c>
      <c r="M25" s="271" t="s">
        <v>61</v>
      </c>
      <c r="N25" s="253">
        <f>K25-'[8]Jūlijs'!K25</f>
        <v>28</v>
      </c>
    </row>
    <row r="26" spans="1:14" ht="14.25">
      <c r="A26" s="359" t="s">
        <v>305</v>
      </c>
      <c r="B26" s="362" t="s">
        <v>61</v>
      </c>
      <c r="C26" s="362" t="s">
        <v>61</v>
      </c>
      <c r="D26" s="360">
        <f>'[7]Augusts'!$Z$21</f>
        <v>11507869</v>
      </c>
      <c r="E26" s="363" t="s">
        <v>61</v>
      </c>
      <c r="F26" s="364" t="s">
        <v>61</v>
      </c>
      <c r="G26" s="361">
        <f>D26-'[8]Jūlijs'!D26</f>
        <v>1177348</v>
      </c>
      <c r="H26" s="228" t="s">
        <v>447</v>
      </c>
      <c r="I26" s="248" t="s">
        <v>61</v>
      </c>
      <c r="J26" s="248" t="s">
        <v>61</v>
      </c>
      <c r="K26" s="234">
        <f>ROUND(D26/1000,0)</f>
        <v>11508</v>
      </c>
      <c r="L26" s="283" t="s">
        <v>61</v>
      </c>
      <c r="M26" s="271" t="s">
        <v>61</v>
      </c>
      <c r="N26" s="253">
        <f>K26-'[8]Jūlijs'!K26</f>
        <v>1177</v>
      </c>
    </row>
    <row r="27" spans="1:14" ht="14.25">
      <c r="A27" s="359" t="s">
        <v>306</v>
      </c>
      <c r="B27" s="362" t="s">
        <v>61</v>
      </c>
      <c r="C27" s="362" t="s">
        <v>61</v>
      </c>
      <c r="D27" s="360"/>
      <c r="E27" s="364" t="s">
        <v>61</v>
      </c>
      <c r="F27" s="364" t="s">
        <v>61</v>
      </c>
      <c r="G27" s="361">
        <f>D27-'[8]Jūlijs'!D27</f>
        <v>0</v>
      </c>
      <c r="H27" s="228" t="s">
        <v>306</v>
      </c>
      <c r="I27" s="271" t="s">
        <v>61</v>
      </c>
      <c r="J27" s="271" t="s">
        <v>61</v>
      </c>
      <c r="K27" s="234">
        <f>ROUND(D27/1000,0)</f>
        <v>0</v>
      </c>
      <c r="L27" s="271" t="s">
        <v>61</v>
      </c>
      <c r="M27" s="271" t="s">
        <v>61</v>
      </c>
      <c r="N27" s="253">
        <f>K27-'[8]Jūlijs'!K27</f>
        <v>0</v>
      </c>
    </row>
    <row r="28" spans="1:14" ht="28.5">
      <c r="A28" s="348" t="s">
        <v>307</v>
      </c>
      <c r="B28" s="362" t="s">
        <v>61</v>
      </c>
      <c r="C28" s="362" t="s">
        <v>61</v>
      </c>
      <c r="D28" s="360">
        <f>'[7]Augusts'!$Z$23-D35</f>
        <v>97452608</v>
      </c>
      <c r="E28" s="363" t="s">
        <v>61</v>
      </c>
      <c r="F28" s="364" t="s">
        <v>61</v>
      </c>
      <c r="G28" s="361">
        <f>D28-'[8]Jūlijs'!D28</f>
        <v>13146994</v>
      </c>
      <c r="H28" s="62" t="s">
        <v>307</v>
      </c>
      <c r="I28" s="248" t="s">
        <v>61</v>
      </c>
      <c r="J28" s="248" t="s">
        <v>61</v>
      </c>
      <c r="K28" s="234">
        <f>ROUND(D28/1000,0)</f>
        <v>97453</v>
      </c>
      <c r="L28" s="283" t="s">
        <v>61</v>
      </c>
      <c r="M28" s="271" t="s">
        <v>61</v>
      </c>
      <c r="N28" s="253">
        <f>K28-'[8]Jūlijs'!K28</f>
        <v>13147</v>
      </c>
    </row>
    <row r="29" spans="1:14" ht="15" customHeight="1">
      <c r="A29" s="348" t="s">
        <v>448</v>
      </c>
      <c r="B29" s="362" t="s">
        <v>61</v>
      </c>
      <c r="C29" s="362" t="s">
        <v>61</v>
      </c>
      <c r="D29" s="360">
        <f>SUM(D30:D33)</f>
        <v>328746393</v>
      </c>
      <c r="E29" s="363" t="s">
        <v>61</v>
      </c>
      <c r="F29" s="364" t="s">
        <v>61</v>
      </c>
      <c r="G29" s="361">
        <f>SUM(G30:G33)</f>
        <v>40279608</v>
      </c>
      <c r="H29" s="62" t="s">
        <v>312</v>
      </c>
      <c r="I29" s="248" t="s">
        <v>61</v>
      </c>
      <c r="J29" s="248" t="s">
        <v>61</v>
      </c>
      <c r="K29" s="230">
        <f>SUM(K30:K33)+1</f>
        <v>328747</v>
      </c>
      <c r="L29" s="283" t="s">
        <v>61</v>
      </c>
      <c r="M29" s="271" t="s">
        <v>61</v>
      </c>
      <c r="N29" s="367">
        <f>SUM(N30:N33)</f>
        <v>40280</v>
      </c>
    </row>
    <row r="30" spans="1:14" s="375" customFormat="1" ht="15" customHeight="1">
      <c r="A30" s="368" t="s">
        <v>449</v>
      </c>
      <c r="B30" s="369" t="s">
        <v>61</v>
      </c>
      <c r="C30" s="369" t="s">
        <v>61</v>
      </c>
      <c r="D30" s="370">
        <v>300377294</v>
      </c>
      <c r="E30" s="371" t="s">
        <v>61</v>
      </c>
      <c r="F30" s="372" t="s">
        <v>61</v>
      </c>
      <c r="G30" s="361">
        <f>D30-'[8]Jūlijs'!D30</f>
        <v>36940072</v>
      </c>
      <c r="H30" s="132" t="s">
        <v>449</v>
      </c>
      <c r="I30" s="260" t="s">
        <v>61</v>
      </c>
      <c r="J30" s="260" t="s">
        <v>61</v>
      </c>
      <c r="K30" s="234">
        <f aca="true" t="shared" si="4" ref="K30:K35">ROUND(D30/1000,0)</f>
        <v>300377</v>
      </c>
      <c r="L30" s="373" t="s">
        <v>61</v>
      </c>
      <c r="M30" s="374" t="s">
        <v>61</v>
      </c>
      <c r="N30" s="253">
        <f>K30-'[8]Jūlijs'!K30</f>
        <v>36940</v>
      </c>
    </row>
    <row r="31" spans="1:14" s="375" customFormat="1" ht="15" customHeight="1">
      <c r="A31" s="368" t="s">
        <v>450</v>
      </c>
      <c r="B31" s="369" t="s">
        <v>61</v>
      </c>
      <c r="C31" s="369" t="s">
        <v>61</v>
      </c>
      <c r="D31" s="370">
        <v>27671937</v>
      </c>
      <c r="E31" s="371" t="s">
        <v>61</v>
      </c>
      <c r="F31" s="372" t="s">
        <v>61</v>
      </c>
      <c r="G31" s="361">
        <f>D31-'[8]Jūlijs'!D31</f>
        <v>3250634</v>
      </c>
      <c r="H31" s="132" t="s">
        <v>450</v>
      </c>
      <c r="I31" s="260" t="s">
        <v>61</v>
      </c>
      <c r="J31" s="260" t="s">
        <v>61</v>
      </c>
      <c r="K31" s="234">
        <f t="shared" si="4"/>
        <v>27672</v>
      </c>
      <c r="L31" s="373" t="s">
        <v>61</v>
      </c>
      <c r="M31" s="374" t="s">
        <v>61</v>
      </c>
      <c r="N31" s="253">
        <f>K31-'[8]Jūlijs'!K31</f>
        <v>3251</v>
      </c>
    </row>
    <row r="32" spans="1:14" s="375" customFormat="1" ht="15" customHeight="1">
      <c r="A32" s="368" t="s">
        <v>451</v>
      </c>
      <c r="B32" s="369" t="s">
        <v>61</v>
      </c>
      <c r="C32" s="369" t="s">
        <v>61</v>
      </c>
      <c r="D32" s="370">
        <v>418911</v>
      </c>
      <c r="E32" s="371" t="s">
        <v>61</v>
      </c>
      <c r="F32" s="372" t="s">
        <v>61</v>
      </c>
      <c r="G32" s="361">
        <f>D32-'[8]Jūlijs'!D32</f>
        <v>55559</v>
      </c>
      <c r="H32" s="132" t="s">
        <v>451</v>
      </c>
      <c r="I32" s="260" t="s">
        <v>61</v>
      </c>
      <c r="J32" s="260" t="s">
        <v>61</v>
      </c>
      <c r="K32" s="234">
        <f t="shared" si="4"/>
        <v>419</v>
      </c>
      <c r="L32" s="373" t="s">
        <v>61</v>
      </c>
      <c r="M32" s="374" t="s">
        <v>61</v>
      </c>
      <c r="N32" s="253">
        <f>K32-'[8]Jūlijs'!K32</f>
        <v>56</v>
      </c>
    </row>
    <row r="33" spans="1:14" s="375" customFormat="1" ht="15" customHeight="1">
      <c r="A33" s="368" t="s">
        <v>452</v>
      </c>
      <c r="B33" s="369" t="s">
        <v>61</v>
      </c>
      <c r="C33" s="369" t="s">
        <v>61</v>
      </c>
      <c r="D33" s="370">
        <f>276785+1482-16</f>
        <v>278251</v>
      </c>
      <c r="E33" s="371" t="s">
        <v>61</v>
      </c>
      <c r="F33" s="372" t="s">
        <v>61</v>
      </c>
      <c r="G33" s="361">
        <f>D33-'[8]Jūlijs'!D33</f>
        <v>33343</v>
      </c>
      <c r="H33" s="132" t="s">
        <v>452</v>
      </c>
      <c r="I33" s="260" t="s">
        <v>61</v>
      </c>
      <c r="J33" s="260" t="s">
        <v>61</v>
      </c>
      <c r="K33" s="261">
        <f t="shared" si="4"/>
        <v>278</v>
      </c>
      <c r="L33" s="373" t="s">
        <v>61</v>
      </c>
      <c r="M33" s="374" t="s">
        <v>61</v>
      </c>
      <c r="N33" s="253">
        <f>K33-'[8]Jūlijs'!K33</f>
        <v>33</v>
      </c>
    </row>
    <row r="34" spans="1:14" ht="28.5">
      <c r="A34" s="348" t="s">
        <v>453</v>
      </c>
      <c r="B34" s="369">
        <v>66000</v>
      </c>
      <c r="C34" s="369">
        <f>46600</f>
        <v>46600</v>
      </c>
      <c r="D34" s="360">
        <f>'[7]Augusts'!$Z$29</f>
        <v>36364</v>
      </c>
      <c r="E34" s="351">
        <f>IF(ISERROR(D34/B34)," ",(D34/B34))</f>
        <v>0.550969696969697</v>
      </c>
      <c r="F34" s="351">
        <f>IF(ISERROR(D34/C34)," ",(D34/C34))</f>
        <v>0.780343347639485</v>
      </c>
      <c r="G34" s="361">
        <f>D34-'[8]Jūlijs'!D34</f>
        <v>0</v>
      </c>
      <c r="H34" s="62" t="s">
        <v>453</v>
      </c>
      <c r="I34" s="376">
        <f>ROUND(B34/1000,0)</f>
        <v>66</v>
      </c>
      <c r="J34" s="376">
        <f>ROUND(C34/1000,0)</f>
        <v>47</v>
      </c>
      <c r="K34" s="234">
        <f t="shared" si="4"/>
        <v>36</v>
      </c>
      <c r="L34" s="353">
        <f>IF(ISERROR(ROUND(J34,0)/ROUND(I34,0))," ",(ROUND(J34,)/ROUND(I34,)))*100</f>
        <v>71.21212121212122</v>
      </c>
      <c r="M34" s="353">
        <f>IF(ISERROR(ROUND(K34,0)/ROUND(J34,0))," ",(ROUND(K34,)/ROUND(J34,)))*100</f>
        <v>76.59574468085107</v>
      </c>
      <c r="N34" s="253">
        <f>K34-'[8]Jūlijs'!K34</f>
        <v>0</v>
      </c>
    </row>
    <row r="35" spans="1:14" ht="42.75">
      <c r="A35" s="348" t="s">
        <v>454</v>
      </c>
      <c r="B35" s="369">
        <v>1201200</v>
      </c>
      <c r="C35" s="369" t="s">
        <v>61</v>
      </c>
      <c r="D35" s="360">
        <f>'[7]Augusts'!$C$24</f>
        <v>800800</v>
      </c>
      <c r="E35" s="351">
        <f>IF(ISERROR(D35/B35)," ",(D35/B35))</f>
        <v>0.6666666666666666</v>
      </c>
      <c r="F35" s="372" t="s">
        <v>61</v>
      </c>
      <c r="G35" s="361">
        <f>D35-'[8]Jūlijs'!D35</f>
        <v>100100</v>
      </c>
      <c r="H35" s="62" t="s">
        <v>454</v>
      </c>
      <c r="I35" s="376">
        <f>ROUND(B35/1000,0)</f>
        <v>1201</v>
      </c>
      <c r="J35" s="260" t="s">
        <v>61</v>
      </c>
      <c r="K35" s="234">
        <f t="shared" si="4"/>
        <v>801</v>
      </c>
      <c r="L35" s="219">
        <f>IF(ISERROR(ROUND(K35,0)/ROUND(I35,0))," ",(ROUND(K35,)/ROUND(I35,)))*100</f>
        <v>66.69442131557037</v>
      </c>
      <c r="M35" s="374" t="s">
        <v>61</v>
      </c>
      <c r="N35" s="253">
        <f>K35-'[8]Jūlijs'!K35</f>
        <v>100</v>
      </c>
    </row>
    <row r="36" spans="1:14" ht="32.25" customHeight="1">
      <c r="A36" s="377" t="s">
        <v>322</v>
      </c>
      <c r="B36" s="378">
        <f>SUM(B37:B38)</f>
        <v>37395938</v>
      </c>
      <c r="C36" s="378">
        <f>SUM(C37:C38)</f>
        <v>27047390</v>
      </c>
      <c r="D36" s="378">
        <f>SUM(D37:D38)</f>
        <v>17376475</v>
      </c>
      <c r="E36" s="344">
        <f>IF(ISERROR(D36/B36)," ",(D36/B36))</f>
        <v>0.46466209779254636</v>
      </c>
      <c r="F36" s="344">
        <f>IF(ISERROR(D36/C36)," ",(D36/C36))</f>
        <v>0.6424455372588631</v>
      </c>
      <c r="G36" s="379">
        <f>SUM(G37:G38)</f>
        <v>1793684</v>
      </c>
      <c r="H36" s="141" t="s">
        <v>322</v>
      </c>
      <c r="I36" s="252">
        <f>SUM(I37:I38)</f>
        <v>37396</v>
      </c>
      <c r="J36" s="252">
        <f>SUM(J37:J38)</f>
        <v>27047</v>
      </c>
      <c r="K36" s="252">
        <f>SUM(K37:K38)</f>
        <v>17376</v>
      </c>
      <c r="L36" s="219">
        <f>IF(ISERROR(ROUND(K36,0)/ROUND(I36,0))," ",(ROUND(K36,)/ROUND(I36,)))*100</f>
        <v>46.464862552144616</v>
      </c>
      <c r="M36" s="353">
        <f>IF(ISERROR(ROUND(K36,0)/ROUND(J36,0))," ",(ROUND(K36,)/ROUND(J36,)))*100</f>
        <v>64.24372388804673</v>
      </c>
      <c r="N36" s="252">
        <f>SUM(N37:N38)</f>
        <v>1794</v>
      </c>
    </row>
    <row r="37" spans="1:14" ht="18" customHeight="1">
      <c r="A37" s="348" t="s">
        <v>324</v>
      </c>
      <c r="B37" s="380">
        <v>10550686</v>
      </c>
      <c r="C37" s="380">
        <v>8721473</v>
      </c>
      <c r="D37" s="360">
        <f>'[7]Augusts'!$Z$31</f>
        <v>6885208</v>
      </c>
      <c r="E37" s="351">
        <f>IF(ISERROR(D37/B37)," ",(D37/B37))</f>
        <v>0.6525839172922027</v>
      </c>
      <c r="F37" s="351">
        <f>IF(ISERROR(D37/C37)," ",(D37/C37))</f>
        <v>0.7894547171102863</v>
      </c>
      <c r="G37" s="361">
        <f>D37-'[8]Jūlijs'!D37</f>
        <v>603576</v>
      </c>
      <c r="H37" s="62" t="s">
        <v>324</v>
      </c>
      <c r="I37" s="253">
        <f aca="true" t="shared" si="5" ref="I37:K45">ROUND(B37/1000,0)</f>
        <v>10551</v>
      </c>
      <c r="J37" s="253">
        <f t="shared" si="5"/>
        <v>8721</v>
      </c>
      <c r="K37" s="234">
        <f t="shared" si="5"/>
        <v>6885</v>
      </c>
      <c r="L37" s="219">
        <f>IF(ISERROR(ROUND(K37,0)/ROUND(I37,0))," ",(ROUND(K37,)/ROUND(I37,)))*100</f>
        <v>65.25447824850725</v>
      </c>
      <c r="M37" s="353">
        <f>IF(ISERROR(ROUND(K37,0)/ROUND(J37,0))," ",(ROUND(K37,)/ROUND(J37,)))*100</f>
        <v>78.94736842105263</v>
      </c>
      <c r="N37" s="253">
        <f>K37-'[8]Jūlijs'!K37</f>
        <v>603</v>
      </c>
    </row>
    <row r="38" spans="1:14" ht="14.25">
      <c r="A38" s="348" t="s">
        <v>326</v>
      </c>
      <c r="B38" s="381">
        <v>26845252</v>
      </c>
      <c r="C38" s="380">
        <f>15377023+162741+426941+417131+681591+253440+536050+180000+291000</f>
        <v>18325917</v>
      </c>
      <c r="D38" s="370">
        <f>'[7]Augusts'!$Z$32</f>
        <v>10491267</v>
      </c>
      <c r="E38" s="351">
        <f>IF(ISERROR(D38/B38)," ",(D38/B38))</f>
        <v>0.39080530888665155</v>
      </c>
      <c r="F38" s="351">
        <f>IF(ISERROR(D38/C38)," ",(D38/C38))</f>
        <v>0.5724825120620157</v>
      </c>
      <c r="G38" s="361">
        <f>D38-'[8]Jūlijs'!D38</f>
        <v>1190108</v>
      </c>
      <c r="H38" s="62" t="s">
        <v>326</v>
      </c>
      <c r="I38" s="253">
        <f t="shared" si="5"/>
        <v>26845</v>
      </c>
      <c r="J38" s="253">
        <f t="shared" si="5"/>
        <v>18326</v>
      </c>
      <c r="K38" s="234">
        <f t="shared" si="5"/>
        <v>10491</v>
      </c>
      <c r="L38" s="219">
        <f aca="true" t="shared" si="6" ref="L38:L44">IF(ISERROR(ROUND(K38,0)/ROUND(I38,0))," ",(ROUND(K38,)/ROUND(I38,)))*100</f>
        <v>39.07990314769976</v>
      </c>
      <c r="M38" s="353">
        <f>IF(ISERROR(ROUND(K38,0)/ROUND(J38,0))," ",(ROUND(K38,)/ROUND(J38,)))*100</f>
        <v>57.24653497762742</v>
      </c>
      <c r="N38" s="253">
        <f>K38-'[8]Jūlijs'!K38+1</f>
        <v>1191</v>
      </c>
    </row>
    <row r="39" spans="1:14" ht="30.75" customHeight="1">
      <c r="A39" s="365" t="s">
        <v>455</v>
      </c>
      <c r="B39" s="357">
        <f>SUM(B40-B41)</f>
        <v>6739620</v>
      </c>
      <c r="C39" s="362" t="s">
        <v>61</v>
      </c>
      <c r="D39" s="357">
        <f>SUM(D40-D41)</f>
        <v>2834178</v>
      </c>
      <c r="E39" s="363" t="s">
        <v>61</v>
      </c>
      <c r="F39" s="364" t="s">
        <v>61</v>
      </c>
      <c r="G39" s="358">
        <f>SUM(G40-G41)</f>
        <v>363518</v>
      </c>
      <c r="H39" s="70" t="s">
        <v>455</v>
      </c>
      <c r="I39" s="218">
        <f t="shared" si="5"/>
        <v>6740</v>
      </c>
      <c r="J39" s="248" t="s">
        <v>61</v>
      </c>
      <c r="K39" s="49">
        <f>SUM(K40-K41)</f>
        <v>2834</v>
      </c>
      <c r="L39" s="219">
        <f t="shared" si="6"/>
        <v>42.04747774480712</v>
      </c>
      <c r="M39" s="283" t="s">
        <v>61</v>
      </c>
      <c r="N39" s="49">
        <f>SUM(N40-N41)</f>
        <v>363</v>
      </c>
    </row>
    <row r="40" spans="1:14" ht="19.5" customHeight="1">
      <c r="A40" s="359" t="s">
        <v>330</v>
      </c>
      <c r="B40" s="380">
        <v>6756000</v>
      </c>
      <c r="C40" s="362">
        <v>3943600</v>
      </c>
      <c r="D40" s="360">
        <f>'[7]Augusts'!$Z$34</f>
        <v>2864277</v>
      </c>
      <c r="E40" s="351">
        <f aca="true" t="shared" si="7" ref="E40:E45">IF(ISERROR(D40/B40)," ",(D40/B40))</f>
        <v>0.42396047957371225</v>
      </c>
      <c r="F40" s="351">
        <f>IF(ISERROR(D40/C40)," ",(D40/C40))</f>
        <v>0.7263102241606654</v>
      </c>
      <c r="G40" s="361">
        <f>D40-'[8]Jūlijs'!D40</f>
        <v>366727</v>
      </c>
      <c r="H40" s="228" t="s">
        <v>330</v>
      </c>
      <c r="I40" s="234">
        <f t="shared" si="5"/>
        <v>6756</v>
      </c>
      <c r="J40" s="234">
        <f>ROUND(C40/1000,0)</f>
        <v>3944</v>
      </c>
      <c r="K40" s="234">
        <f>ROUND(D40/1000,0)</f>
        <v>2864</v>
      </c>
      <c r="L40" s="219">
        <f t="shared" si="6"/>
        <v>42.391947898164595</v>
      </c>
      <c r="M40" s="353">
        <f>IF(ISERROR(ROUND(K40,0)/ROUND(J40,0))," ",(ROUND(K40,)/ROUND(J40,)))*100</f>
        <v>72.61663286004057</v>
      </c>
      <c r="N40" s="253">
        <f>K40-'[8]Jūlijs'!K40</f>
        <v>366</v>
      </c>
    </row>
    <row r="41" spans="1:14" ht="27.75" customHeight="1">
      <c r="A41" s="382" t="s">
        <v>332</v>
      </c>
      <c r="B41" s="380">
        <v>16380</v>
      </c>
      <c r="C41" s="362">
        <v>7856</v>
      </c>
      <c r="D41" s="360">
        <f>-'[7]Augusts'!$Z$35</f>
        <v>30099</v>
      </c>
      <c r="E41" s="351">
        <f t="shared" si="7"/>
        <v>1.8375457875457875</v>
      </c>
      <c r="F41" s="351">
        <f>IF(ISERROR(D41/C41)," ",(D41/C41))</f>
        <v>3.8313391038696536</v>
      </c>
      <c r="G41" s="361">
        <f>D41-'[8]Jūlijs'!D41</f>
        <v>3209</v>
      </c>
      <c r="H41" s="191" t="s">
        <v>332</v>
      </c>
      <c r="I41" s="234">
        <f t="shared" si="5"/>
        <v>16</v>
      </c>
      <c r="J41" s="234">
        <f>ROUND(C41/1000,0)</f>
        <v>8</v>
      </c>
      <c r="K41" s="234">
        <f>ROUND(D41/1000,0)</f>
        <v>30</v>
      </c>
      <c r="L41" s="219">
        <f t="shared" si="6"/>
        <v>187.5</v>
      </c>
      <c r="M41" s="271" t="s">
        <v>61</v>
      </c>
      <c r="N41" s="253">
        <f>K41-'[8]Jūlijs'!K41</f>
        <v>3</v>
      </c>
    </row>
    <row r="42" spans="1:163" s="383" customFormat="1" ht="21.75" customHeight="1">
      <c r="A42" s="365" t="s">
        <v>456</v>
      </c>
      <c r="B42" s="378">
        <f>SUM(B10-B14-B39)</f>
        <v>-50424176</v>
      </c>
      <c r="C42" s="362" t="s">
        <v>61</v>
      </c>
      <c r="D42" s="378">
        <f>SUM(D10-D14-D39)</f>
        <v>-32459668</v>
      </c>
      <c r="E42" s="344">
        <f t="shared" si="7"/>
        <v>0.643732244628053</v>
      </c>
      <c r="F42" s="364" t="s">
        <v>61</v>
      </c>
      <c r="G42" s="379">
        <f>SUM(G10-G14-G39)</f>
        <v>-1942612</v>
      </c>
      <c r="H42" s="70" t="s">
        <v>456</v>
      </c>
      <c r="I42" s="218">
        <f t="shared" si="5"/>
        <v>-50424</v>
      </c>
      <c r="J42" s="248" t="s">
        <v>61</v>
      </c>
      <c r="K42" s="252">
        <f>SUM(K10-K14-K39)</f>
        <v>-32460</v>
      </c>
      <c r="L42" s="219">
        <f t="shared" si="6"/>
        <v>64.37410756782485</v>
      </c>
      <c r="M42" s="271" t="s">
        <v>61</v>
      </c>
      <c r="N42" s="252">
        <f>SUM(N10-N14-N39)</f>
        <v>-1943</v>
      </c>
      <c r="O42" s="294"/>
      <c r="P42" s="294"/>
      <c r="Q42" s="294"/>
      <c r="R42" s="294"/>
      <c r="S42" s="294"/>
      <c r="T42" s="294"/>
      <c r="U42" s="294"/>
      <c r="V42" s="294"/>
      <c r="W42" s="294"/>
      <c r="X42" s="294"/>
      <c r="Y42" s="294"/>
      <c r="Z42" s="294"/>
      <c r="AA42" s="294"/>
      <c r="AB42" s="294"/>
      <c r="AC42" s="294"/>
      <c r="AD42" s="294"/>
      <c r="AE42" s="294"/>
      <c r="AF42" s="294"/>
      <c r="AG42" s="294"/>
      <c r="AH42" s="294"/>
      <c r="AI42" s="294"/>
      <c r="AJ42" s="294"/>
      <c r="AK42" s="294"/>
      <c r="AL42" s="294"/>
      <c r="AM42" s="294"/>
      <c r="AN42" s="294"/>
      <c r="AO42" s="294"/>
      <c r="AP42" s="294"/>
      <c r="AQ42" s="294"/>
      <c r="AR42" s="294"/>
      <c r="AS42" s="294"/>
      <c r="AT42" s="294"/>
      <c r="AU42" s="294"/>
      <c r="AV42" s="294"/>
      <c r="AW42" s="294"/>
      <c r="AX42" s="294"/>
      <c r="AY42" s="294"/>
      <c r="AZ42" s="294"/>
      <c r="BA42" s="294"/>
      <c r="BB42" s="294"/>
      <c r="BC42" s="294"/>
      <c r="BD42" s="294"/>
      <c r="BE42" s="294"/>
      <c r="BF42" s="294"/>
      <c r="BG42" s="294"/>
      <c r="BH42" s="294"/>
      <c r="BI42" s="294"/>
      <c r="BJ42" s="294"/>
      <c r="BK42" s="294"/>
      <c r="BL42" s="294"/>
      <c r="BM42" s="294"/>
      <c r="BN42" s="294"/>
      <c r="BO42" s="294"/>
      <c r="BP42" s="294"/>
      <c r="BQ42" s="294"/>
      <c r="BR42" s="294"/>
      <c r="BS42" s="294"/>
      <c r="BT42" s="294"/>
      <c r="BU42" s="294"/>
      <c r="BV42" s="294"/>
      <c r="BW42" s="294"/>
      <c r="BX42" s="294"/>
      <c r="BY42" s="294"/>
      <c r="BZ42" s="294"/>
      <c r="CA42" s="294"/>
      <c r="CB42" s="294"/>
      <c r="CC42" s="294"/>
      <c r="CD42" s="294"/>
      <c r="CE42" s="294"/>
      <c r="CF42" s="294"/>
      <c r="CG42" s="294"/>
      <c r="CH42" s="294"/>
      <c r="CI42" s="294"/>
      <c r="CJ42" s="294"/>
      <c r="CK42" s="294"/>
      <c r="CL42" s="294"/>
      <c r="CM42" s="294"/>
      <c r="CN42" s="294"/>
      <c r="CO42" s="294"/>
      <c r="CP42" s="294"/>
      <c r="CQ42" s="294"/>
      <c r="CR42" s="294"/>
      <c r="CS42" s="294"/>
      <c r="CT42" s="294"/>
      <c r="CU42" s="294"/>
      <c r="CV42" s="294"/>
      <c r="CW42" s="294"/>
      <c r="CX42" s="294"/>
      <c r="CY42" s="294"/>
      <c r="CZ42" s="294"/>
      <c r="DA42" s="294"/>
      <c r="DB42" s="294"/>
      <c r="DC42" s="294"/>
      <c r="DD42" s="294"/>
      <c r="DE42" s="294"/>
      <c r="DF42" s="294"/>
      <c r="DG42" s="294"/>
      <c r="DH42" s="294"/>
      <c r="DI42" s="294"/>
      <c r="DJ42" s="294"/>
      <c r="DK42" s="294"/>
      <c r="DL42" s="294"/>
      <c r="DM42" s="294"/>
      <c r="DN42" s="294"/>
      <c r="DO42" s="294"/>
      <c r="DP42" s="294"/>
      <c r="DQ42" s="294"/>
      <c r="DR42" s="294"/>
      <c r="DS42" s="294"/>
      <c r="DT42" s="294"/>
      <c r="DU42" s="294"/>
      <c r="DV42" s="294"/>
      <c r="DW42" s="294"/>
      <c r="DX42" s="294"/>
      <c r="DY42" s="294"/>
      <c r="DZ42" s="294"/>
      <c r="EA42" s="294"/>
      <c r="EB42" s="294"/>
      <c r="EC42" s="294"/>
      <c r="ED42" s="294"/>
      <c r="EE42" s="294"/>
      <c r="EF42" s="294"/>
      <c r="EG42" s="294"/>
      <c r="EH42" s="294"/>
      <c r="EI42" s="294"/>
      <c r="EJ42" s="294"/>
      <c r="EK42" s="294"/>
      <c r="EL42" s="294"/>
      <c r="EM42" s="294"/>
      <c r="EN42" s="294"/>
      <c r="EO42" s="294"/>
      <c r="EP42" s="294"/>
      <c r="EQ42" s="294"/>
      <c r="ER42" s="294"/>
      <c r="ES42" s="294"/>
      <c r="ET42" s="294"/>
      <c r="EU42" s="294"/>
      <c r="EV42" s="294"/>
      <c r="EW42" s="294"/>
      <c r="EX42" s="294"/>
      <c r="EY42" s="294"/>
      <c r="EZ42" s="294"/>
      <c r="FA42" s="294"/>
      <c r="FB42" s="294"/>
      <c r="FC42" s="294"/>
      <c r="FD42" s="294"/>
      <c r="FE42" s="294"/>
      <c r="FF42" s="294"/>
      <c r="FG42" s="294"/>
    </row>
    <row r="43" spans="1:163" s="383" customFormat="1" ht="18" customHeight="1">
      <c r="A43" s="365" t="s">
        <v>335</v>
      </c>
      <c r="B43" s="357">
        <f>SUM(B44:B45)</f>
        <v>50424176</v>
      </c>
      <c r="C43" s="362" t="s">
        <v>61</v>
      </c>
      <c r="D43" s="357">
        <f>SUM(D44:D45)</f>
        <v>32459668</v>
      </c>
      <c r="E43" s="351">
        <f t="shared" si="7"/>
        <v>0.643732244628053</v>
      </c>
      <c r="F43" s="364" t="s">
        <v>61</v>
      </c>
      <c r="G43" s="358">
        <f>SUM(G44:G45)</f>
        <v>1942612</v>
      </c>
      <c r="H43" s="70" t="s">
        <v>335</v>
      </c>
      <c r="I43" s="218">
        <f t="shared" si="5"/>
        <v>50424</v>
      </c>
      <c r="J43" s="248" t="s">
        <v>61</v>
      </c>
      <c r="K43" s="218">
        <f>K44+K45</f>
        <v>32460</v>
      </c>
      <c r="L43" s="219">
        <f t="shared" si="6"/>
        <v>64.37410756782485</v>
      </c>
      <c r="M43" s="271" t="s">
        <v>61</v>
      </c>
      <c r="N43" s="182">
        <f>SUM(N44:N45)</f>
        <v>1943</v>
      </c>
      <c r="O43" s="294"/>
      <c r="P43" s="294"/>
      <c r="Q43" s="294"/>
      <c r="R43" s="294"/>
      <c r="S43" s="294"/>
      <c r="T43" s="294"/>
      <c r="U43" s="294"/>
      <c r="V43" s="294"/>
      <c r="W43" s="294"/>
      <c r="X43" s="294"/>
      <c r="Y43" s="294"/>
      <c r="Z43" s="294"/>
      <c r="AA43" s="294"/>
      <c r="AB43" s="294"/>
      <c r="AC43" s="294"/>
      <c r="AD43" s="294"/>
      <c r="AE43" s="294"/>
      <c r="AF43" s="294"/>
      <c r="AG43" s="294"/>
      <c r="AH43" s="294"/>
      <c r="AI43" s="294"/>
      <c r="AJ43" s="294"/>
      <c r="AK43" s="294"/>
      <c r="AL43" s="294"/>
      <c r="AM43" s="294"/>
      <c r="AN43" s="294"/>
      <c r="AO43" s="294"/>
      <c r="AP43" s="294"/>
      <c r="AQ43" s="294"/>
      <c r="AR43" s="294"/>
      <c r="AS43" s="294"/>
      <c r="AT43" s="294"/>
      <c r="AU43" s="294"/>
      <c r="AV43" s="294"/>
      <c r="AW43" s="294"/>
      <c r="AX43" s="294"/>
      <c r="AY43" s="294"/>
      <c r="AZ43" s="294"/>
      <c r="BA43" s="294"/>
      <c r="BB43" s="294"/>
      <c r="BC43" s="294"/>
      <c r="BD43" s="294"/>
      <c r="BE43" s="294"/>
      <c r="BF43" s="294"/>
      <c r="BG43" s="294"/>
      <c r="BH43" s="294"/>
      <c r="BI43" s="294"/>
      <c r="BJ43" s="294"/>
      <c r="BK43" s="294"/>
      <c r="BL43" s="294"/>
      <c r="BM43" s="294"/>
      <c r="BN43" s="294"/>
      <c r="BO43" s="294"/>
      <c r="BP43" s="294"/>
      <c r="BQ43" s="294"/>
      <c r="BR43" s="294"/>
      <c r="BS43" s="294"/>
      <c r="BT43" s="294"/>
      <c r="BU43" s="294"/>
      <c r="BV43" s="294"/>
      <c r="BW43" s="294"/>
      <c r="BX43" s="294"/>
      <c r="BY43" s="294"/>
      <c r="BZ43" s="294"/>
      <c r="CA43" s="294"/>
      <c r="CB43" s="294"/>
      <c r="CC43" s="294"/>
      <c r="CD43" s="294"/>
      <c r="CE43" s="294"/>
      <c r="CF43" s="294"/>
      <c r="CG43" s="294"/>
      <c r="CH43" s="294"/>
      <c r="CI43" s="294"/>
      <c r="CJ43" s="294"/>
      <c r="CK43" s="294"/>
      <c r="CL43" s="294"/>
      <c r="CM43" s="294"/>
      <c r="CN43" s="294"/>
      <c r="CO43" s="294"/>
      <c r="CP43" s="294"/>
      <c r="CQ43" s="294"/>
      <c r="CR43" s="294"/>
      <c r="CS43" s="294"/>
      <c r="CT43" s="294"/>
      <c r="CU43" s="294"/>
      <c r="CV43" s="294"/>
      <c r="CW43" s="294"/>
      <c r="CX43" s="294"/>
      <c r="CY43" s="294"/>
      <c r="CZ43" s="294"/>
      <c r="DA43" s="294"/>
      <c r="DB43" s="294"/>
      <c r="DC43" s="294"/>
      <c r="DD43" s="294"/>
      <c r="DE43" s="294"/>
      <c r="DF43" s="294"/>
      <c r="DG43" s="294"/>
      <c r="DH43" s="294"/>
      <c r="DI43" s="294"/>
      <c r="DJ43" s="294"/>
      <c r="DK43" s="294"/>
      <c r="DL43" s="294"/>
      <c r="DM43" s="294"/>
      <c r="DN43" s="294"/>
      <c r="DO43" s="294"/>
      <c r="DP43" s="294"/>
      <c r="DQ43" s="294"/>
      <c r="DR43" s="294"/>
      <c r="DS43" s="294"/>
      <c r="DT43" s="294"/>
      <c r="DU43" s="294"/>
      <c r="DV43" s="294"/>
      <c r="DW43" s="294"/>
      <c r="DX43" s="294"/>
      <c r="DY43" s="294"/>
      <c r="DZ43" s="294"/>
      <c r="EA43" s="294"/>
      <c r="EB43" s="294"/>
      <c r="EC43" s="294"/>
      <c r="ED43" s="294"/>
      <c r="EE43" s="294"/>
      <c r="EF43" s="294"/>
      <c r="EG43" s="294"/>
      <c r="EH43" s="294"/>
      <c r="EI43" s="294"/>
      <c r="EJ43" s="294"/>
      <c r="EK43" s="294"/>
      <c r="EL43" s="294"/>
      <c r="EM43" s="294"/>
      <c r="EN43" s="294"/>
      <c r="EO43" s="294"/>
      <c r="EP43" s="294"/>
      <c r="EQ43" s="294"/>
      <c r="ER43" s="294"/>
      <c r="ES43" s="294"/>
      <c r="ET43" s="294"/>
      <c r="EU43" s="294"/>
      <c r="EV43" s="294"/>
      <c r="EW43" s="294"/>
      <c r="EX43" s="294"/>
      <c r="EY43" s="294"/>
      <c r="EZ43" s="294"/>
      <c r="FA43" s="294"/>
      <c r="FB43" s="294"/>
      <c r="FC43" s="294"/>
      <c r="FD43" s="294"/>
      <c r="FE43" s="294"/>
      <c r="FF43" s="294"/>
      <c r="FG43" s="294"/>
    </row>
    <row r="44" spans="1:163" s="383" customFormat="1" ht="30" customHeight="1">
      <c r="A44" s="348" t="s">
        <v>457</v>
      </c>
      <c r="B44" s="380">
        <v>52217619</v>
      </c>
      <c r="C44" s="362" t="s">
        <v>61</v>
      </c>
      <c r="D44" s="360">
        <f>'[7]Augusts'!$H$43+'[7]Augusts'!$P$43+'[7]Augusts'!$J$43-'[7]Augusts'!$J$15+'[7]Augusts'!$D$43-377312+'[7]Augusts'!$C$43+'[7]Augusts'!$C$39+'[7]Augusts'!$Q$43-'[7]Augusts'!$Q$15</f>
        <v>39177538</v>
      </c>
      <c r="E44" s="351">
        <f t="shared" si="7"/>
        <v>0.7502743087539093</v>
      </c>
      <c r="F44" s="364" t="s">
        <v>61</v>
      </c>
      <c r="G44" s="361">
        <f>D44-'[8]Jūlijs'!D44</f>
        <v>1962178</v>
      </c>
      <c r="H44" s="62" t="s">
        <v>458</v>
      </c>
      <c r="I44" s="234">
        <f t="shared" si="5"/>
        <v>52218</v>
      </c>
      <c r="J44" s="248" t="s">
        <v>61</v>
      </c>
      <c r="K44" s="234">
        <f>ROUND(D44/1000,0)</f>
        <v>39178</v>
      </c>
      <c r="L44" s="219">
        <f t="shared" si="6"/>
        <v>75.02776820253553</v>
      </c>
      <c r="M44" s="271" t="s">
        <v>61</v>
      </c>
      <c r="N44" s="253">
        <f>K44-'[8]Jūlijs'!K44</f>
        <v>1963</v>
      </c>
      <c r="O44" s="294"/>
      <c r="P44" s="294"/>
      <c r="Q44" s="294"/>
      <c r="R44" s="294"/>
      <c r="S44" s="294"/>
      <c r="T44" s="294"/>
      <c r="U44" s="294"/>
      <c r="V44" s="294"/>
      <c r="W44" s="294"/>
      <c r="X44" s="294"/>
      <c r="Y44" s="294"/>
      <c r="Z44" s="294"/>
      <c r="AA44" s="294"/>
      <c r="AB44" s="294"/>
      <c r="AC44" s="294"/>
      <c r="AD44" s="294"/>
      <c r="AE44" s="294"/>
      <c r="AF44" s="294"/>
      <c r="AG44" s="294"/>
      <c r="AH44" s="294"/>
      <c r="AI44" s="294"/>
      <c r="AJ44" s="294"/>
      <c r="AK44" s="294"/>
      <c r="AL44" s="294"/>
      <c r="AM44" s="294"/>
      <c r="AN44" s="294"/>
      <c r="AO44" s="294"/>
      <c r="AP44" s="294"/>
      <c r="AQ44" s="294"/>
      <c r="AR44" s="294"/>
      <c r="AS44" s="294"/>
      <c r="AT44" s="294"/>
      <c r="AU44" s="294"/>
      <c r="AV44" s="294"/>
      <c r="AW44" s="294"/>
      <c r="AX44" s="294"/>
      <c r="AY44" s="294"/>
      <c r="AZ44" s="294"/>
      <c r="BA44" s="294"/>
      <c r="BB44" s="294"/>
      <c r="BC44" s="294"/>
      <c r="BD44" s="294"/>
      <c r="BE44" s="294"/>
      <c r="BF44" s="294"/>
      <c r="BG44" s="294"/>
      <c r="BH44" s="294"/>
      <c r="BI44" s="294"/>
      <c r="BJ44" s="294"/>
      <c r="BK44" s="294"/>
      <c r="BL44" s="294"/>
      <c r="BM44" s="294"/>
      <c r="BN44" s="294"/>
      <c r="BO44" s="294"/>
      <c r="BP44" s="294"/>
      <c r="BQ44" s="294"/>
      <c r="BR44" s="294"/>
      <c r="BS44" s="294"/>
      <c r="BT44" s="294"/>
      <c r="BU44" s="294"/>
      <c r="BV44" s="294"/>
      <c r="BW44" s="294"/>
      <c r="BX44" s="294"/>
      <c r="BY44" s="294"/>
      <c r="BZ44" s="294"/>
      <c r="CA44" s="294"/>
      <c r="CB44" s="294"/>
      <c r="CC44" s="294"/>
      <c r="CD44" s="294"/>
      <c r="CE44" s="294"/>
      <c r="CF44" s="294"/>
      <c r="CG44" s="294"/>
      <c r="CH44" s="294"/>
      <c r="CI44" s="294"/>
      <c r="CJ44" s="294"/>
      <c r="CK44" s="294"/>
      <c r="CL44" s="294"/>
      <c r="CM44" s="294"/>
      <c r="CN44" s="294"/>
      <c r="CO44" s="294"/>
      <c r="CP44" s="294"/>
      <c r="CQ44" s="294"/>
      <c r="CR44" s="294"/>
      <c r="CS44" s="294"/>
      <c r="CT44" s="294"/>
      <c r="CU44" s="294"/>
      <c r="CV44" s="294"/>
      <c r="CW44" s="294"/>
      <c r="CX44" s="294"/>
      <c r="CY44" s="294"/>
      <c r="CZ44" s="294"/>
      <c r="DA44" s="294"/>
      <c r="DB44" s="294"/>
      <c r="DC44" s="294"/>
      <c r="DD44" s="294"/>
      <c r="DE44" s="294"/>
      <c r="DF44" s="294"/>
      <c r="DG44" s="294"/>
      <c r="DH44" s="294"/>
      <c r="DI44" s="294"/>
      <c r="DJ44" s="294"/>
      <c r="DK44" s="294"/>
      <c r="DL44" s="294"/>
      <c r="DM44" s="294"/>
      <c r="DN44" s="294"/>
      <c r="DO44" s="294"/>
      <c r="DP44" s="294"/>
      <c r="DQ44" s="294"/>
      <c r="DR44" s="294"/>
      <c r="DS44" s="294"/>
      <c r="DT44" s="294"/>
      <c r="DU44" s="294"/>
      <c r="DV44" s="294"/>
      <c r="DW44" s="294"/>
      <c r="DX44" s="294"/>
      <c r="DY44" s="294"/>
      <c r="DZ44" s="294"/>
      <c r="EA44" s="294"/>
      <c r="EB44" s="294"/>
      <c r="EC44" s="294"/>
      <c r="ED44" s="294"/>
      <c r="EE44" s="294"/>
      <c r="EF44" s="294"/>
      <c r="EG44" s="294"/>
      <c r="EH44" s="294"/>
      <c r="EI44" s="294"/>
      <c r="EJ44" s="294"/>
      <c r="EK44" s="294"/>
      <c r="EL44" s="294"/>
      <c r="EM44" s="294"/>
      <c r="EN44" s="294"/>
      <c r="EO44" s="294"/>
      <c r="EP44" s="294"/>
      <c r="EQ44" s="294"/>
      <c r="ER44" s="294"/>
      <c r="ES44" s="294"/>
      <c r="ET44" s="294"/>
      <c r="EU44" s="294"/>
      <c r="EV44" s="294"/>
      <c r="EW44" s="294"/>
      <c r="EX44" s="294"/>
      <c r="EY44" s="294"/>
      <c r="EZ44" s="294"/>
      <c r="FA44" s="294"/>
      <c r="FB44" s="294"/>
      <c r="FC44" s="294"/>
      <c r="FD44" s="294"/>
      <c r="FE44" s="294"/>
      <c r="FF44" s="294"/>
      <c r="FG44" s="294"/>
    </row>
    <row r="45" spans="1:163" s="383" customFormat="1" ht="51" customHeight="1">
      <c r="A45" s="348" t="s">
        <v>459</v>
      </c>
      <c r="B45" s="380">
        <v>-1793443</v>
      </c>
      <c r="C45" s="362" t="s">
        <v>61</v>
      </c>
      <c r="D45" s="360">
        <f>-(D42+D44)</f>
        <v>-6717870</v>
      </c>
      <c r="E45" s="351">
        <f t="shared" si="7"/>
        <v>3.7457950991472826</v>
      </c>
      <c r="F45" s="364" t="s">
        <v>61</v>
      </c>
      <c r="G45" s="361">
        <f>D45-'[8]Jūlijs'!D45</f>
        <v>-19566</v>
      </c>
      <c r="H45" s="62" t="s">
        <v>459</v>
      </c>
      <c r="I45" s="234">
        <f t="shared" si="5"/>
        <v>-1793</v>
      </c>
      <c r="J45" s="248" t="s">
        <v>61</v>
      </c>
      <c r="K45" s="234">
        <f>ROUND(D45/1000,0)</f>
        <v>-6718</v>
      </c>
      <c r="L45" s="384"/>
      <c r="M45" s="271" t="s">
        <v>61</v>
      </c>
      <c r="N45" s="234">
        <f>K45-'[8]Jūlijs'!K45</f>
        <v>-20</v>
      </c>
      <c r="O45" s="294"/>
      <c r="P45" s="294"/>
      <c r="Q45" s="294"/>
      <c r="R45" s="294"/>
      <c r="S45" s="294"/>
      <c r="T45" s="294"/>
      <c r="U45" s="294"/>
      <c r="V45" s="294"/>
      <c r="W45" s="294"/>
      <c r="X45" s="294"/>
      <c r="Y45" s="294"/>
      <c r="Z45" s="294"/>
      <c r="AA45" s="294"/>
      <c r="AB45" s="294"/>
      <c r="AC45" s="294"/>
      <c r="AD45" s="294"/>
      <c r="AE45" s="294"/>
      <c r="AF45" s="294"/>
      <c r="AG45" s="294"/>
      <c r="AH45" s="294"/>
      <c r="AI45" s="294"/>
      <c r="AJ45" s="294"/>
      <c r="AK45" s="294"/>
      <c r="AL45" s="294"/>
      <c r="AM45" s="294"/>
      <c r="AN45" s="294"/>
      <c r="AO45" s="294"/>
      <c r="AP45" s="294"/>
      <c r="AQ45" s="294"/>
      <c r="AR45" s="294"/>
      <c r="AS45" s="294"/>
      <c r="AT45" s="294"/>
      <c r="AU45" s="294"/>
      <c r="AV45" s="294"/>
      <c r="AW45" s="294"/>
      <c r="AX45" s="294"/>
      <c r="AY45" s="294"/>
      <c r="AZ45" s="294"/>
      <c r="BA45" s="294"/>
      <c r="BB45" s="294"/>
      <c r="BC45" s="294"/>
      <c r="BD45" s="294"/>
      <c r="BE45" s="294"/>
      <c r="BF45" s="294"/>
      <c r="BG45" s="294"/>
      <c r="BH45" s="294"/>
      <c r="BI45" s="294"/>
      <c r="BJ45" s="294"/>
      <c r="BK45" s="294"/>
      <c r="BL45" s="294"/>
      <c r="BM45" s="294"/>
      <c r="BN45" s="294"/>
      <c r="BO45" s="294"/>
      <c r="BP45" s="294"/>
      <c r="BQ45" s="294"/>
      <c r="BR45" s="294"/>
      <c r="BS45" s="294"/>
      <c r="BT45" s="294"/>
      <c r="BU45" s="294"/>
      <c r="BV45" s="294"/>
      <c r="BW45" s="294"/>
      <c r="BX45" s="294"/>
      <c r="BY45" s="294"/>
      <c r="BZ45" s="294"/>
      <c r="CA45" s="294"/>
      <c r="CB45" s="294"/>
      <c r="CC45" s="294"/>
      <c r="CD45" s="294"/>
      <c r="CE45" s="294"/>
      <c r="CF45" s="294"/>
      <c r="CG45" s="294"/>
      <c r="CH45" s="294"/>
      <c r="CI45" s="294"/>
      <c r="CJ45" s="294"/>
      <c r="CK45" s="294"/>
      <c r="CL45" s="294"/>
      <c r="CM45" s="294"/>
      <c r="CN45" s="294"/>
      <c r="CO45" s="294"/>
      <c r="CP45" s="294"/>
      <c r="CQ45" s="294"/>
      <c r="CR45" s="294"/>
      <c r="CS45" s="294"/>
      <c r="CT45" s="294"/>
      <c r="CU45" s="294"/>
      <c r="CV45" s="294"/>
      <c r="CW45" s="294"/>
      <c r="CX45" s="294"/>
      <c r="CY45" s="294"/>
      <c r="CZ45" s="294"/>
      <c r="DA45" s="294"/>
      <c r="DB45" s="294"/>
      <c r="DC45" s="294"/>
      <c r="DD45" s="294"/>
      <c r="DE45" s="294"/>
      <c r="DF45" s="294"/>
      <c r="DG45" s="294"/>
      <c r="DH45" s="294"/>
      <c r="DI45" s="294"/>
      <c r="DJ45" s="294"/>
      <c r="DK45" s="294"/>
      <c r="DL45" s="294"/>
      <c r="DM45" s="294"/>
      <c r="DN45" s="294"/>
      <c r="DO45" s="294"/>
      <c r="DP45" s="294"/>
      <c r="DQ45" s="294"/>
      <c r="DR45" s="294"/>
      <c r="DS45" s="294"/>
      <c r="DT45" s="294"/>
      <c r="DU45" s="294"/>
      <c r="DV45" s="294"/>
      <c r="DW45" s="294"/>
      <c r="DX45" s="294"/>
      <c r="DY45" s="294"/>
      <c r="DZ45" s="294"/>
      <c r="EA45" s="294"/>
      <c r="EB45" s="294"/>
      <c r="EC45" s="294"/>
      <c r="ED45" s="294"/>
      <c r="EE45" s="294"/>
      <c r="EF45" s="294"/>
      <c r="EG45" s="294"/>
      <c r="EH45" s="294"/>
      <c r="EI45" s="294"/>
      <c r="EJ45" s="294"/>
      <c r="EK45" s="294"/>
      <c r="EL45" s="294"/>
      <c r="EM45" s="294"/>
      <c r="EN45" s="294"/>
      <c r="EO45" s="294"/>
      <c r="EP45" s="294"/>
      <c r="EQ45" s="294"/>
      <c r="ER45" s="294"/>
      <c r="ES45" s="294"/>
      <c r="ET45" s="294"/>
      <c r="EU45" s="294"/>
      <c r="EV45" s="294"/>
      <c r="EW45" s="294"/>
      <c r="EX45" s="294"/>
      <c r="EY45" s="294"/>
      <c r="EZ45" s="294"/>
      <c r="FA45" s="294"/>
      <c r="FB45" s="294"/>
      <c r="FC45" s="294"/>
      <c r="FD45" s="294"/>
      <c r="FE45" s="294"/>
      <c r="FF45" s="294"/>
      <c r="FG45" s="294"/>
    </row>
    <row r="46" spans="1:14" s="390" customFormat="1" ht="14.25">
      <c r="A46" s="385"/>
      <c r="B46" s="386"/>
      <c r="C46" s="386"/>
      <c r="D46" s="387"/>
      <c r="E46" s="388"/>
      <c r="F46" s="389"/>
      <c r="H46" s="197"/>
      <c r="I46" s="391"/>
      <c r="J46" s="391"/>
      <c r="K46" s="198"/>
      <c r="L46" s="392"/>
      <c r="M46" s="393"/>
      <c r="N46" s="75"/>
    </row>
    <row r="47" spans="1:14" s="390" customFormat="1" ht="14.25">
      <c r="A47" s="385"/>
      <c r="B47" s="386"/>
      <c r="C47" s="386"/>
      <c r="D47" s="387"/>
      <c r="E47" s="388"/>
      <c r="F47" s="389"/>
      <c r="H47" s="197"/>
      <c r="I47" s="391"/>
      <c r="J47" s="391"/>
      <c r="K47" s="198"/>
      <c r="L47" s="392"/>
      <c r="M47" s="393"/>
      <c r="N47" s="75"/>
    </row>
    <row r="48" spans="1:14" s="390" customFormat="1" ht="14.25">
      <c r="A48" s="385"/>
      <c r="B48" s="386"/>
      <c r="C48" s="386"/>
      <c r="D48" s="387"/>
      <c r="E48" s="388"/>
      <c r="F48" s="389"/>
      <c r="H48" s="197"/>
      <c r="I48" s="391"/>
      <c r="J48" s="391"/>
      <c r="K48" s="198"/>
      <c r="L48" s="392"/>
      <c r="M48" s="393"/>
      <c r="N48" s="75"/>
    </row>
    <row r="49" spans="1:14" s="390" customFormat="1" ht="14.25">
      <c r="A49" s="385"/>
      <c r="B49" s="386"/>
      <c r="C49" s="386"/>
      <c r="D49" s="387"/>
      <c r="E49" s="388"/>
      <c r="F49" s="389"/>
      <c r="H49" s="75"/>
      <c r="I49" s="391"/>
      <c r="J49" s="391"/>
      <c r="K49" s="198"/>
      <c r="L49" s="392"/>
      <c r="M49" s="393"/>
      <c r="N49" s="75"/>
    </row>
    <row r="50" spans="1:14" s="390" customFormat="1" ht="14.25">
      <c r="A50" s="394" t="s">
        <v>341</v>
      </c>
      <c r="B50" s="386"/>
      <c r="C50" s="386"/>
      <c r="D50" s="387"/>
      <c r="E50" s="388"/>
      <c r="F50" s="389"/>
      <c r="H50" s="75"/>
      <c r="I50" s="391"/>
      <c r="J50" s="391"/>
      <c r="K50" s="198"/>
      <c r="L50" s="392"/>
      <c r="M50" s="393"/>
      <c r="N50" s="75"/>
    </row>
    <row r="51" spans="1:14" s="390" customFormat="1" ht="14.25">
      <c r="A51" s="385"/>
      <c r="B51" s="386"/>
      <c r="C51" s="386"/>
      <c r="D51" s="387"/>
      <c r="E51" s="388"/>
      <c r="F51" s="389"/>
      <c r="H51" s="75"/>
      <c r="I51" s="391"/>
      <c r="J51" s="391"/>
      <c r="K51" s="198"/>
      <c r="L51" s="392"/>
      <c r="M51" s="393"/>
      <c r="N51" s="75"/>
    </row>
    <row r="52" spans="1:14" ht="14.25">
      <c r="A52" s="385"/>
      <c r="B52" s="395"/>
      <c r="C52" s="395"/>
      <c r="E52" s="388"/>
      <c r="F52" s="396"/>
      <c r="H52" s="43"/>
      <c r="I52" s="397"/>
      <c r="J52" s="397"/>
      <c r="K52" s="30"/>
      <c r="L52" s="392"/>
      <c r="M52" s="398"/>
      <c r="N52" s="43"/>
    </row>
    <row r="53" spans="2:14" ht="15">
      <c r="B53" s="395"/>
      <c r="C53" s="395"/>
      <c r="E53" s="399"/>
      <c r="F53" s="396"/>
      <c r="H53" s="43"/>
      <c r="I53" s="397"/>
      <c r="J53" s="397"/>
      <c r="K53" s="30"/>
      <c r="L53" s="400"/>
      <c r="M53" s="398"/>
      <c r="N53" s="43"/>
    </row>
    <row r="54" spans="2:14" ht="14.25">
      <c r="B54" s="332"/>
      <c r="C54" s="332"/>
      <c r="D54" s="332"/>
      <c r="E54" s="401"/>
      <c r="F54" s="402"/>
      <c r="H54" s="43"/>
      <c r="I54" s="43"/>
      <c r="J54" s="43"/>
      <c r="K54" s="43"/>
      <c r="L54" s="203"/>
      <c r="M54" s="206"/>
      <c r="N54" s="43"/>
    </row>
    <row r="55" spans="2:14" ht="14.25">
      <c r="B55" s="395"/>
      <c r="C55" s="395"/>
      <c r="E55" s="403"/>
      <c r="F55" s="396"/>
      <c r="H55" s="37" t="s">
        <v>460</v>
      </c>
      <c r="I55" s="397"/>
      <c r="J55" s="404"/>
      <c r="K55" s="30"/>
      <c r="L55" s="36"/>
      <c r="M55" s="398"/>
      <c r="N55" s="43"/>
    </row>
    <row r="56" spans="2:13" ht="14.25">
      <c r="B56" s="395"/>
      <c r="C56" s="395"/>
      <c r="E56" s="403"/>
      <c r="F56" s="405"/>
      <c r="I56" s="403"/>
      <c r="J56" s="403"/>
      <c r="L56" s="403"/>
      <c r="M56" s="405"/>
    </row>
    <row r="57" spans="2:13" ht="14.25">
      <c r="B57" s="395"/>
      <c r="C57" s="395"/>
      <c r="E57" s="403"/>
      <c r="F57" s="405"/>
      <c r="I57" s="403"/>
      <c r="J57" s="403"/>
      <c r="L57" s="403"/>
      <c r="M57" s="405"/>
    </row>
    <row r="58" spans="2:13" ht="14.25">
      <c r="B58" s="395"/>
      <c r="C58" s="395"/>
      <c r="E58" s="403"/>
      <c r="F58" s="405"/>
      <c r="I58" s="406"/>
      <c r="J58" s="395"/>
      <c r="K58" s="407"/>
      <c r="L58" s="403"/>
      <c r="M58" s="405"/>
    </row>
    <row r="59" spans="2:13" ht="14.25">
      <c r="B59" s="395"/>
      <c r="C59" s="395"/>
      <c r="E59" s="403"/>
      <c r="F59" s="405"/>
      <c r="I59" s="406"/>
      <c r="J59" s="395"/>
      <c r="K59" s="407"/>
      <c r="L59" s="403"/>
      <c r="M59" s="405"/>
    </row>
    <row r="60" spans="2:13" ht="14.25">
      <c r="B60" s="395"/>
      <c r="C60" s="395"/>
      <c r="E60" s="403"/>
      <c r="F60" s="405"/>
      <c r="I60" s="406"/>
      <c r="J60" s="395"/>
      <c r="K60" s="407"/>
      <c r="L60" s="403"/>
      <c r="M60" s="405"/>
    </row>
    <row r="61" spans="2:13" ht="14.25">
      <c r="B61" s="395"/>
      <c r="C61" s="395"/>
      <c r="E61" s="403"/>
      <c r="F61" s="403"/>
      <c r="I61" s="403"/>
      <c r="J61" s="403"/>
      <c r="L61" s="403"/>
      <c r="M61" s="403"/>
    </row>
    <row r="62" spans="2:13" ht="14.25">
      <c r="B62" s="395"/>
      <c r="C62" s="395"/>
      <c r="E62" s="403"/>
      <c r="F62" s="403"/>
      <c r="I62" s="403"/>
      <c r="J62" s="403"/>
      <c r="L62" s="403"/>
      <c r="M62" s="403"/>
    </row>
    <row r="63" spans="2:13" ht="14.25">
      <c r="B63" s="395"/>
      <c r="C63" s="395"/>
      <c r="E63" s="403"/>
      <c r="F63" s="403"/>
      <c r="L63" s="403"/>
      <c r="M63" s="403"/>
    </row>
    <row r="64" spans="5:13" ht="14.25">
      <c r="E64" s="403"/>
      <c r="F64" s="403"/>
      <c r="H64" s="385"/>
      <c r="L64" s="403"/>
      <c r="M64" s="403"/>
    </row>
    <row r="65" spans="5:13" ht="14.25">
      <c r="E65" s="403"/>
      <c r="F65" s="403"/>
      <c r="H65" s="385"/>
      <c r="L65" s="403"/>
      <c r="M65" s="403"/>
    </row>
    <row r="66" spans="5:13" ht="14.25">
      <c r="E66" s="403"/>
      <c r="F66" s="403"/>
      <c r="H66" s="385"/>
      <c r="L66" s="403"/>
      <c r="M66" s="403"/>
    </row>
    <row r="67" spans="5:6" ht="14.25">
      <c r="E67" s="403"/>
      <c r="F67" s="403"/>
    </row>
    <row r="68" spans="5:8" ht="14.25">
      <c r="E68" s="403"/>
      <c r="F68" s="403"/>
      <c r="H68" s="2" t="s">
        <v>174</v>
      </c>
    </row>
    <row r="69" spans="5:8" ht="14.25">
      <c r="E69" s="403"/>
      <c r="F69" s="403"/>
      <c r="H69" s="2" t="s">
        <v>96</v>
      </c>
    </row>
    <row r="70" spans="5:6" ht="14.25">
      <c r="E70" s="403"/>
      <c r="F70" s="403"/>
    </row>
    <row r="71" spans="5:6" ht="14.25">
      <c r="E71" s="403"/>
      <c r="F71" s="403"/>
    </row>
    <row r="72" spans="5:6" ht="14.25">
      <c r="E72" s="403"/>
      <c r="F72" s="403"/>
    </row>
    <row r="73" spans="5:6" ht="14.25">
      <c r="E73" s="403"/>
      <c r="F73" s="403"/>
    </row>
    <row r="74" spans="5:6" ht="14.25">
      <c r="E74" s="403"/>
      <c r="F74" s="403"/>
    </row>
    <row r="75" spans="5:6" ht="14.25">
      <c r="E75" s="403"/>
      <c r="F75" s="403"/>
    </row>
    <row r="76" spans="5:6" ht="14.25">
      <c r="E76" s="403"/>
      <c r="F76" s="403"/>
    </row>
    <row r="77" spans="5:6" ht="14.25">
      <c r="E77" s="403"/>
      <c r="F77" s="403"/>
    </row>
    <row r="78" spans="5:6" ht="14.25">
      <c r="E78" s="403"/>
      <c r="F78" s="403"/>
    </row>
    <row r="79" spans="5:6" ht="14.25">
      <c r="E79" s="403"/>
      <c r="F79" s="403"/>
    </row>
    <row r="80" spans="5:6" ht="14.25">
      <c r="E80" s="403"/>
      <c r="F80" s="403"/>
    </row>
    <row r="81" spans="5:6" ht="14.25">
      <c r="E81" s="403"/>
      <c r="F81" s="403"/>
    </row>
    <row r="82" spans="5:6" ht="14.25">
      <c r="E82" s="403"/>
      <c r="F82" s="403"/>
    </row>
    <row r="83" spans="5:6" ht="14.25">
      <c r="E83" s="403"/>
      <c r="F83" s="403"/>
    </row>
    <row r="84" spans="5:6" ht="14.25">
      <c r="E84" s="403"/>
      <c r="F84" s="403"/>
    </row>
    <row r="85" spans="5:6" ht="14.25">
      <c r="E85" s="403"/>
      <c r="F85" s="403"/>
    </row>
    <row r="86" spans="5:6" ht="14.25">
      <c r="E86" s="403"/>
      <c r="F86" s="403"/>
    </row>
    <row r="87" spans="5:6" ht="14.25">
      <c r="E87" s="403"/>
      <c r="F87" s="403"/>
    </row>
    <row r="88" spans="5:6" ht="14.25">
      <c r="E88" s="403"/>
      <c r="F88" s="403"/>
    </row>
    <row r="89" spans="5:6" ht="14.25">
      <c r="E89" s="403"/>
      <c r="F89" s="403"/>
    </row>
    <row r="90" spans="5:6" ht="14.25">
      <c r="E90" s="403"/>
      <c r="F90" s="403"/>
    </row>
    <row r="91" spans="5:6" ht="14.25">
      <c r="E91" s="403"/>
      <c r="F91" s="403"/>
    </row>
    <row r="92" spans="5:6" ht="14.25">
      <c r="E92" s="403"/>
      <c r="F92" s="403"/>
    </row>
    <row r="93" spans="5:6" ht="14.25">
      <c r="E93" s="403"/>
      <c r="F93" s="403"/>
    </row>
    <row r="94" spans="5:6" ht="14.25">
      <c r="E94" s="403"/>
      <c r="F94" s="403"/>
    </row>
    <row r="95" spans="5:6" ht="14.25">
      <c r="E95" s="403"/>
      <c r="F95" s="403"/>
    </row>
    <row r="96" spans="5:6" ht="14.25">
      <c r="E96" s="403"/>
      <c r="F96" s="403"/>
    </row>
    <row r="97" spans="5:6" ht="14.25">
      <c r="E97" s="403"/>
      <c r="F97" s="403"/>
    </row>
    <row r="98" spans="1:6" ht="14.25">
      <c r="A98" s="294" t="s">
        <v>174</v>
      </c>
      <c r="E98" s="403"/>
      <c r="F98" s="403"/>
    </row>
    <row r="99" spans="1:6" ht="14.25">
      <c r="A99" s="294" t="s">
        <v>96</v>
      </c>
      <c r="E99" s="403"/>
      <c r="F99" s="403"/>
    </row>
    <row r="100" spans="5:6" ht="14.25">
      <c r="E100" s="403"/>
      <c r="F100" s="403"/>
    </row>
    <row r="101" spans="5:6" ht="14.25">
      <c r="E101" s="403"/>
      <c r="F101" s="403"/>
    </row>
    <row r="102" spans="5:6" ht="14.25">
      <c r="E102" s="403"/>
      <c r="F102" s="403"/>
    </row>
    <row r="103" spans="5:6" ht="14.25">
      <c r="E103" s="403"/>
      <c r="F103" s="403"/>
    </row>
    <row r="104" spans="5:6" ht="14.25">
      <c r="E104" s="403"/>
      <c r="F104" s="403"/>
    </row>
    <row r="105" spans="5:6" ht="14.25">
      <c r="E105" s="403"/>
      <c r="F105" s="403"/>
    </row>
    <row r="106" spans="5:6" ht="14.25">
      <c r="E106" s="403"/>
      <c r="F106" s="403"/>
    </row>
    <row r="107" spans="5:6" ht="14.25">
      <c r="E107" s="403"/>
      <c r="F107" s="403"/>
    </row>
    <row r="108" spans="5:6" ht="14.25">
      <c r="E108" s="403"/>
      <c r="F108" s="403"/>
    </row>
    <row r="109" spans="5:6" ht="14.25">
      <c r="E109" s="403"/>
      <c r="F109" s="403"/>
    </row>
    <row r="110" spans="5:6" ht="14.25">
      <c r="E110" s="403"/>
      <c r="F110" s="403"/>
    </row>
    <row r="111" spans="5:6" ht="14.25">
      <c r="E111" s="403"/>
      <c r="F111" s="403"/>
    </row>
    <row r="112" spans="5:6" ht="14.25">
      <c r="E112" s="403"/>
      <c r="F112" s="403"/>
    </row>
    <row r="113" spans="5:6" ht="14.25">
      <c r="E113" s="403"/>
      <c r="F113" s="403"/>
    </row>
    <row r="114" spans="5:6" ht="14.25">
      <c r="E114" s="403"/>
      <c r="F114" s="403"/>
    </row>
    <row r="115" spans="5:6" ht="14.25">
      <c r="E115" s="403"/>
      <c r="F115" s="403"/>
    </row>
    <row r="116" spans="5:6" ht="14.25">
      <c r="E116" s="403"/>
      <c r="F116" s="403"/>
    </row>
    <row r="117" spans="5:6" ht="14.25">
      <c r="E117" s="403"/>
      <c r="F117" s="403"/>
    </row>
    <row r="118" spans="5:6" ht="14.25">
      <c r="E118" s="403"/>
      <c r="F118" s="403"/>
    </row>
    <row r="119" spans="5:6" ht="14.25">
      <c r="E119" s="403"/>
      <c r="F119" s="403"/>
    </row>
    <row r="120" spans="5:6" ht="14.25">
      <c r="E120" s="403"/>
      <c r="F120" s="403"/>
    </row>
    <row r="121" spans="5:6" ht="14.25">
      <c r="E121" s="403"/>
      <c r="F121" s="403"/>
    </row>
    <row r="122" spans="5:6" ht="14.25">
      <c r="E122" s="403"/>
      <c r="F122" s="403"/>
    </row>
    <row r="123" spans="5:6" ht="14.25">
      <c r="E123" s="403"/>
      <c r="F123" s="403"/>
    </row>
    <row r="124" spans="5:6" ht="14.25">
      <c r="E124" s="403"/>
      <c r="F124" s="403"/>
    </row>
    <row r="125" spans="5:6" ht="14.25">
      <c r="E125" s="403"/>
      <c r="F125" s="403"/>
    </row>
    <row r="126" spans="5:6" ht="14.25">
      <c r="E126" s="403"/>
      <c r="F126" s="403"/>
    </row>
    <row r="127" spans="5:6" ht="14.25">
      <c r="E127" s="403"/>
      <c r="F127" s="403"/>
    </row>
    <row r="128" spans="5:6" ht="14.25">
      <c r="E128" s="403"/>
      <c r="F128" s="403"/>
    </row>
    <row r="129" spans="5:6" ht="14.25">
      <c r="E129" s="403"/>
      <c r="F129" s="403"/>
    </row>
    <row r="130" spans="5:6" ht="14.25">
      <c r="E130" s="403"/>
      <c r="F130" s="403"/>
    </row>
    <row r="131" spans="5:6" ht="14.25">
      <c r="E131" s="403"/>
      <c r="F131" s="403"/>
    </row>
    <row r="132" spans="5:6" ht="14.25">
      <c r="E132" s="403"/>
      <c r="F132" s="403"/>
    </row>
    <row r="133" spans="5:6" ht="14.25">
      <c r="E133" s="403"/>
      <c r="F133" s="403"/>
    </row>
    <row r="134" spans="5:6" ht="14.25">
      <c r="E134" s="403"/>
      <c r="F134" s="403"/>
    </row>
    <row r="135" spans="5:6" ht="14.25">
      <c r="E135" s="403"/>
      <c r="F135" s="403"/>
    </row>
    <row r="136" spans="5:6" ht="14.25">
      <c r="E136" s="403"/>
      <c r="F136" s="403"/>
    </row>
    <row r="137" spans="5:6" ht="14.25">
      <c r="E137" s="403"/>
      <c r="F137" s="403"/>
    </row>
    <row r="138" spans="5:6" ht="14.25">
      <c r="E138" s="403"/>
      <c r="F138" s="403"/>
    </row>
    <row r="139" spans="5:6" ht="14.25">
      <c r="E139" s="403"/>
      <c r="F139" s="403"/>
    </row>
    <row r="140" spans="5:6" ht="14.25">
      <c r="E140" s="403"/>
      <c r="F140" s="403"/>
    </row>
    <row r="141" spans="5:6" ht="14.25">
      <c r="E141" s="403"/>
      <c r="F141" s="403"/>
    </row>
    <row r="142" spans="5:6" ht="14.25">
      <c r="E142" s="403"/>
      <c r="F142" s="403"/>
    </row>
    <row r="143" spans="5:6" ht="14.25">
      <c r="E143" s="403"/>
      <c r="F143" s="403"/>
    </row>
    <row r="144" spans="5:6" ht="14.25">
      <c r="E144" s="403"/>
      <c r="F144" s="403"/>
    </row>
    <row r="145" spans="5:6" ht="14.25">
      <c r="E145" s="403"/>
      <c r="F145" s="403"/>
    </row>
    <row r="146" spans="5:6" ht="14.25">
      <c r="E146" s="403"/>
      <c r="F146" s="403"/>
    </row>
    <row r="147" spans="5:6" ht="14.25">
      <c r="E147" s="403"/>
      <c r="F147" s="403"/>
    </row>
    <row r="148" spans="5:6" ht="14.25">
      <c r="E148" s="403"/>
      <c r="F148" s="403"/>
    </row>
    <row r="149" spans="5:6" ht="14.25">
      <c r="E149" s="403"/>
      <c r="F149" s="403"/>
    </row>
    <row r="150" spans="5:6" ht="14.25">
      <c r="E150" s="403"/>
      <c r="F150" s="403"/>
    </row>
    <row r="151" spans="5:6" ht="14.25">
      <c r="E151" s="403"/>
      <c r="F151" s="403"/>
    </row>
    <row r="152" spans="5:6" ht="14.25">
      <c r="E152" s="403"/>
      <c r="F152" s="403"/>
    </row>
    <row r="153" spans="5:6" ht="14.25">
      <c r="E153" s="403"/>
      <c r="F153" s="403"/>
    </row>
    <row r="154" spans="5:6" ht="14.25">
      <c r="E154" s="403"/>
      <c r="F154" s="403"/>
    </row>
    <row r="155" spans="5:6" ht="14.25">
      <c r="E155" s="403"/>
      <c r="F155" s="403"/>
    </row>
    <row r="156" spans="5:6" ht="14.25">
      <c r="E156" s="403"/>
      <c r="F156" s="403"/>
    </row>
    <row r="157" spans="5:6" ht="14.25">
      <c r="E157" s="403"/>
      <c r="F157" s="403"/>
    </row>
    <row r="158" spans="5:6" ht="14.25">
      <c r="E158" s="403"/>
      <c r="F158" s="403"/>
    </row>
    <row r="159" spans="5:6" ht="14.25">
      <c r="E159" s="403"/>
      <c r="F159" s="403"/>
    </row>
    <row r="160" spans="5:6" ht="14.25">
      <c r="E160" s="403"/>
      <c r="F160" s="403"/>
    </row>
    <row r="161" spans="5:6" ht="14.25">
      <c r="E161" s="403"/>
      <c r="F161" s="403"/>
    </row>
    <row r="162" spans="5:6" ht="14.25">
      <c r="E162" s="403"/>
      <c r="F162" s="403"/>
    </row>
    <row r="163" spans="5:6" ht="14.25">
      <c r="E163" s="403"/>
      <c r="F163" s="403"/>
    </row>
    <row r="164" spans="5:6" ht="14.25">
      <c r="E164" s="403"/>
      <c r="F164" s="403"/>
    </row>
    <row r="165" spans="5:6" ht="14.25">
      <c r="E165" s="403"/>
      <c r="F165" s="403"/>
    </row>
    <row r="166" spans="5:6" ht="14.25">
      <c r="E166" s="403"/>
      <c r="F166" s="403"/>
    </row>
    <row r="167" spans="5:6" ht="14.25">
      <c r="E167" s="403"/>
      <c r="F167" s="403"/>
    </row>
    <row r="168" spans="5:6" ht="14.25">
      <c r="E168" s="403"/>
      <c r="F168" s="403"/>
    </row>
    <row r="169" spans="5:6" ht="14.25">
      <c r="E169" s="403"/>
      <c r="F169" s="403"/>
    </row>
    <row r="170" spans="5:6" ht="14.25">
      <c r="E170" s="403"/>
      <c r="F170" s="403"/>
    </row>
    <row r="171" spans="5:6" ht="14.25">
      <c r="E171" s="403"/>
      <c r="F171" s="403"/>
    </row>
    <row r="172" spans="5:6" ht="14.25">
      <c r="E172" s="403"/>
      <c r="F172" s="403"/>
    </row>
    <row r="173" spans="5:6" ht="14.25">
      <c r="E173" s="403"/>
      <c r="F173" s="403"/>
    </row>
    <row r="174" spans="5:6" ht="14.25">
      <c r="E174" s="403"/>
      <c r="F174" s="403"/>
    </row>
    <row r="175" spans="5:6" ht="14.25">
      <c r="E175" s="403"/>
      <c r="F175" s="403"/>
    </row>
    <row r="176" spans="5:6" ht="14.25">
      <c r="E176" s="403"/>
      <c r="F176" s="403"/>
    </row>
    <row r="177" spans="5:6" ht="14.25">
      <c r="E177" s="403"/>
      <c r="F177" s="403"/>
    </row>
    <row r="178" spans="5:6" ht="14.25">
      <c r="E178" s="403"/>
      <c r="F178" s="403"/>
    </row>
    <row r="179" spans="5:6" ht="14.25">
      <c r="E179" s="403"/>
      <c r="F179" s="403"/>
    </row>
    <row r="180" spans="5:6" ht="14.25">
      <c r="E180" s="403"/>
      <c r="F180" s="403"/>
    </row>
    <row r="181" spans="5:6" ht="14.25">
      <c r="E181" s="403"/>
      <c r="F181" s="403"/>
    </row>
    <row r="182" spans="5:6" ht="14.25">
      <c r="E182" s="403"/>
      <c r="F182" s="403"/>
    </row>
    <row r="183" spans="5:6" ht="14.25">
      <c r="E183" s="403"/>
      <c r="F183" s="403"/>
    </row>
    <row r="184" spans="5:6" ht="14.25">
      <c r="E184" s="403"/>
      <c r="F184" s="403"/>
    </row>
    <row r="185" spans="5:6" ht="14.25">
      <c r="E185" s="403"/>
      <c r="F185" s="403"/>
    </row>
    <row r="186" spans="5:6" ht="14.25">
      <c r="E186" s="403"/>
      <c r="F186" s="403"/>
    </row>
    <row r="187" spans="5:6" ht="14.25">
      <c r="E187" s="403"/>
      <c r="F187" s="403"/>
    </row>
    <row r="188" spans="5:6" ht="14.25">
      <c r="E188" s="403"/>
      <c r="F188" s="403"/>
    </row>
    <row r="189" spans="5:6" ht="14.25">
      <c r="E189" s="403"/>
      <c r="F189" s="403"/>
    </row>
    <row r="190" spans="5:6" ht="14.25">
      <c r="E190" s="403"/>
      <c r="F190" s="403"/>
    </row>
    <row r="191" spans="5:6" ht="14.25">
      <c r="E191" s="403"/>
      <c r="F191" s="403"/>
    </row>
    <row r="192" spans="5:6" ht="14.25">
      <c r="E192" s="403"/>
      <c r="F192" s="403"/>
    </row>
    <row r="193" spans="5:6" ht="14.25">
      <c r="E193" s="403"/>
      <c r="F193" s="403"/>
    </row>
    <row r="194" spans="5:6" ht="14.25">
      <c r="E194" s="403"/>
      <c r="F194" s="403"/>
    </row>
    <row r="195" spans="5:6" ht="14.25">
      <c r="E195" s="403"/>
      <c r="F195" s="403"/>
    </row>
    <row r="196" spans="5:6" ht="14.25">
      <c r="E196" s="403"/>
      <c r="F196" s="403"/>
    </row>
    <row r="197" spans="5:6" ht="14.25">
      <c r="E197" s="403"/>
      <c r="F197" s="403"/>
    </row>
    <row r="198" spans="5:6" ht="14.25">
      <c r="E198" s="403"/>
      <c r="F198" s="403"/>
    </row>
    <row r="199" spans="5:6" ht="14.25">
      <c r="E199" s="403"/>
      <c r="F199" s="403"/>
    </row>
    <row r="200" spans="5:6" ht="14.25">
      <c r="E200" s="403"/>
      <c r="F200" s="403"/>
    </row>
    <row r="201" spans="5:6" ht="14.25">
      <c r="E201" s="403"/>
      <c r="F201" s="403"/>
    </row>
    <row r="202" spans="5:6" ht="14.25">
      <c r="E202" s="403"/>
      <c r="F202" s="403"/>
    </row>
    <row r="203" spans="5:6" ht="14.25">
      <c r="E203" s="403"/>
      <c r="F203" s="403"/>
    </row>
    <row r="204" spans="5:6" ht="14.25">
      <c r="E204" s="403"/>
      <c r="F204" s="403"/>
    </row>
    <row r="205" spans="5:6" ht="14.25">
      <c r="E205" s="403"/>
      <c r="F205" s="403"/>
    </row>
    <row r="206" spans="5:6" ht="14.25">
      <c r="E206" s="403"/>
      <c r="F206" s="403"/>
    </row>
    <row r="207" spans="5:6" ht="14.25">
      <c r="E207" s="403"/>
      <c r="F207" s="403"/>
    </row>
    <row r="208" spans="5:6" ht="14.25">
      <c r="E208" s="403"/>
      <c r="F208" s="403"/>
    </row>
    <row r="209" spans="5:6" ht="14.25">
      <c r="E209" s="403"/>
      <c r="F209" s="403"/>
    </row>
    <row r="210" spans="5:6" ht="14.25">
      <c r="E210" s="403"/>
      <c r="F210" s="403"/>
    </row>
    <row r="211" spans="5:6" ht="14.25">
      <c r="E211" s="403"/>
      <c r="F211" s="403"/>
    </row>
    <row r="212" spans="5:6" ht="14.25">
      <c r="E212" s="403"/>
      <c r="F212" s="403"/>
    </row>
    <row r="213" spans="5:6" ht="14.25">
      <c r="E213" s="403"/>
      <c r="F213" s="403"/>
    </row>
    <row r="214" spans="5:6" ht="14.25">
      <c r="E214" s="403"/>
      <c r="F214" s="403"/>
    </row>
    <row r="215" spans="5:6" ht="14.25">
      <c r="E215" s="403"/>
      <c r="F215" s="403"/>
    </row>
    <row r="216" spans="5:6" ht="14.25">
      <c r="E216" s="403"/>
      <c r="F216" s="403"/>
    </row>
    <row r="217" spans="5:6" ht="14.25">
      <c r="E217" s="403"/>
      <c r="F217" s="403"/>
    </row>
    <row r="218" spans="5:6" ht="14.25">
      <c r="E218" s="403"/>
      <c r="F218" s="403"/>
    </row>
    <row r="219" spans="5:6" ht="14.25">
      <c r="E219" s="403"/>
      <c r="F219" s="403"/>
    </row>
    <row r="220" spans="5:6" ht="14.25">
      <c r="E220" s="403"/>
      <c r="F220" s="403"/>
    </row>
    <row r="221" spans="5:6" ht="14.25">
      <c r="E221" s="403"/>
      <c r="F221" s="403"/>
    </row>
    <row r="222" spans="5:6" ht="14.25">
      <c r="E222" s="403"/>
      <c r="F222" s="403"/>
    </row>
    <row r="223" spans="5:6" ht="14.25">
      <c r="E223" s="403"/>
      <c r="F223" s="403"/>
    </row>
    <row r="224" spans="5:6" ht="14.25">
      <c r="E224" s="403"/>
      <c r="F224" s="403"/>
    </row>
    <row r="225" spans="5:6" ht="14.25">
      <c r="E225" s="403"/>
      <c r="F225" s="403"/>
    </row>
    <row r="226" spans="5:6" ht="14.25">
      <c r="E226" s="403"/>
      <c r="F226" s="403"/>
    </row>
    <row r="227" spans="5:6" ht="14.25">
      <c r="E227" s="403"/>
      <c r="F227" s="403"/>
    </row>
    <row r="228" spans="5:6" ht="14.25">
      <c r="E228" s="403"/>
      <c r="F228" s="403"/>
    </row>
    <row r="229" spans="5:6" ht="14.25">
      <c r="E229" s="403"/>
      <c r="F229" s="403"/>
    </row>
    <row r="230" spans="5:6" ht="14.25">
      <c r="E230" s="403"/>
      <c r="F230" s="403"/>
    </row>
    <row r="231" spans="5:6" ht="14.25">
      <c r="E231" s="403"/>
      <c r="F231" s="403"/>
    </row>
    <row r="232" spans="5:6" ht="14.25">
      <c r="E232" s="403"/>
      <c r="F232" s="403"/>
    </row>
    <row r="233" spans="5:6" ht="14.25">
      <c r="E233" s="403"/>
      <c r="F233" s="403"/>
    </row>
    <row r="234" spans="5:6" ht="14.25">
      <c r="E234" s="403"/>
      <c r="F234" s="403"/>
    </row>
    <row r="235" spans="5:6" ht="14.25">
      <c r="E235" s="403"/>
      <c r="F235" s="403"/>
    </row>
    <row r="236" spans="5:6" ht="14.25">
      <c r="E236" s="403"/>
      <c r="F236" s="403"/>
    </row>
    <row r="237" spans="5:6" ht="14.25">
      <c r="E237" s="403"/>
      <c r="F237" s="403"/>
    </row>
    <row r="238" spans="5:6" ht="14.25">
      <c r="E238" s="403"/>
      <c r="F238" s="403"/>
    </row>
    <row r="239" spans="5:6" ht="14.25">
      <c r="E239" s="403"/>
      <c r="F239" s="403"/>
    </row>
    <row r="240" spans="5:6" ht="14.25">
      <c r="E240" s="403"/>
      <c r="F240" s="403"/>
    </row>
    <row r="241" spans="5:6" ht="14.25">
      <c r="E241" s="403"/>
      <c r="F241" s="403"/>
    </row>
    <row r="242" spans="5:6" ht="14.25">
      <c r="E242" s="403"/>
      <c r="F242" s="403"/>
    </row>
    <row r="243" spans="5:6" ht="14.25">
      <c r="E243" s="403"/>
      <c r="F243" s="403"/>
    </row>
    <row r="244" spans="5:6" ht="14.25">
      <c r="E244" s="403"/>
      <c r="F244" s="403"/>
    </row>
    <row r="245" spans="5:6" ht="14.25">
      <c r="E245" s="403"/>
      <c r="F245" s="403"/>
    </row>
    <row r="246" spans="5:6" ht="14.25">
      <c r="E246" s="403"/>
      <c r="F246" s="403"/>
    </row>
    <row r="247" spans="5:6" ht="14.25">
      <c r="E247" s="403"/>
      <c r="F247" s="403"/>
    </row>
    <row r="248" spans="5:6" ht="14.25">
      <c r="E248" s="403"/>
      <c r="F248" s="403"/>
    </row>
    <row r="249" spans="5:6" ht="14.25">
      <c r="E249" s="403"/>
      <c r="F249" s="403"/>
    </row>
    <row r="250" spans="5:6" ht="14.25">
      <c r="E250" s="403"/>
      <c r="F250" s="403"/>
    </row>
    <row r="251" spans="5:6" ht="14.25">
      <c r="E251" s="403"/>
      <c r="F251" s="403"/>
    </row>
    <row r="252" spans="5:6" ht="14.25">
      <c r="E252" s="403"/>
      <c r="F252" s="403"/>
    </row>
    <row r="253" spans="5:6" ht="14.25">
      <c r="E253" s="403"/>
      <c r="F253" s="403"/>
    </row>
    <row r="254" spans="5:6" ht="14.25">
      <c r="E254" s="403"/>
      <c r="F254" s="403"/>
    </row>
    <row r="255" spans="5:6" ht="14.25">
      <c r="E255" s="403"/>
      <c r="F255" s="403"/>
    </row>
    <row r="256" spans="5:6" ht="14.25">
      <c r="E256" s="403"/>
      <c r="F256" s="403"/>
    </row>
    <row r="257" spans="5:6" ht="14.25">
      <c r="E257" s="403"/>
      <c r="F257" s="403"/>
    </row>
    <row r="258" spans="5:6" ht="14.25">
      <c r="E258" s="403"/>
      <c r="F258" s="403"/>
    </row>
    <row r="259" spans="5:6" ht="14.25">
      <c r="E259" s="403"/>
      <c r="F259" s="403"/>
    </row>
    <row r="260" spans="5:6" ht="14.25">
      <c r="E260" s="403"/>
      <c r="F260" s="403"/>
    </row>
    <row r="261" spans="5:6" ht="14.25">
      <c r="E261" s="403"/>
      <c r="F261" s="403"/>
    </row>
    <row r="262" spans="5:6" ht="14.25">
      <c r="E262" s="403"/>
      <c r="F262" s="403"/>
    </row>
    <row r="263" spans="5:6" ht="14.25">
      <c r="E263" s="403"/>
      <c r="F263" s="403"/>
    </row>
    <row r="264" spans="5:6" ht="14.25">
      <c r="E264" s="403"/>
      <c r="F264" s="403"/>
    </row>
    <row r="265" spans="5:6" ht="14.25">
      <c r="E265" s="403"/>
      <c r="F265" s="403"/>
    </row>
    <row r="266" spans="5:6" ht="14.25">
      <c r="E266" s="403"/>
      <c r="F266" s="403"/>
    </row>
    <row r="267" spans="5:6" ht="14.25">
      <c r="E267" s="403"/>
      <c r="F267" s="403"/>
    </row>
    <row r="268" spans="5:6" ht="14.25">
      <c r="E268" s="403"/>
      <c r="F268" s="403"/>
    </row>
    <row r="269" spans="5:6" ht="14.25">
      <c r="E269" s="403"/>
      <c r="F269" s="403"/>
    </row>
    <row r="270" spans="5:6" ht="14.25">
      <c r="E270" s="403"/>
      <c r="F270" s="403"/>
    </row>
    <row r="271" spans="5:6" ht="14.25">
      <c r="E271" s="403"/>
      <c r="F271" s="403"/>
    </row>
    <row r="272" spans="5:6" ht="14.25">
      <c r="E272" s="403"/>
      <c r="F272" s="403"/>
    </row>
    <row r="273" spans="5:6" ht="14.25">
      <c r="E273" s="403"/>
      <c r="F273" s="403"/>
    </row>
    <row r="274" spans="5:6" ht="14.25">
      <c r="E274" s="403"/>
      <c r="F274" s="403"/>
    </row>
    <row r="275" spans="5:6" ht="14.25">
      <c r="E275" s="403"/>
      <c r="F275" s="403"/>
    </row>
    <row r="276" spans="5:6" ht="14.25">
      <c r="E276" s="403"/>
      <c r="F276" s="403"/>
    </row>
    <row r="277" spans="5:6" ht="14.25">
      <c r="E277" s="403"/>
      <c r="F277" s="403"/>
    </row>
    <row r="278" spans="5:6" ht="14.25">
      <c r="E278" s="403"/>
      <c r="F278" s="403"/>
    </row>
    <row r="279" spans="5:6" ht="14.25">
      <c r="E279" s="403"/>
      <c r="F279" s="403"/>
    </row>
    <row r="280" spans="5:6" ht="14.25">
      <c r="E280" s="403"/>
      <c r="F280" s="403"/>
    </row>
    <row r="281" spans="5:6" ht="14.25">
      <c r="E281" s="403"/>
      <c r="F281" s="403"/>
    </row>
    <row r="282" spans="5:6" ht="14.25">
      <c r="E282" s="403"/>
      <c r="F282" s="403"/>
    </row>
    <row r="283" spans="5:6" ht="14.25">
      <c r="E283" s="403"/>
      <c r="F283" s="403"/>
    </row>
    <row r="284" spans="5:6" ht="14.25">
      <c r="E284" s="403"/>
      <c r="F284" s="403"/>
    </row>
    <row r="285" spans="5:6" ht="14.25">
      <c r="E285" s="403"/>
      <c r="F285" s="403"/>
    </row>
    <row r="286" spans="5:6" ht="14.25">
      <c r="E286" s="403"/>
      <c r="F286" s="403"/>
    </row>
    <row r="287" spans="5:6" ht="14.25">
      <c r="E287" s="403"/>
      <c r="F287" s="403"/>
    </row>
    <row r="288" spans="5:6" ht="14.25">
      <c r="E288" s="403"/>
      <c r="F288" s="403"/>
    </row>
    <row r="289" spans="5:6" ht="14.25">
      <c r="E289" s="403"/>
      <c r="F289" s="403"/>
    </row>
    <row r="290" spans="5:6" ht="14.25">
      <c r="E290" s="403"/>
      <c r="F290" s="403"/>
    </row>
    <row r="291" spans="5:6" ht="14.25">
      <c r="E291" s="403"/>
      <c r="F291" s="403"/>
    </row>
    <row r="292" spans="5:6" ht="14.25">
      <c r="E292" s="403"/>
      <c r="F292" s="403"/>
    </row>
    <row r="293" spans="5:6" ht="14.25">
      <c r="E293" s="403"/>
      <c r="F293" s="403"/>
    </row>
    <row r="294" spans="5:6" ht="14.25">
      <c r="E294" s="403"/>
      <c r="F294" s="403"/>
    </row>
    <row r="295" spans="5:6" ht="14.25">
      <c r="E295" s="403"/>
      <c r="F295" s="403"/>
    </row>
    <row r="296" spans="5:6" ht="14.25">
      <c r="E296" s="403"/>
      <c r="F296" s="403"/>
    </row>
    <row r="297" spans="5:6" ht="14.25">
      <c r="E297" s="403"/>
      <c r="F297" s="403"/>
    </row>
    <row r="298" spans="5:6" ht="14.25">
      <c r="E298" s="403"/>
      <c r="F298" s="403"/>
    </row>
    <row r="299" spans="5:6" ht="14.25">
      <c r="E299" s="403"/>
      <c r="F299" s="403"/>
    </row>
    <row r="300" spans="5:6" ht="14.25">
      <c r="E300" s="403"/>
      <c r="F300" s="403"/>
    </row>
    <row r="301" spans="5:6" ht="14.25">
      <c r="E301" s="403"/>
      <c r="F301" s="403"/>
    </row>
    <row r="302" spans="5:6" ht="14.25">
      <c r="E302" s="403"/>
      <c r="F302" s="403"/>
    </row>
    <row r="303" spans="5:6" ht="14.25">
      <c r="E303" s="403"/>
      <c r="F303" s="403"/>
    </row>
    <row r="304" spans="5:6" ht="14.25">
      <c r="E304" s="403"/>
      <c r="F304" s="403"/>
    </row>
    <row r="305" spans="5:6" ht="14.25">
      <c r="E305" s="403"/>
      <c r="F305" s="403"/>
    </row>
    <row r="306" spans="5:6" ht="14.25">
      <c r="E306" s="403"/>
      <c r="F306" s="403"/>
    </row>
    <row r="307" spans="5:6" ht="14.25">
      <c r="E307" s="403"/>
      <c r="F307" s="403"/>
    </row>
    <row r="308" spans="5:6" ht="14.25">
      <c r="E308" s="403"/>
      <c r="F308" s="403"/>
    </row>
    <row r="309" spans="5:6" ht="14.25">
      <c r="E309" s="403"/>
      <c r="F309" s="403"/>
    </row>
    <row r="310" spans="5:6" ht="14.25">
      <c r="E310" s="403"/>
      <c r="F310" s="403"/>
    </row>
    <row r="311" spans="5:6" ht="14.25">
      <c r="E311" s="403"/>
      <c r="F311" s="403"/>
    </row>
    <row r="312" spans="5:6" ht="14.25">
      <c r="E312" s="403"/>
      <c r="F312" s="403"/>
    </row>
    <row r="313" spans="5:6" ht="14.25">
      <c r="E313" s="403"/>
      <c r="F313" s="403"/>
    </row>
    <row r="314" spans="5:6" ht="14.25">
      <c r="E314" s="403"/>
      <c r="F314" s="403"/>
    </row>
    <row r="315" spans="5:6" ht="14.25">
      <c r="E315" s="403"/>
      <c r="F315" s="403"/>
    </row>
    <row r="316" spans="5:6" ht="14.25">
      <c r="E316" s="403"/>
      <c r="F316" s="403"/>
    </row>
    <row r="317" spans="5:6" ht="14.25">
      <c r="E317" s="403"/>
      <c r="F317" s="403"/>
    </row>
  </sheetData>
  <printOptions/>
  <pageMargins left="0.45" right="0.19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49"/>
  <sheetViews>
    <sheetView workbookViewId="0" topLeftCell="F1">
      <selection activeCell="F7" sqref="F7"/>
    </sheetView>
  </sheetViews>
  <sheetFormatPr defaultColWidth="9.140625" defaultRowHeight="12.75"/>
  <cols>
    <col min="1" max="1" width="31.00390625" style="289" hidden="1" customWidth="1"/>
    <col min="2" max="2" width="12.28125" style="38" hidden="1" customWidth="1"/>
    <col min="3" max="3" width="10.8515625" style="38" hidden="1" customWidth="1"/>
    <col min="4" max="4" width="11.8515625" style="289" hidden="1" customWidth="1"/>
    <col min="5" max="5" width="15.140625" style="289" hidden="1" customWidth="1"/>
    <col min="6" max="6" width="34.7109375" style="289" customWidth="1"/>
    <col min="7" max="7" width="13.00390625" style="289" customWidth="1"/>
    <col min="8" max="8" width="9.7109375" style="289" customWidth="1"/>
    <col min="9" max="9" width="13.57421875" style="289" customWidth="1"/>
    <col min="10" max="10" width="13.28125" style="289" customWidth="1"/>
    <col min="11" max="16384" width="7.8515625" style="289" customWidth="1"/>
  </cols>
  <sheetData>
    <row r="1" spans="1:10" ht="17.25" customHeight="1">
      <c r="A1" s="32" t="s">
        <v>461</v>
      </c>
      <c r="B1" s="35"/>
      <c r="C1" s="35"/>
      <c r="D1" s="32"/>
      <c r="E1" s="289" t="s">
        <v>462</v>
      </c>
      <c r="F1" s="289" t="s">
        <v>463</v>
      </c>
      <c r="G1" s="32"/>
      <c r="H1" s="32"/>
      <c r="I1" s="32"/>
      <c r="J1" s="408" t="s">
        <v>462</v>
      </c>
    </row>
    <row r="2" ht="1.5" customHeight="1" hidden="1"/>
    <row r="3" ht="15.75" customHeight="1"/>
    <row r="4" spans="1:10" ht="15.75">
      <c r="A4" s="409" t="s">
        <v>464</v>
      </c>
      <c r="B4" s="410"/>
      <c r="C4" s="410"/>
      <c r="D4" s="167"/>
      <c r="E4" s="167"/>
      <c r="F4" s="167" t="s">
        <v>464</v>
      </c>
      <c r="G4" s="167"/>
      <c r="H4" s="167"/>
      <c r="I4" s="167"/>
      <c r="J4" s="167"/>
    </row>
    <row r="5" spans="1:10" ht="19.5" customHeight="1">
      <c r="A5" s="411" t="s">
        <v>465</v>
      </c>
      <c r="B5" s="412"/>
      <c r="C5" s="412"/>
      <c r="D5" s="413"/>
      <c r="E5" s="413"/>
      <c r="F5" s="413" t="str">
        <f>A5</f>
        <v>                                              (2000.gada janvāris - augusts)</v>
      </c>
      <c r="G5" s="413"/>
      <c r="H5" s="413"/>
      <c r="I5" s="413"/>
      <c r="J5" s="413"/>
    </row>
    <row r="6" spans="5:10" ht="17.25" customHeight="1">
      <c r="E6" s="408" t="s">
        <v>348</v>
      </c>
      <c r="J6" s="408" t="s">
        <v>101</v>
      </c>
    </row>
    <row r="7" spans="1:10" ht="51">
      <c r="A7" s="295" t="s">
        <v>54</v>
      </c>
      <c r="B7" s="295" t="s">
        <v>278</v>
      </c>
      <c r="C7" s="295" t="s">
        <v>103</v>
      </c>
      <c r="D7" s="87" t="s">
        <v>466</v>
      </c>
      <c r="E7" s="87" t="s">
        <v>58</v>
      </c>
      <c r="F7" s="87" t="s">
        <v>54</v>
      </c>
      <c r="G7" s="87" t="s">
        <v>228</v>
      </c>
      <c r="H7" s="87" t="s">
        <v>103</v>
      </c>
      <c r="I7" s="87" t="s">
        <v>466</v>
      </c>
      <c r="J7" s="87" t="str">
        <f>E7</f>
        <v>Augusta izpilde</v>
      </c>
    </row>
    <row r="8" spans="1:10" ht="12.75">
      <c r="A8" s="94">
        <v>1</v>
      </c>
      <c r="B8" s="297">
        <v>2</v>
      </c>
      <c r="C8" s="297">
        <v>3</v>
      </c>
      <c r="D8" s="94">
        <v>4</v>
      </c>
      <c r="E8" s="414">
        <v>5</v>
      </c>
      <c r="F8" s="94">
        <v>1</v>
      </c>
      <c r="G8" s="94">
        <v>2</v>
      </c>
      <c r="H8" s="94">
        <v>3</v>
      </c>
      <c r="I8" s="94">
        <v>4</v>
      </c>
      <c r="J8" s="94">
        <v>5</v>
      </c>
    </row>
    <row r="9" spans="1:10" ht="25.5">
      <c r="A9" s="100" t="s">
        <v>467</v>
      </c>
      <c r="B9" s="296" t="s">
        <v>61</v>
      </c>
      <c r="C9" s="415">
        <f>SUM(C10:C11)</f>
        <v>16833688</v>
      </c>
      <c r="D9" s="299" t="str">
        <f>IF(ISERROR(C9/B9)," ",(C9/B9))</f>
        <v> </v>
      </c>
      <c r="E9" s="416">
        <f>SUM(E10:E11)</f>
        <v>214004</v>
      </c>
      <c r="F9" s="100" t="s">
        <v>467</v>
      </c>
      <c r="G9" s="94" t="s">
        <v>61</v>
      </c>
      <c r="H9" s="417">
        <f>SUM(H10:H11)</f>
        <v>16834</v>
      </c>
      <c r="I9" s="418" t="str">
        <f>IF(ISERROR(H9/G9)," ",(H9/G9))</f>
        <v> </v>
      </c>
      <c r="J9" s="419">
        <f>SUM(J10:J11)</f>
        <v>214</v>
      </c>
    </row>
    <row r="10" spans="1:10" ht="25.5">
      <c r="A10" s="62" t="s">
        <v>468</v>
      </c>
      <c r="B10" s="296" t="s">
        <v>61</v>
      </c>
      <c r="C10" s="420">
        <v>2883852</v>
      </c>
      <c r="D10" s="421" t="str">
        <f aca="true" t="shared" si="0" ref="D10:D17">IF(ISERROR(C10/B10)," ",(C10/B10))</f>
        <v> </v>
      </c>
      <c r="E10" s="421">
        <f>C10-'[9]Jūlijs'!C10</f>
        <v>614692</v>
      </c>
      <c r="F10" s="62" t="s">
        <v>468</v>
      </c>
      <c r="G10" s="94" t="s">
        <v>61</v>
      </c>
      <c r="H10" s="422">
        <f>ROUND(C10/1000,0)</f>
        <v>2884</v>
      </c>
      <c r="I10" s="418" t="str">
        <f>IF(ISERROR(H10/G10)," ",(H10/G10))</f>
        <v> </v>
      </c>
      <c r="J10" s="422">
        <f>H10-'[9]Jūlijs'!H10</f>
        <v>615</v>
      </c>
    </row>
    <row r="11" spans="1:10" ht="26.25" customHeight="1">
      <c r="A11" s="62" t="s">
        <v>469</v>
      </c>
      <c r="B11" s="296" t="s">
        <v>61</v>
      </c>
      <c r="C11" s="420">
        <f>13035834+914002</f>
        <v>13949836</v>
      </c>
      <c r="D11" s="421" t="str">
        <f t="shared" si="0"/>
        <v> </v>
      </c>
      <c r="E11" s="423">
        <f>C11-'[9]Jūlijs'!C11</f>
        <v>-400688</v>
      </c>
      <c r="F11" s="62" t="s">
        <v>470</v>
      </c>
      <c r="G11" s="94" t="s">
        <v>61</v>
      </c>
      <c r="H11" s="422">
        <f>ROUND(C11/1000,0)</f>
        <v>13950</v>
      </c>
      <c r="I11" s="418" t="str">
        <f>IF(ISERROR(H11/G11)," ",(H11/G11))</f>
        <v> </v>
      </c>
      <c r="J11" s="422">
        <f>ROUND(E11/1000,0)</f>
        <v>-401</v>
      </c>
    </row>
    <row r="12" spans="1:10" ht="12.75">
      <c r="A12" s="100" t="s">
        <v>471</v>
      </c>
      <c r="B12" s="101">
        <f>SUM(B13,B30)</f>
        <v>12291058</v>
      </c>
      <c r="C12" s="101">
        <f>SUM(C13,C30)</f>
        <v>9891778</v>
      </c>
      <c r="D12" s="299">
        <f t="shared" si="0"/>
        <v>0.8047946726799271</v>
      </c>
      <c r="E12" s="302">
        <f>SUM(E13,E30)</f>
        <v>1780841</v>
      </c>
      <c r="F12" s="100" t="s">
        <v>471</v>
      </c>
      <c r="G12" s="6">
        <f>SUM(G13,G30)</f>
        <v>12291</v>
      </c>
      <c r="H12" s="6">
        <f>SUM(H13,H30)</f>
        <v>9892</v>
      </c>
      <c r="I12" s="52">
        <f>IF(ISERROR(H12/G12)," ",(H12/G12))*100</f>
        <v>80.48165324220975</v>
      </c>
      <c r="J12" s="6">
        <f>SUM(J13,J30)</f>
        <v>1780</v>
      </c>
    </row>
    <row r="13" spans="1:10" ht="16.5" customHeight="1">
      <c r="A13" s="106" t="s">
        <v>443</v>
      </c>
      <c r="B13" s="101">
        <f>SUM(B14,B21,B24)</f>
        <v>7839041</v>
      </c>
      <c r="C13" s="101">
        <f>SUM(C14,C21,C24)</f>
        <v>6139196</v>
      </c>
      <c r="D13" s="299">
        <f t="shared" si="0"/>
        <v>0.7831565111089481</v>
      </c>
      <c r="E13" s="302">
        <f>SUM(E14,E21,E24)</f>
        <v>778097</v>
      </c>
      <c r="F13" s="106" t="s">
        <v>443</v>
      </c>
      <c r="G13" s="6">
        <f>SUM(G14,G21,G24)</f>
        <v>7839</v>
      </c>
      <c r="H13" s="6">
        <f>SUM(H14,H21,H24)</f>
        <v>6139</v>
      </c>
      <c r="I13" s="52">
        <f>IF(ISERROR(H13/G13)," ",(H13/G13))*100</f>
        <v>78.31356040311263</v>
      </c>
      <c r="J13" s="6">
        <f>SUM(J14,J21,J24)</f>
        <v>776</v>
      </c>
    </row>
    <row r="14" spans="1:10" ht="12.75">
      <c r="A14" s="106" t="s">
        <v>294</v>
      </c>
      <c r="B14" s="101">
        <f>SUM(B15:B17)</f>
        <v>7151122</v>
      </c>
      <c r="C14" s="424">
        <f>SUM(C15,C16,C17,C20)</f>
        <v>5578966</v>
      </c>
      <c r="D14" s="299">
        <f t="shared" si="0"/>
        <v>0.7801525410977466</v>
      </c>
      <c r="E14" s="425">
        <f>SUM(E15,E16,E17,E20)</f>
        <v>416013</v>
      </c>
      <c r="F14" s="106" t="s">
        <v>294</v>
      </c>
      <c r="G14" s="419">
        <f>ROUND(B14/1000,0)</f>
        <v>7151</v>
      </c>
      <c r="H14" s="426">
        <f>SUM(H15,H16,H17,H20)</f>
        <v>5579</v>
      </c>
      <c r="I14" s="52">
        <f>IF(ISERROR(H14/G14)," ",(H14/G14))*100</f>
        <v>78.01706055097189</v>
      </c>
      <c r="J14" s="426">
        <f>SUM(J15,J16,J17,J20)</f>
        <v>415</v>
      </c>
    </row>
    <row r="15" spans="1:10" ht="12.75">
      <c r="A15" s="228" t="s">
        <v>295</v>
      </c>
      <c r="B15" s="229">
        <v>452938</v>
      </c>
      <c r="C15" s="229">
        <v>270125</v>
      </c>
      <c r="D15" s="427">
        <f t="shared" si="0"/>
        <v>0.5963840525634855</v>
      </c>
      <c r="E15" s="428">
        <f>C15-'[9]Jūlijs'!C15</f>
        <v>28254</v>
      </c>
      <c r="F15" s="228" t="s">
        <v>295</v>
      </c>
      <c r="G15" s="422">
        <f>ROUND(B15/1000,0)</f>
        <v>453</v>
      </c>
      <c r="H15" s="422">
        <f>ROUND(C15/1000,0)</f>
        <v>270</v>
      </c>
      <c r="I15" s="52">
        <f>IF(ISERROR(H15/G15)," ",(H15/G15))*100</f>
        <v>59.60264900662252</v>
      </c>
      <c r="J15" s="422">
        <f>H15-'[9]Jūlijs'!H15</f>
        <v>28</v>
      </c>
    </row>
    <row r="16" spans="1:10" ht="25.5">
      <c r="A16" s="62" t="s">
        <v>472</v>
      </c>
      <c r="B16" s="296" t="s">
        <v>61</v>
      </c>
      <c r="C16" s="229">
        <v>58050</v>
      </c>
      <c r="D16" s="271" t="s">
        <v>61</v>
      </c>
      <c r="E16" s="428">
        <f>C16-'[9]Jūlijs'!C16</f>
        <v>7205</v>
      </c>
      <c r="F16" s="62" t="s">
        <v>472</v>
      </c>
      <c r="G16" s="271" t="s">
        <v>61</v>
      </c>
      <c r="H16" s="422">
        <f>ROUND(C16/1000,0)</f>
        <v>58</v>
      </c>
      <c r="I16" s="271" t="s">
        <v>61</v>
      </c>
      <c r="J16" s="422">
        <f>H16-'[9]Jūlijs'!H16</f>
        <v>7</v>
      </c>
    </row>
    <row r="17" spans="1:10" ht="12.75">
      <c r="A17" s="62" t="s">
        <v>297</v>
      </c>
      <c r="B17" s="312">
        <f>2953643+2830539+914002</f>
        <v>6698184</v>
      </c>
      <c r="C17" s="229">
        <f>SUM(C18:C19)</f>
        <v>5250791</v>
      </c>
      <c r="D17" s="427">
        <f t="shared" si="0"/>
        <v>0.7839126246755838</v>
      </c>
      <c r="E17" s="429">
        <f>SUM(E18:E19)</f>
        <v>380554</v>
      </c>
      <c r="F17" s="62" t="s">
        <v>297</v>
      </c>
      <c r="G17" s="271" t="s">
        <v>61</v>
      </c>
      <c r="H17" s="177">
        <f>SUM(H18:H19)</f>
        <v>5251</v>
      </c>
      <c r="I17" s="271" t="s">
        <v>61</v>
      </c>
      <c r="J17" s="177">
        <f>SUM(J18:J19)</f>
        <v>380</v>
      </c>
    </row>
    <row r="18" spans="1:10" s="432" customFormat="1" ht="25.5">
      <c r="A18" s="132" t="s">
        <v>473</v>
      </c>
      <c r="B18" s="430" t="s">
        <v>61</v>
      </c>
      <c r="C18" s="318">
        <f>1235693+914002+2830539</f>
        <v>4980234</v>
      </c>
      <c r="D18" s="374" t="s">
        <v>61</v>
      </c>
      <c r="E18" s="428">
        <f>C18-'[9]Jūlijs'!C18</f>
        <v>360104</v>
      </c>
      <c r="F18" s="132" t="s">
        <v>474</v>
      </c>
      <c r="G18" s="374" t="s">
        <v>61</v>
      </c>
      <c r="H18" s="431">
        <f>ROUND(C18/1000,0)</f>
        <v>4980</v>
      </c>
      <c r="I18" s="374" t="s">
        <v>61</v>
      </c>
      <c r="J18" s="431">
        <f>ROUND(E18/1000,0)-1</f>
        <v>359</v>
      </c>
    </row>
    <row r="19" spans="1:10" s="432" customFormat="1" ht="12.75">
      <c r="A19" s="259" t="s">
        <v>475</v>
      </c>
      <c r="B19" s="430" t="s">
        <v>61</v>
      </c>
      <c r="C19" s="318">
        <f>259333+11224</f>
        <v>270557</v>
      </c>
      <c r="D19" s="374" t="s">
        <v>61</v>
      </c>
      <c r="E19" s="428">
        <f>C19-'[9]Jūlijs'!C19</f>
        <v>20450</v>
      </c>
      <c r="F19" s="132" t="s">
        <v>476</v>
      </c>
      <c r="G19" s="374" t="s">
        <v>61</v>
      </c>
      <c r="H19" s="431">
        <f>ROUND(C19/1000,0)</f>
        <v>271</v>
      </c>
      <c r="I19" s="374" t="s">
        <v>61</v>
      </c>
      <c r="J19" s="422">
        <f>H19-'[9]Jūlijs'!H19</f>
        <v>21</v>
      </c>
    </row>
    <row r="20" spans="1:10" ht="12.75">
      <c r="A20" s="62" t="s">
        <v>444</v>
      </c>
      <c r="B20" s="296" t="s">
        <v>61</v>
      </c>
      <c r="C20" s="229"/>
      <c r="D20" s="271" t="s">
        <v>61</v>
      </c>
      <c r="E20" s="428">
        <f>C20-'[9]Jūlijs'!C20</f>
        <v>0</v>
      </c>
      <c r="F20" s="62" t="s">
        <v>444</v>
      </c>
      <c r="G20" s="271" t="s">
        <v>61</v>
      </c>
      <c r="H20" s="422">
        <f>ROUND(C20/1000,0)</f>
        <v>0</v>
      </c>
      <c r="I20" s="271" t="s">
        <v>61</v>
      </c>
      <c r="J20" s="422">
        <f>H20-'[9]Jūlijs'!H20</f>
        <v>0</v>
      </c>
    </row>
    <row r="21" spans="1:10" ht="25.5">
      <c r="A21" s="70" t="s">
        <v>298</v>
      </c>
      <c r="B21" s="296" t="s">
        <v>61</v>
      </c>
      <c r="C21" s="424">
        <f>SUM(C22:C23)</f>
        <v>0</v>
      </c>
      <c r="D21" s="299" t="str">
        <f>IF(ISERROR(C21/B21)," ",(C21/B21))</f>
        <v> </v>
      </c>
      <c r="E21" s="425">
        <f>SUM(E22:E23)</f>
        <v>0</v>
      </c>
      <c r="F21" s="70" t="s">
        <v>298</v>
      </c>
      <c r="G21" s="271" t="s">
        <v>61</v>
      </c>
      <c r="H21" s="426">
        <f>SUM(H22:H23)</f>
        <v>0</v>
      </c>
      <c r="I21" s="433" t="str">
        <f>IF(ISERROR(ROUND(H21,0)/ROUND(g,0))," ",(ROUND(H21,)/ROUND(G21,)))</f>
        <v> </v>
      </c>
      <c r="J21" s="426">
        <f>SUM(J22:J23)</f>
        <v>0</v>
      </c>
    </row>
    <row r="22" spans="1:10" ht="25.5">
      <c r="A22" s="62" t="s">
        <v>477</v>
      </c>
      <c r="B22" s="296" t="s">
        <v>61</v>
      </c>
      <c r="C22" s="229"/>
      <c r="D22" s="271" t="s">
        <v>61</v>
      </c>
      <c r="E22" s="428">
        <f>C22-'[9]Jūlijs'!C22</f>
        <v>0</v>
      </c>
      <c r="F22" s="62" t="s">
        <v>477</v>
      </c>
      <c r="G22" s="271" t="s">
        <v>61</v>
      </c>
      <c r="H22" s="422">
        <f>ROUND(C22/1000,0)</f>
        <v>0</v>
      </c>
      <c r="I22" s="271" t="s">
        <v>61</v>
      </c>
      <c r="J22" s="422">
        <f>H22-'[9]Jūlijs'!H22</f>
        <v>0</v>
      </c>
    </row>
    <row r="23" spans="1:10" ht="25.5">
      <c r="A23" s="62" t="s">
        <v>478</v>
      </c>
      <c r="B23" s="296" t="s">
        <v>61</v>
      </c>
      <c r="C23" s="229"/>
      <c r="D23" s="271" t="s">
        <v>61</v>
      </c>
      <c r="E23" s="428">
        <f>C23-'[9]Jūlijs'!C23</f>
        <v>0</v>
      </c>
      <c r="F23" s="62" t="s">
        <v>478</v>
      </c>
      <c r="G23" s="271" t="s">
        <v>61</v>
      </c>
      <c r="H23" s="422">
        <f>ROUND(C23/1000,0)</f>
        <v>0</v>
      </c>
      <c r="I23" s="271" t="s">
        <v>61</v>
      </c>
      <c r="J23" s="422">
        <f>H23-'[9]Jūlijs'!H23</f>
        <v>0</v>
      </c>
    </row>
    <row r="24" spans="1:10" ht="17.25" customHeight="1">
      <c r="A24" s="26" t="s">
        <v>303</v>
      </c>
      <c r="B24" s="101">
        <f>SUM(B28:B29)+B25</f>
        <v>687919</v>
      </c>
      <c r="C24" s="424">
        <f>SUM(C25:C29)</f>
        <v>560230</v>
      </c>
      <c r="D24" s="299">
        <f>IF(ISERROR(C24/B24)," ",(C24/B24))</f>
        <v>0.8143836701704706</v>
      </c>
      <c r="E24" s="425">
        <f>SUM(E25:E29)</f>
        <v>362084</v>
      </c>
      <c r="F24" s="26" t="s">
        <v>303</v>
      </c>
      <c r="G24" s="422">
        <f>ROUND(B24/1000,0)</f>
        <v>688</v>
      </c>
      <c r="H24" s="426">
        <f>SUM(H25:H29)</f>
        <v>560</v>
      </c>
      <c r="I24" s="52">
        <f>IF(ISERROR(H24/G24)," ",(H24/G24))*100</f>
        <v>81.3953488372093</v>
      </c>
      <c r="J24" s="426">
        <f>SUM(J25:J29)</f>
        <v>361</v>
      </c>
    </row>
    <row r="25" spans="1:10" ht="15.75" customHeight="1">
      <c r="A25" s="228" t="s">
        <v>304</v>
      </c>
      <c r="B25" s="296">
        <f>13906+21203</f>
        <v>35109</v>
      </c>
      <c r="C25" s="229">
        <v>13604</v>
      </c>
      <c r="D25" s="427">
        <f>IF(ISERROR(C25/B25)," ",(C25/B25))</f>
        <v>0.38747899399014496</v>
      </c>
      <c r="E25" s="428">
        <f>C25-'[9]Jūlijs'!C25</f>
        <v>0</v>
      </c>
      <c r="F25" s="228" t="s">
        <v>304</v>
      </c>
      <c r="G25" s="271" t="s">
        <v>61</v>
      </c>
      <c r="H25" s="422">
        <f>ROUND(C25/1000,0)</f>
        <v>14</v>
      </c>
      <c r="I25" s="271" t="s">
        <v>61</v>
      </c>
      <c r="J25" s="422">
        <f>H25-'[9]Jūlijs'!H25</f>
        <v>0</v>
      </c>
    </row>
    <row r="26" spans="1:10" ht="15.75" customHeight="1">
      <c r="A26" s="228" t="s">
        <v>305</v>
      </c>
      <c r="B26" s="296" t="s">
        <v>61</v>
      </c>
      <c r="C26" s="229"/>
      <c r="D26" s="271" t="s">
        <v>61</v>
      </c>
      <c r="E26" s="428">
        <f>C26-'[9]Jūlijs'!C26</f>
        <v>0</v>
      </c>
      <c r="F26" s="228" t="s">
        <v>305</v>
      </c>
      <c r="G26" s="271" t="s">
        <v>61</v>
      </c>
      <c r="H26" s="422">
        <f>ROUND(C26/1000,0)</f>
        <v>0</v>
      </c>
      <c r="I26" s="271" t="s">
        <v>61</v>
      </c>
      <c r="J26" s="422">
        <f>H26-'[9]Jūlijs'!H26</f>
        <v>0</v>
      </c>
    </row>
    <row r="27" spans="1:10" ht="16.5" customHeight="1">
      <c r="A27" s="62" t="s">
        <v>306</v>
      </c>
      <c r="B27" s="296" t="s">
        <v>61</v>
      </c>
      <c r="D27" s="271" t="s">
        <v>61</v>
      </c>
      <c r="E27" s="428">
        <f>C27-'[9]Jūlijs'!C27</f>
        <v>0</v>
      </c>
      <c r="F27" s="62" t="s">
        <v>306</v>
      </c>
      <c r="G27" s="271" t="s">
        <v>61</v>
      </c>
      <c r="H27" s="422">
        <f>ROUND(C26/1000,0)</f>
        <v>0</v>
      </c>
      <c r="I27" s="271" t="s">
        <v>61</v>
      </c>
      <c r="J27" s="422">
        <f>H27-'[9]Jūlijs'!H27</f>
        <v>0</v>
      </c>
    </row>
    <row r="28" spans="1:10" ht="25.5">
      <c r="A28" s="62" t="s">
        <v>307</v>
      </c>
      <c r="B28" s="312">
        <v>415634</v>
      </c>
      <c r="C28" s="229">
        <v>415498</v>
      </c>
      <c r="D28" s="427">
        <f>IF(ISERROR(C28/B28)," ",(C28/B28))</f>
        <v>0.9996727890403576</v>
      </c>
      <c r="E28" s="428">
        <f>C28-'[9]Jūlijs'!C28</f>
        <v>357912</v>
      </c>
      <c r="F28" s="62" t="s">
        <v>479</v>
      </c>
      <c r="G28" s="271" t="s">
        <v>61</v>
      </c>
      <c r="H28" s="422">
        <f>ROUND(C28/1000,0)</f>
        <v>415</v>
      </c>
      <c r="I28" s="271" t="s">
        <v>61</v>
      </c>
      <c r="J28" s="422">
        <f>H28-'[9]Jūlijs'!H28</f>
        <v>357</v>
      </c>
    </row>
    <row r="29" spans="1:10" ht="15" customHeight="1">
      <c r="A29" s="62" t="s">
        <v>448</v>
      </c>
      <c r="B29" s="312">
        <v>237176</v>
      </c>
      <c r="C29" s="229">
        <v>131128</v>
      </c>
      <c r="D29" s="427">
        <f>IF(ISERROR(C29/B29)," ",(C29/B29))</f>
        <v>0.5528721287145411</v>
      </c>
      <c r="E29" s="428">
        <f>C29-'[9]Jūlijs'!C29</f>
        <v>4172</v>
      </c>
      <c r="F29" s="62" t="s">
        <v>312</v>
      </c>
      <c r="G29" s="271" t="s">
        <v>61</v>
      </c>
      <c r="H29" s="422">
        <f>ROUND(C29/1000,0)</f>
        <v>131</v>
      </c>
      <c r="I29" s="271" t="s">
        <v>61</v>
      </c>
      <c r="J29" s="422">
        <f>H29-'[9]Jūlijs'!H29</f>
        <v>4</v>
      </c>
    </row>
    <row r="30" spans="1:10" ht="19.5" customHeight="1">
      <c r="A30" s="141" t="s">
        <v>480</v>
      </c>
      <c r="B30" s="424">
        <f>SUM(B31:B32)</f>
        <v>4452017</v>
      </c>
      <c r="C30" s="424">
        <f>SUM(C31:C32)</f>
        <v>3752582</v>
      </c>
      <c r="D30" s="299">
        <f>IF(ISERROR(C30/B30)," ",(C30/B30))</f>
        <v>0.842894804759281</v>
      </c>
      <c r="E30" s="425">
        <f>SUM(E31:E32)</f>
        <v>1002744</v>
      </c>
      <c r="F30" s="141" t="s">
        <v>480</v>
      </c>
      <c r="G30" s="426">
        <f>SUM(G31:G32)</f>
        <v>4452</v>
      </c>
      <c r="H30" s="426">
        <f>SUM(H31:H32)</f>
        <v>3753</v>
      </c>
      <c r="I30" s="52">
        <f>IF(ISERROR(H30/G30)," ",(H30/G30))*100</f>
        <v>84.29919137466307</v>
      </c>
      <c r="J30" s="426">
        <f>SUM(J31:J32)</f>
        <v>1004</v>
      </c>
    </row>
    <row r="31" spans="1:10" ht="18.75" customHeight="1">
      <c r="A31" s="62" t="s">
        <v>324</v>
      </c>
      <c r="B31" s="229">
        <f>1460074+2933943</f>
        <v>4394017</v>
      </c>
      <c r="C31" s="229">
        <f>367234+5627+2570+790+406959+14048+1+2933940</f>
        <v>3731169</v>
      </c>
      <c r="D31" s="427">
        <f>IF(ISERROR(C31/B31)," ",(C31/B31))</f>
        <v>0.8491476022964863</v>
      </c>
      <c r="E31" s="428">
        <f>C31-'[9]Jūlijs'!C31</f>
        <v>1002744</v>
      </c>
      <c r="F31" s="62" t="s">
        <v>481</v>
      </c>
      <c r="G31" s="422">
        <f>ROUND(B31/1000,0)</f>
        <v>4394</v>
      </c>
      <c r="H31" s="422">
        <f>ROUND(C31/1000,0)</f>
        <v>3731</v>
      </c>
      <c r="I31" s="52">
        <f>IF(ISERROR(H31/G31)," ",(H31/G31))*100</f>
        <v>84.91124260355029</v>
      </c>
      <c r="J31" s="422">
        <f>ROUND(E31/1000,0)</f>
        <v>1003</v>
      </c>
    </row>
    <row r="32" spans="1:10" ht="18" customHeight="1">
      <c r="A32" s="62" t="s">
        <v>326</v>
      </c>
      <c r="B32" s="229">
        <v>58000</v>
      </c>
      <c r="C32" s="318">
        <v>21413</v>
      </c>
      <c r="D32" s="427">
        <f>IF(ISERROR(C32/B32)," ",(C32/B32))</f>
        <v>0.3691896551724138</v>
      </c>
      <c r="E32" s="428">
        <f>C32-'[9]Jūlijs'!C32</f>
        <v>0</v>
      </c>
      <c r="F32" s="62" t="s">
        <v>326</v>
      </c>
      <c r="G32" s="422">
        <f>ROUND(B32/1000,0)</f>
        <v>58</v>
      </c>
      <c r="H32" s="422">
        <f>ROUND(C32/1000,0)+1</f>
        <v>22</v>
      </c>
      <c r="I32" s="52">
        <f>IF(ISERROR(H32/G32)," ",(H32/G32))*100</f>
        <v>37.93103448275862</v>
      </c>
      <c r="J32" s="422">
        <f>H32-'[9]Jūlijs'!H32</f>
        <v>1</v>
      </c>
    </row>
    <row r="33" spans="1:28" s="228" customFormat="1" ht="15.75" customHeight="1">
      <c r="A33" s="141" t="s">
        <v>482</v>
      </c>
      <c r="B33" s="296" t="s">
        <v>61</v>
      </c>
      <c r="C33" s="101">
        <f>SUM(C9-C12)</f>
        <v>6941910</v>
      </c>
      <c r="D33" s="271" t="s">
        <v>61</v>
      </c>
      <c r="E33" s="310" t="s">
        <v>61</v>
      </c>
      <c r="F33" s="141" t="s">
        <v>482</v>
      </c>
      <c r="G33" s="271"/>
      <c r="H33" s="426">
        <f>SUM(H9-H12)</f>
        <v>6942</v>
      </c>
      <c r="I33" s="271" t="s">
        <v>61</v>
      </c>
      <c r="J33" s="94" t="s">
        <v>61</v>
      </c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</row>
    <row r="34" spans="1:28" s="228" customFormat="1" ht="16.5" customHeight="1">
      <c r="A34" s="141" t="s">
        <v>335</v>
      </c>
      <c r="B34" s="296" t="s">
        <v>61</v>
      </c>
      <c r="C34" s="229">
        <f>-(C33)</f>
        <v>-6941910</v>
      </c>
      <c r="D34" s="271" t="s">
        <v>61</v>
      </c>
      <c r="E34" s="310" t="s">
        <v>61</v>
      </c>
      <c r="F34" s="141" t="s">
        <v>335</v>
      </c>
      <c r="G34" s="114"/>
      <c r="H34" s="426">
        <f>ROUND(C34/1000,0)</f>
        <v>-6942</v>
      </c>
      <c r="I34" s="271" t="s">
        <v>61</v>
      </c>
      <c r="J34" s="94" t="s">
        <v>61</v>
      </c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</row>
    <row r="35" spans="1:28" s="228" customFormat="1" ht="26.25" customHeight="1">
      <c r="A35" s="191" t="s">
        <v>483</v>
      </c>
      <c r="B35" s="296" t="s">
        <v>61</v>
      </c>
      <c r="C35" s="229">
        <f>-(C33)</f>
        <v>-6941910</v>
      </c>
      <c r="D35" s="271" t="s">
        <v>61</v>
      </c>
      <c r="E35" s="310" t="s">
        <v>61</v>
      </c>
      <c r="F35" s="191" t="s">
        <v>483</v>
      </c>
      <c r="G35" s="114"/>
      <c r="H35" s="422">
        <f>ROUND(C35/1000,0)+2</f>
        <v>-6940</v>
      </c>
      <c r="I35" s="271" t="s">
        <v>61</v>
      </c>
      <c r="J35" s="94" t="s">
        <v>61</v>
      </c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</row>
    <row r="36" spans="1:10" s="76" customFormat="1" ht="16.5" customHeight="1">
      <c r="A36" s="434"/>
      <c r="B36" s="121"/>
      <c r="C36" s="435"/>
      <c r="D36" s="391"/>
      <c r="E36" s="391"/>
      <c r="F36" s="763" t="s">
        <v>484</v>
      </c>
      <c r="G36" s="763"/>
      <c r="H36" s="763"/>
      <c r="I36" s="763"/>
      <c r="J36" s="763"/>
    </row>
    <row r="37" spans="1:6" s="76" customFormat="1" ht="16.5" customHeight="1">
      <c r="A37" s="434"/>
      <c r="B37" s="121"/>
      <c r="C37" s="435"/>
      <c r="D37" s="391"/>
      <c r="E37" s="391"/>
      <c r="F37" s="76" t="s">
        <v>485</v>
      </c>
    </row>
    <row r="38" spans="1:10" s="76" customFormat="1" ht="16.5" customHeight="1">
      <c r="A38" s="434"/>
      <c r="B38" s="121"/>
      <c r="C38" s="435"/>
      <c r="D38" s="391"/>
      <c r="E38" s="391"/>
      <c r="G38" s="147"/>
      <c r="H38" s="391"/>
      <c r="I38" s="391"/>
      <c r="J38" s="391"/>
    </row>
    <row r="39" spans="1:10" s="76" customFormat="1" ht="16.5" customHeight="1">
      <c r="A39" s="37" t="s">
        <v>460</v>
      </c>
      <c r="B39" s="35"/>
      <c r="C39" s="35"/>
      <c r="D39" s="206"/>
      <c r="E39" s="391"/>
      <c r="J39" s="391"/>
    </row>
    <row r="40" spans="1:6" s="76" customFormat="1" ht="16.5" customHeight="1">
      <c r="A40" s="289"/>
      <c r="B40" s="38"/>
      <c r="C40" s="38"/>
      <c r="D40" s="436"/>
      <c r="E40" s="391"/>
      <c r="F40" s="37" t="s">
        <v>460</v>
      </c>
    </row>
    <row r="41" spans="1:10" s="76" customFormat="1" ht="16.5" customHeight="1">
      <c r="A41" s="289"/>
      <c r="B41" s="38"/>
      <c r="C41" s="38"/>
      <c r="D41" s="436"/>
      <c r="E41" s="391"/>
      <c r="G41" s="147"/>
      <c r="H41" s="391"/>
      <c r="I41" s="391"/>
      <c r="J41" s="289"/>
    </row>
    <row r="42" spans="4:10" ht="16.5" customHeight="1">
      <c r="D42" s="436"/>
      <c r="E42" s="76"/>
      <c r="G42" s="34"/>
      <c r="H42" s="34"/>
      <c r="I42" s="206"/>
      <c r="J42" s="32"/>
    </row>
    <row r="43" spans="4:9" ht="12.75">
      <c r="D43" s="436"/>
      <c r="G43" s="38"/>
      <c r="H43" s="29"/>
      <c r="I43" s="436"/>
    </row>
    <row r="44" spans="5:9" ht="12.75">
      <c r="E44" s="32"/>
      <c r="G44" s="38"/>
      <c r="H44" s="29"/>
      <c r="I44" s="436"/>
    </row>
    <row r="45" spans="7:9" ht="12.75">
      <c r="G45" s="38"/>
      <c r="H45" s="29"/>
      <c r="I45" s="436"/>
    </row>
    <row r="46" spans="7:9" ht="12.75">
      <c r="G46" s="38"/>
      <c r="H46" s="29"/>
      <c r="I46" s="436"/>
    </row>
    <row r="48" ht="12.75">
      <c r="F48" s="330"/>
    </row>
    <row r="49" spans="4:9" ht="12.75">
      <c r="D49" s="436"/>
      <c r="G49" s="38"/>
      <c r="H49" s="29"/>
      <c r="I49" s="436"/>
    </row>
    <row r="50" ht="12" customHeight="1"/>
  </sheetData>
  <mergeCells count="1">
    <mergeCell ref="F36:J36"/>
  </mergeCells>
  <printOptions/>
  <pageMargins left="0.75" right="0.75" top="0.38" bottom="0.18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08"/>
  <sheetViews>
    <sheetView workbookViewId="0" topLeftCell="F1">
      <selection activeCell="A6" sqref="A6"/>
    </sheetView>
  </sheetViews>
  <sheetFormatPr defaultColWidth="9.140625" defaultRowHeight="12.75"/>
  <cols>
    <col min="1" max="1" width="35.28125" style="43" hidden="1" customWidth="1"/>
    <col min="2" max="2" width="8.8515625" style="43" hidden="1" customWidth="1"/>
    <col min="3" max="3" width="14.28125" style="43" hidden="1" customWidth="1"/>
    <col min="4" max="4" width="13.7109375" style="43" hidden="1" customWidth="1"/>
    <col min="5" max="5" width="11.7109375" style="43" hidden="1" customWidth="1"/>
    <col min="6" max="6" width="44.28125" style="43" customWidth="1"/>
    <col min="7" max="7" width="8.00390625" style="43" customWidth="1"/>
    <col min="8" max="8" width="11.7109375" style="43" customWidth="1"/>
    <col min="9" max="9" width="10.8515625" style="43" customWidth="1"/>
    <col min="10" max="10" width="9.140625" style="43" customWidth="1"/>
    <col min="11" max="16384" width="7.8515625" style="43" customWidth="1"/>
  </cols>
  <sheetData>
    <row r="1" ht="12.75">
      <c r="H1" s="75"/>
    </row>
    <row r="2" spans="1:10" ht="12.75">
      <c r="A2" s="758" t="s">
        <v>486</v>
      </c>
      <c r="B2" s="758"/>
      <c r="C2" s="758"/>
      <c r="E2" s="37" t="s">
        <v>487</v>
      </c>
      <c r="F2" s="758" t="s">
        <v>488</v>
      </c>
      <c r="G2" s="758"/>
      <c r="H2" s="758"/>
      <c r="I2" s="758"/>
      <c r="J2" s="408" t="s">
        <v>487</v>
      </c>
    </row>
    <row r="3" ht="12.75">
      <c r="A3" s="437" t="s">
        <v>489</v>
      </c>
    </row>
    <row r="4" spans="1:10" ht="15.75">
      <c r="A4" s="764" t="s">
        <v>490</v>
      </c>
      <c r="B4" s="764"/>
      <c r="C4" s="764"/>
      <c r="D4" s="764"/>
      <c r="F4" s="759" t="s">
        <v>489</v>
      </c>
      <c r="G4" s="759"/>
      <c r="H4" s="759"/>
      <c r="I4" s="759"/>
      <c r="J4" s="759"/>
    </row>
    <row r="5" spans="6:10" ht="15.75">
      <c r="F5" s="764" t="s">
        <v>490</v>
      </c>
      <c r="G5" s="764"/>
      <c r="H5" s="764"/>
      <c r="I5" s="764"/>
      <c r="J5" s="46"/>
    </row>
    <row r="8" spans="5:10" ht="12.75">
      <c r="E8" s="37" t="s">
        <v>491</v>
      </c>
      <c r="J8" s="408" t="s">
        <v>101</v>
      </c>
    </row>
    <row r="9" spans="1:10" ht="51">
      <c r="A9" s="438" t="s">
        <v>54</v>
      </c>
      <c r="B9" s="85" t="s">
        <v>492</v>
      </c>
      <c r="C9" s="85" t="s">
        <v>102</v>
      </c>
      <c r="D9" s="85" t="s">
        <v>103</v>
      </c>
      <c r="E9" s="85" t="s">
        <v>493</v>
      </c>
      <c r="F9" s="92" t="s">
        <v>54</v>
      </c>
      <c r="G9" s="87" t="s">
        <v>492</v>
      </c>
      <c r="H9" s="87" t="s">
        <v>102</v>
      </c>
      <c r="I9" s="87" t="s">
        <v>103</v>
      </c>
      <c r="J9" s="87" t="s">
        <v>493</v>
      </c>
    </row>
    <row r="10" spans="1:10" ht="12.75">
      <c r="A10" s="438">
        <v>1</v>
      </c>
      <c r="B10" s="438">
        <v>2</v>
      </c>
      <c r="C10" s="85">
        <v>3</v>
      </c>
      <c r="D10" s="85">
        <v>4</v>
      </c>
      <c r="E10" s="85">
        <v>5</v>
      </c>
      <c r="F10" s="92">
        <v>1</v>
      </c>
      <c r="G10" s="92">
        <v>2</v>
      </c>
      <c r="H10" s="87">
        <v>3</v>
      </c>
      <c r="I10" s="87">
        <v>4</v>
      </c>
      <c r="J10" s="87">
        <v>5</v>
      </c>
    </row>
    <row r="11" spans="1:10" ht="17.25" customHeight="1">
      <c r="A11" s="105" t="s">
        <v>353</v>
      </c>
      <c r="B11" s="168"/>
      <c r="C11" s="439">
        <f>SUM(C12:C25)</f>
        <v>759846889</v>
      </c>
      <c r="D11" s="439">
        <f>D12+D13+D14+D15+D16+D17+D18+D19+D20+D21+D22+D23+D24+D25</f>
        <v>510132366</v>
      </c>
      <c r="E11" s="440">
        <f>IF(ISERROR(D11/C11)," ",(D11/C11))</f>
        <v>0.6713620512039762</v>
      </c>
      <c r="F11" s="106" t="s">
        <v>353</v>
      </c>
      <c r="G11" s="173"/>
      <c r="H11" s="6">
        <f>SUM(H12:H25)</f>
        <v>759847</v>
      </c>
      <c r="I11" s="6">
        <f>I12+I13+I14+I15+I16+I17+I18+I19+I20+I21+I22+I23+I24+I25+I26</f>
        <v>510132</v>
      </c>
      <c r="J11" s="103">
        <f>IF(ISERROR(I11/H11)," ",(I11/H11))*100</f>
        <v>67.13614714541217</v>
      </c>
    </row>
    <row r="12" spans="1:10" ht="16.5" customHeight="1">
      <c r="A12" s="76" t="s">
        <v>494</v>
      </c>
      <c r="B12" s="441">
        <v>1</v>
      </c>
      <c r="C12" s="222">
        <v>81345350</v>
      </c>
      <c r="D12" s="222">
        <v>47796224</v>
      </c>
      <c r="E12" s="148">
        <f aca="true" t="shared" si="0" ref="E12:E25">IF(ISERROR(D12/C12)," ",(D12/C12))</f>
        <v>0.5875716804955661</v>
      </c>
      <c r="F12" s="228" t="s">
        <v>494</v>
      </c>
      <c r="G12" s="442">
        <v>1</v>
      </c>
      <c r="H12" s="114">
        <f>ROUND(C12/1000,)</f>
        <v>81345</v>
      </c>
      <c r="I12" s="114">
        <f>ROUND(D12/1000,)</f>
        <v>47796</v>
      </c>
      <c r="J12" s="231">
        <f aca="true" t="shared" si="1" ref="J12:J25">IF(ISERROR(I12/H12)," ",(I12/H12))*100</f>
        <v>58.75714549142541</v>
      </c>
    </row>
    <row r="13" spans="1:10" ht="18.75" customHeight="1">
      <c r="A13" s="75" t="s">
        <v>495</v>
      </c>
      <c r="B13" s="441">
        <v>2</v>
      </c>
      <c r="C13" s="222">
        <v>42056404</v>
      </c>
      <c r="D13" s="222">
        <v>23874037</v>
      </c>
      <c r="E13" s="148">
        <f t="shared" si="0"/>
        <v>0.5676671024940696</v>
      </c>
      <c r="F13" s="54" t="s">
        <v>495</v>
      </c>
      <c r="G13" s="442">
        <v>2</v>
      </c>
      <c r="H13" s="114">
        <f aca="true" t="shared" si="2" ref="H13:H23">ROUND(C13/1000,)</f>
        <v>42056</v>
      </c>
      <c r="I13" s="114">
        <f>ROUND(D13/1000,0)</f>
        <v>23874</v>
      </c>
      <c r="J13" s="231">
        <f t="shared" si="1"/>
        <v>56.76716758607571</v>
      </c>
    </row>
    <row r="14" spans="1:10" ht="17.25" customHeight="1">
      <c r="A14" s="75" t="s">
        <v>496</v>
      </c>
      <c r="B14" s="441">
        <v>3</v>
      </c>
      <c r="C14" s="222">
        <v>107516673</v>
      </c>
      <c r="D14" s="222">
        <v>69454845</v>
      </c>
      <c r="E14" s="148">
        <f t="shared" si="0"/>
        <v>0.6459913896331223</v>
      </c>
      <c r="F14" s="54" t="s">
        <v>496</v>
      </c>
      <c r="G14" s="442">
        <v>3</v>
      </c>
      <c r="H14" s="114">
        <f t="shared" si="2"/>
        <v>107517</v>
      </c>
      <c r="I14" s="114">
        <f>ROUND(D14/1000,0)</f>
        <v>69455</v>
      </c>
      <c r="J14" s="231">
        <f t="shared" si="1"/>
        <v>64.59908665606369</v>
      </c>
    </row>
    <row r="15" spans="1:10" ht="18" customHeight="1">
      <c r="A15" s="75" t="s">
        <v>497</v>
      </c>
      <c r="B15" s="441">
        <v>4</v>
      </c>
      <c r="C15" s="222">
        <v>94107012</v>
      </c>
      <c r="D15" s="222">
        <v>53843298</v>
      </c>
      <c r="E15" s="148">
        <f t="shared" si="0"/>
        <v>0.5721496927349048</v>
      </c>
      <c r="F15" s="54" t="s">
        <v>497</v>
      </c>
      <c r="G15" s="442">
        <v>4</v>
      </c>
      <c r="H15" s="114">
        <f t="shared" si="2"/>
        <v>94107</v>
      </c>
      <c r="I15" s="114">
        <f aca="true" t="shared" si="3" ref="I15:I23">ROUND(D15/1000,0)</f>
        <v>53843</v>
      </c>
      <c r="J15" s="231">
        <f t="shared" si="1"/>
        <v>57.21465990840214</v>
      </c>
    </row>
    <row r="16" spans="1:10" ht="18" customHeight="1">
      <c r="A16" s="75" t="s">
        <v>498</v>
      </c>
      <c r="B16" s="441">
        <v>5</v>
      </c>
      <c r="C16" s="222">
        <v>68611451</v>
      </c>
      <c r="D16" s="222">
        <v>45645678</v>
      </c>
      <c r="E16" s="148">
        <f t="shared" si="0"/>
        <v>0.6652778411580306</v>
      </c>
      <c r="F16" s="54" t="s">
        <v>498</v>
      </c>
      <c r="G16" s="442">
        <v>5</v>
      </c>
      <c r="H16" s="114">
        <f t="shared" si="2"/>
        <v>68611</v>
      </c>
      <c r="I16" s="114">
        <f>ROUND(D16/1000,0)</f>
        <v>45646</v>
      </c>
      <c r="J16" s="231">
        <f t="shared" si="1"/>
        <v>66.52869073472183</v>
      </c>
    </row>
    <row r="17" spans="1:10" ht="20.25" customHeight="1">
      <c r="A17" s="75" t="s">
        <v>499</v>
      </c>
      <c r="B17" s="441">
        <v>6</v>
      </c>
      <c r="C17" s="222">
        <v>80413469</v>
      </c>
      <c r="D17" s="222">
        <v>54552519</v>
      </c>
      <c r="E17" s="148">
        <f t="shared" si="0"/>
        <v>0.6784002689897634</v>
      </c>
      <c r="F17" s="54" t="s">
        <v>499</v>
      </c>
      <c r="G17" s="442">
        <v>6</v>
      </c>
      <c r="H17" s="114">
        <f t="shared" si="2"/>
        <v>80413</v>
      </c>
      <c r="I17" s="114">
        <f>ROUND(D17/1000,0)</f>
        <v>54553</v>
      </c>
      <c r="J17" s="231">
        <f t="shared" si="1"/>
        <v>67.8410207304789</v>
      </c>
    </row>
    <row r="18" spans="1:10" ht="26.25" customHeight="1">
      <c r="A18" s="197" t="s">
        <v>500</v>
      </c>
      <c r="B18" s="441">
        <v>7</v>
      </c>
      <c r="C18" s="222">
        <v>5236094</v>
      </c>
      <c r="D18" s="222">
        <v>2708004</v>
      </c>
      <c r="E18" s="148">
        <f t="shared" si="0"/>
        <v>0.5171801728540397</v>
      </c>
      <c r="F18" s="62" t="s">
        <v>500</v>
      </c>
      <c r="G18" s="442">
        <v>7</v>
      </c>
      <c r="H18" s="114">
        <f t="shared" si="2"/>
        <v>5236</v>
      </c>
      <c r="I18" s="114">
        <f>ROUND(D18/1000,0)</f>
        <v>2708</v>
      </c>
      <c r="J18" s="231">
        <f t="shared" si="1"/>
        <v>51.718869365928185</v>
      </c>
    </row>
    <row r="19" spans="1:10" ht="18.75" customHeight="1">
      <c r="A19" s="75" t="s">
        <v>501</v>
      </c>
      <c r="B19" s="441">
        <v>8</v>
      </c>
      <c r="C19" s="222">
        <v>23321734</v>
      </c>
      <c r="D19" s="222">
        <v>15964726</v>
      </c>
      <c r="E19" s="148">
        <f t="shared" si="0"/>
        <v>0.6845428388815343</v>
      </c>
      <c r="F19" s="54" t="s">
        <v>501</v>
      </c>
      <c r="G19" s="442">
        <v>8</v>
      </c>
      <c r="H19" s="114">
        <f t="shared" si="2"/>
        <v>23322</v>
      </c>
      <c r="I19" s="114">
        <f>ROUND(D19/1000,0)</f>
        <v>15965</v>
      </c>
      <c r="J19" s="231">
        <f t="shared" si="1"/>
        <v>68.45467798645056</v>
      </c>
    </row>
    <row r="20" spans="1:10" ht="19.5" customHeight="1">
      <c r="A20" s="75" t="s">
        <v>502</v>
      </c>
      <c r="B20" s="441">
        <v>9</v>
      </c>
      <c r="C20" s="222">
        <v>156021</v>
      </c>
      <c r="D20" s="222">
        <v>103889</v>
      </c>
      <c r="E20" s="148">
        <f t="shared" si="0"/>
        <v>0.6658654924657578</v>
      </c>
      <c r="F20" s="54" t="s">
        <v>502</v>
      </c>
      <c r="G20" s="442">
        <v>9</v>
      </c>
      <c r="H20" s="114">
        <f t="shared" si="2"/>
        <v>156</v>
      </c>
      <c r="I20" s="114">
        <f t="shared" si="3"/>
        <v>104</v>
      </c>
      <c r="J20" s="231">
        <f t="shared" si="1"/>
        <v>66.66666666666666</v>
      </c>
    </row>
    <row r="21" spans="1:12" ht="27.75" customHeight="1">
      <c r="A21" s="197" t="s">
        <v>503</v>
      </c>
      <c r="B21" s="441">
        <v>10</v>
      </c>
      <c r="C21" s="222">
        <v>75574914</v>
      </c>
      <c r="D21" s="222">
        <v>38232673</v>
      </c>
      <c r="E21" s="148">
        <f t="shared" si="0"/>
        <v>0.5058910553308734</v>
      </c>
      <c r="F21" s="62" t="s">
        <v>503</v>
      </c>
      <c r="G21" s="442">
        <v>10</v>
      </c>
      <c r="H21" s="114">
        <f t="shared" si="2"/>
        <v>75575</v>
      </c>
      <c r="I21" s="114">
        <f t="shared" si="3"/>
        <v>38233</v>
      </c>
      <c r="J21" s="231">
        <f t="shared" si="1"/>
        <v>50.58948064836255</v>
      </c>
      <c r="L21" s="443"/>
    </row>
    <row r="22" spans="1:10" ht="25.5" customHeight="1">
      <c r="A22" s="197" t="s">
        <v>504</v>
      </c>
      <c r="B22" s="441">
        <v>11</v>
      </c>
      <c r="C22" s="222">
        <v>827061</v>
      </c>
      <c r="D22" s="222">
        <v>466968</v>
      </c>
      <c r="E22" s="148">
        <f t="shared" si="0"/>
        <v>0.5646113164567064</v>
      </c>
      <c r="F22" s="62" t="s">
        <v>504</v>
      </c>
      <c r="G22" s="442">
        <v>11</v>
      </c>
      <c r="H22" s="114">
        <f t="shared" si="2"/>
        <v>827</v>
      </c>
      <c r="I22" s="114">
        <f t="shared" si="3"/>
        <v>467</v>
      </c>
      <c r="J22" s="231">
        <f t="shared" si="1"/>
        <v>56.46916565900847</v>
      </c>
    </row>
    <row r="23" spans="1:10" ht="19.5" customHeight="1">
      <c r="A23" s="75" t="s">
        <v>505</v>
      </c>
      <c r="B23" s="441">
        <v>12</v>
      </c>
      <c r="C23" s="222">
        <v>13810084</v>
      </c>
      <c r="D23" s="222">
        <v>7769070</v>
      </c>
      <c r="E23" s="148">
        <f t="shared" si="0"/>
        <v>0.5625650068457223</v>
      </c>
      <c r="F23" s="54" t="s">
        <v>505</v>
      </c>
      <c r="G23" s="442">
        <v>12</v>
      </c>
      <c r="H23" s="114">
        <f t="shared" si="2"/>
        <v>13810</v>
      </c>
      <c r="I23" s="114">
        <f t="shared" si="3"/>
        <v>7769</v>
      </c>
      <c r="J23" s="231">
        <f t="shared" si="1"/>
        <v>56.25633598841419</v>
      </c>
    </row>
    <row r="24" spans="1:10" ht="19.5" customHeight="1">
      <c r="A24" s="75" t="s">
        <v>506</v>
      </c>
      <c r="B24" s="441">
        <v>13</v>
      </c>
      <c r="C24" s="222">
        <v>25013391</v>
      </c>
      <c r="D24" s="222">
        <v>14053325</v>
      </c>
      <c r="E24" s="148">
        <f t="shared" si="0"/>
        <v>0.5618320602752341</v>
      </c>
      <c r="F24" s="54" t="s">
        <v>506</v>
      </c>
      <c r="G24" s="442">
        <v>13</v>
      </c>
      <c r="H24" s="114">
        <f>ROUND(C24/1000,)+2</f>
        <v>25015</v>
      </c>
      <c r="I24" s="114">
        <f>ROUND(D24/1000,0)</f>
        <v>14053</v>
      </c>
      <c r="J24" s="231">
        <f t="shared" si="1"/>
        <v>56.178293024185486</v>
      </c>
    </row>
    <row r="25" spans="1:10" ht="24.75" customHeight="1">
      <c r="A25" s="197" t="s">
        <v>507</v>
      </c>
      <c r="B25" s="441">
        <v>14</v>
      </c>
      <c r="C25" s="222">
        <v>141857231</v>
      </c>
      <c r="D25" s="222">
        <f>96990494+38676616</f>
        <v>135667110</v>
      </c>
      <c r="E25" s="148">
        <f t="shared" si="0"/>
        <v>0.9563637260056204</v>
      </c>
      <c r="F25" s="444" t="s">
        <v>508</v>
      </c>
      <c r="G25" s="445">
        <v>14</v>
      </c>
      <c r="H25" s="446">
        <f>ROUND(C25/1000,)</f>
        <v>141857</v>
      </c>
      <c r="I25" s="446">
        <f>ROUND(D25/1000,0)-1</f>
        <v>135666</v>
      </c>
      <c r="J25" s="231">
        <f t="shared" si="1"/>
        <v>95.63574585674306</v>
      </c>
    </row>
    <row r="26" spans="2:10" ht="12.75">
      <c r="B26" s="36"/>
      <c r="C26" s="30"/>
      <c r="D26" s="30"/>
      <c r="E26" s="163"/>
      <c r="G26" s="36"/>
      <c r="H26" s="30"/>
      <c r="I26" s="30"/>
      <c r="J26" s="163"/>
    </row>
    <row r="27" spans="1:10" ht="12.75">
      <c r="A27" s="43" t="s">
        <v>509</v>
      </c>
      <c r="B27" s="36"/>
      <c r="C27" s="30"/>
      <c r="D27" s="30"/>
      <c r="E27" s="163"/>
      <c r="F27" s="43" t="s">
        <v>509</v>
      </c>
      <c r="G27" s="36"/>
      <c r="H27" s="30"/>
      <c r="I27" s="30"/>
      <c r="J27" s="163"/>
    </row>
    <row r="28" spans="2:10" ht="12.75">
      <c r="B28" s="36"/>
      <c r="C28" s="30"/>
      <c r="D28" s="30"/>
      <c r="E28" s="163"/>
      <c r="G28" s="36"/>
      <c r="H28" s="30"/>
      <c r="I28" s="30"/>
      <c r="J28" s="163"/>
    </row>
    <row r="29" spans="2:10" ht="12.75">
      <c r="B29" s="36"/>
      <c r="C29" s="30"/>
      <c r="D29" s="30"/>
      <c r="E29" s="163"/>
      <c r="F29" s="443"/>
      <c r="G29" s="36"/>
      <c r="H29" s="30"/>
      <c r="I29" s="30"/>
      <c r="J29" s="163"/>
    </row>
    <row r="30" spans="2:10" ht="12.75">
      <c r="B30" s="36"/>
      <c r="C30" s="30"/>
      <c r="D30" s="30"/>
      <c r="E30" s="163"/>
      <c r="G30" s="36"/>
      <c r="H30" s="30"/>
      <c r="I30" s="30"/>
      <c r="J30" s="163"/>
    </row>
    <row r="31" spans="2:10" ht="12.75">
      <c r="B31" s="36"/>
      <c r="C31" s="30"/>
      <c r="D31" s="30"/>
      <c r="E31" s="163"/>
      <c r="I31" s="30"/>
      <c r="J31" s="163"/>
    </row>
    <row r="32" spans="2:10" ht="12.75">
      <c r="B32" s="36"/>
      <c r="C32" s="30"/>
      <c r="D32" s="30"/>
      <c r="E32" s="163"/>
      <c r="G32" s="36"/>
      <c r="H32" s="30"/>
      <c r="I32" s="30"/>
      <c r="J32" s="163"/>
    </row>
    <row r="33" spans="1:13" ht="12.75">
      <c r="A33" s="43" t="s">
        <v>510</v>
      </c>
      <c r="B33" s="36"/>
      <c r="C33" s="30" t="s">
        <v>511</v>
      </c>
      <c r="D33" s="30"/>
      <c r="E33" s="163"/>
      <c r="I33" s="30"/>
      <c r="J33" s="163"/>
      <c r="L33" s="36"/>
      <c r="M33" s="30"/>
    </row>
    <row r="34" spans="2:10" ht="12.75">
      <c r="B34" s="36"/>
      <c r="C34" s="30"/>
      <c r="D34" s="30"/>
      <c r="E34" s="163"/>
      <c r="G34" s="36"/>
      <c r="H34" s="30"/>
      <c r="I34" s="30"/>
      <c r="J34" s="163"/>
    </row>
    <row r="35" spans="2:9" ht="12.75">
      <c r="B35" s="36"/>
      <c r="C35" s="30"/>
      <c r="D35" s="30"/>
      <c r="E35" s="163"/>
      <c r="F35" s="43" t="s">
        <v>342</v>
      </c>
      <c r="G35" s="29"/>
      <c r="H35" s="79"/>
      <c r="I35" s="30"/>
    </row>
    <row r="36" spans="4:10" ht="12.75">
      <c r="D36" s="30"/>
      <c r="E36" s="163"/>
      <c r="I36" s="30"/>
      <c r="J36" s="163"/>
    </row>
    <row r="37" spans="2:10" ht="12.75">
      <c r="B37" s="36"/>
      <c r="C37" s="30"/>
      <c r="D37" s="30"/>
      <c r="E37" s="163"/>
      <c r="G37" s="36"/>
      <c r="H37" s="30"/>
      <c r="I37" s="30"/>
      <c r="J37" s="163"/>
    </row>
    <row r="38" spans="3:10" ht="12.75">
      <c r="C38" s="30"/>
      <c r="D38" s="30"/>
      <c r="E38" s="163"/>
      <c r="H38" s="30"/>
      <c r="I38" s="30"/>
      <c r="J38" s="163"/>
    </row>
    <row r="39" spans="3:10" ht="12.75">
      <c r="C39" s="30"/>
      <c r="D39" s="30"/>
      <c r="E39" s="163"/>
      <c r="H39" s="30"/>
      <c r="I39" s="30"/>
      <c r="J39" s="163"/>
    </row>
    <row r="40" spans="3:10" ht="12.75">
      <c r="C40" s="30"/>
      <c r="D40" s="30"/>
      <c r="E40" s="163"/>
      <c r="H40" s="30"/>
      <c r="I40" s="30"/>
      <c r="J40" s="163"/>
    </row>
    <row r="41" spans="3:10" ht="12.75">
      <c r="C41" s="30"/>
      <c r="D41" s="30"/>
      <c r="E41" s="163"/>
      <c r="H41" s="30"/>
      <c r="I41" s="30"/>
      <c r="J41" s="163"/>
    </row>
    <row r="42" spans="3:10" ht="12.75">
      <c r="C42" s="30"/>
      <c r="D42" s="30"/>
      <c r="E42" s="163"/>
      <c r="H42" s="30"/>
      <c r="I42" s="30"/>
      <c r="J42" s="163"/>
    </row>
    <row r="43" spans="3:10" ht="12.75">
      <c r="C43" s="30"/>
      <c r="D43" s="30"/>
      <c r="E43" s="163"/>
      <c r="F43" s="39"/>
      <c r="H43" s="30"/>
      <c r="I43" s="30"/>
      <c r="J43" s="163"/>
    </row>
    <row r="44" spans="3:10" ht="12.75">
      <c r="C44" s="30"/>
      <c r="D44" s="30"/>
      <c r="E44" s="163"/>
      <c r="F44" s="39"/>
      <c r="H44" s="30"/>
      <c r="I44" s="30"/>
      <c r="J44" s="163"/>
    </row>
    <row r="45" spans="3:10" ht="12.75">
      <c r="C45" s="30"/>
      <c r="D45" s="30"/>
      <c r="E45" s="163"/>
      <c r="H45" s="30"/>
      <c r="I45" s="30"/>
      <c r="J45" s="163"/>
    </row>
    <row r="46" spans="3:10" ht="12.75">
      <c r="C46" s="30"/>
      <c r="D46" s="30"/>
      <c r="E46" s="163"/>
      <c r="H46" s="30"/>
      <c r="I46" s="30"/>
      <c r="J46" s="163"/>
    </row>
    <row r="47" spans="2:9" ht="12.75">
      <c r="B47" s="30"/>
      <c r="C47" s="30"/>
      <c r="D47" s="163"/>
      <c r="G47" s="30"/>
      <c r="H47" s="30"/>
      <c r="I47" s="163"/>
    </row>
    <row r="48" spans="2:9" ht="12.75">
      <c r="B48" s="30"/>
      <c r="C48" s="30"/>
      <c r="D48" s="163"/>
      <c r="G48" s="30"/>
      <c r="H48" s="30"/>
      <c r="I48" s="163"/>
    </row>
    <row r="49" spans="2:9" ht="12.75">
      <c r="B49" s="30"/>
      <c r="C49" s="30"/>
      <c r="D49" s="163"/>
      <c r="G49" s="30"/>
      <c r="H49" s="30"/>
      <c r="I49" s="163"/>
    </row>
    <row r="50" spans="2:9" ht="12.75">
      <c r="B50" s="30"/>
      <c r="C50" s="30"/>
      <c r="D50" s="163"/>
      <c r="G50" s="30"/>
      <c r="H50" s="30"/>
      <c r="I50" s="163"/>
    </row>
    <row r="51" spans="2:9" ht="12.75">
      <c r="B51" s="30"/>
      <c r="C51" s="30"/>
      <c r="D51" s="163"/>
      <c r="G51" s="30"/>
      <c r="H51" s="30"/>
      <c r="I51" s="163"/>
    </row>
    <row r="52" spans="2:9" ht="12.75">
      <c r="B52" s="30"/>
      <c r="C52" s="30"/>
      <c r="D52" s="163"/>
      <c r="G52" s="30"/>
      <c r="H52" s="30"/>
      <c r="I52" s="163"/>
    </row>
    <row r="53" spans="2:9" ht="12.75">
      <c r="B53" s="30"/>
      <c r="D53" s="163"/>
      <c r="G53" s="30"/>
      <c r="I53" s="163"/>
    </row>
    <row r="54" spans="2:9" ht="12.75">
      <c r="B54" s="30"/>
      <c r="D54" s="163"/>
      <c r="G54" s="30"/>
      <c r="I54" s="163"/>
    </row>
    <row r="55" spans="2:9" ht="12.75">
      <c r="B55" s="30"/>
      <c r="D55" s="163"/>
      <c r="G55" s="30"/>
      <c r="I55" s="163"/>
    </row>
    <row r="56" spans="2:9" ht="12.75">
      <c r="B56" s="30"/>
      <c r="D56" s="163"/>
      <c r="G56" s="30"/>
      <c r="I56" s="163"/>
    </row>
    <row r="57" spans="2:9" ht="12.75">
      <c r="B57" s="30"/>
      <c r="D57" s="163"/>
      <c r="G57" s="30"/>
      <c r="I57" s="163"/>
    </row>
    <row r="58" spans="2:9" ht="12.75">
      <c r="B58" s="30"/>
      <c r="D58" s="163"/>
      <c r="G58" s="30"/>
      <c r="I58" s="163"/>
    </row>
    <row r="59" spans="2:9" ht="12.75">
      <c r="B59" s="30"/>
      <c r="D59" s="163"/>
      <c r="G59" s="30"/>
      <c r="I59" s="163"/>
    </row>
    <row r="60" spans="2:9" ht="12.75">
      <c r="B60" s="30"/>
      <c r="D60" s="163"/>
      <c r="G60" s="30"/>
      <c r="I60" s="163"/>
    </row>
    <row r="61" spans="2:9" ht="12.75">
      <c r="B61" s="30"/>
      <c r="D61" s="163"/>
      <c r="G61" s="30"/>
      <c r="I61" s="163"/>
    </row>
    <row r="62" spans="2:9" ht="12.75">
      <c r="B62" s="30"/>
      <c r="D62" s="163"/>
      <c r="G62" s="30"/>
      <c r="I62" s="163"/>
    </row>
    <row r="63" spans="2:9" ht="12.75">
      <c r="B63" s="30"/>
      <c r="D63" s="163"/>
      <c r="G63" s="30"/>
      <c r="I63" s="163"/>
    </row>
    <row r="64" spans="2:9" ht="12.75">
      <c r="B64" s="30"/>
      <c r="D64" s="163"/>
      <c r="G64" s="30"/>
      <c r="I64" s="163"/>
    </row>
    <row r="65" spans="2:9" ht="12.75">
      <c r="B65" s="30"/>
      <c r="D65" s="163"/>
      <c r="G65" s="30"/>
      <c r="I65" s="163"/>
    </row>
    <row r="66" spans="2:9" ht="12.75">
      <c r="B66" s="30"/>
      <c r="D66" s="163"/>
      <c r="G66" s="30"/>
      <c r="I66" s="163"/>
    </row>
    <row r="67" spans="2:9" ht="12.75">
      <c r="B67" s="30"/>
      <c r="D67" s="163"/>
      <c r="G67" s="30"/>
      <c r="I67" s="163"/>
    </row>
    <row r="68" spans="2:9" ht="12.75">
      <c r="B68" s="30"/>
      <c r="D68" s="163"/>
      <c r="G68" s="30"/>
      <c r="I68" s="163"/>
    </row>
    <row r="69" spans="2:9" ht="12.75">
      <c r="B69" s="30"/>
      <c r="D69" s="163"/>
      <c r="G69" s="30"/>
      <c r="I69" s="163"/>
    </row>
    <row r="70" spans="2:9" ht="12.75">
      <c r="B70" s="30"/>
      <c r="D70" s="163"/>
      <c r="G70" s="30"/>
      <c r="I70" s="163"/>
    </row>
    <row r="71" spans="2:9" ht="12.75">
      <c r="B71" s="30"/>
      <c r="D71" s="163"/>
      <c r="G71" s="30"/>
      <c r="I71" s="163"/>
    </row>
    <row r="72" spans="2:9" ht="12.75">
      <c r="B72" s="30"/>
      <c r="D72" s="163"/>
      <c r="G72" s="30"/>
      <c r="I72" s="163"/>
    </row>
    <row r="73" spans="2:9" ht="12.75">
      <c r="B73" s="30"/>
      <c r="D73" s="163"/>
      <c r="G73" s="30"/>
      <c r="I73" s="163"/>
    </row>
    <row r="74" spans="2:9" ht="12.75">
      <c r="B74" s="30"/>
      <c r="D74" s="163"/>
      <c r="G74" s="30"/>
      <c r="I74" s="163"/>
    </row>
    <row r="75" spans="2:9" ht="12.75">
      <c r="B75" s="30"/>
      <c r="D75" s="163"/>
      <c r="G75" s="30"/>
      <c r="I75" s="163"/>
    </row>
    <row r="76" spans="2:9" ht="12.75">
      <c r="B76" s="30"/>
      <c r="D76" s="163"/>
      <c r="G76" s="30"/>
      <c r="I76" s="163"/>
    </row>
    <row r="77" spans="2:9" ht="12.75">
      <c r="B77" s="30"/>
      <c r="D77" s="163"/>
      <c r="G77" s="30"/>
      <c r="I77" s="163"/>
    </row>
    <row r="78" spans="2:9" ht="12.75">
      <c r="B78" s="30"/>
      <c r="D78" s="163"/>
      <c r="G78" s="30"/>
      <c r="I78" s="163"/>
    </row>
    <row r="79" spans="2:9" ht="12.75">
      <c r="B79" s="30"/>
      <c r="D79" s="163"/>
      <c r="G79" s="30"/>
      <c r="I79" s="163"/>
    </row>
    <row r="80" spans="2:9" ht="12.75">
      <c r="B80" s="30"/>
      <c r="D80" s="163"/>
      <c r="G80" s="30"/>
      <c r="I80" s="163"/>
    </row>
    <row r="81" spans="2:9" ht="12.75">
      <c r="B81" s="30"/>
      <c r="D81" s="163"/>
      <c r="G81" s="30"/>
      <c r="I81" s="163"/>
    </row>
    <row r="82" spans="2:9" ht="12.75">
      <c r="B82" s="30"/>
      <c r="D82" s="163"/>
      <c r="G82" s="30"/>
      <c r="I82" s="163"/>
    </row>
    <row r="83" spans="2:9" ht="12.75">
      <c r="B83" s="30"/>
      <c r="D83" s="163"/>
      <c r="G83" s="30"/>
      <c r="I83" s="163"/>
    </row>
    <row r="84" spans="2:9" ht="12.75">
      <c r="B84" s="30"/>
      <c r="D84" s="163"/>
      <c r="G84" s="30"/>
      <c r="I84" s="163"/>
    </row>
    <row r="85" spans="2:9" ht="12.75">
      <c r="B85" s="30"/>
      <c r="D85" s="163"/>
      <c r="G85" s="30"/>
      <c r="I85" s="163"/>
    </row>
    <row r="86" spans="2:9" ht="12.75">
      <c r="B86" s="30"/>
      <c r="D86" s="163"/>
      <c r="G86" s="30"/>
      <c r="I86" s="163"/>
    </row>
    <row r="87" spans="2:9" ht="12.75">
      <c r="B87" s="30"/>
      <c r="D87" s="163"/>
      <c r="G87" s="30"/>
      <c r="I87" s="163"/>
    </row>
    <row r="88" spans="2:9" ht="12.75">
      <c r="B88" s="30"/>
      <c r="D88" s="163"/>
      <c r="G88" s="30"/>
      <c r="I88" s="163"/>
    </row>
    <row r="89" spans="2:9" ht="12.75">
      <c r="B89" s="30"/>
      <c r="D89" s="163"/>
      <c r="G89" s="30"/>
      <c r="I89" s="163"/>
    </row>
    <row r="90" spans="2:9" ht="12.75">
      <c r="B90" s="30"/>
      <c r="D90" s="163"/>
      <c r="G90" s="30"/>
      <c r="I90" s="163"/>
    </row>
    <row r="91" spans="2:9" ht="12.75">
      <c r="B91" s="30"/>
      <c r="D91" s="163"/>
      <c r="G91" s="30"/>
      <c r="I91" s="163"/>
    </row>
    <row r="92" spans="2:9" ht="12.75">
      <c r="B92" s="30"/>
      <c r="D92" s="163"/>
      <c r="G92" s="30"/>
      <c r="I92" s="163"/>
    </row>
    <row r="93" spans="2:9" ht="12.75">
      <c r="B93" s="30"/>
      <c r="D93" s="163"/>
      <c r="G93" s="30"/>
      <c r="I93" s="163"/>
    </row>
    <row r="94" spans="2:9" ht="12.75">
      <c r="B94" s="30"/>
      <c r="D94" s="163"/>
      <c r="G94" s="30"/>
      <c r="I94" s="163"/>
    </row>
    <row r="95" spans="2:9" ht="12.75">
      <c r="B95" s="30"/>
      <c r="D95" s="163"/>
      <c r="G95" s="30"/>
      <c r="I95" s="163"/>
    </row>
    <row r="96" spans="2:9" ht="12.75">
      <c r="B96" s="30"/>
      <c r="D96" s="163"/>
      <c r="G96" s="30"/>
      <c r="I96" s="163"/>
    </row>
    <row r="97" spans="2:9" ht="12.75">
      <c r="B97" s="30"/>
      <c r="D97" s="163"/>
      <c r="G97" s="30"/>
      <c r="I97" s="163"/>
    </row>
    <row r="98" spans="2:9" ht="12.75">
      <c r="B98" s="30"/>
      <c r="D98" s="163"/>
      <c r="G98" s="30"/>
      <c r="I98" s="163"/>
    </row>
    <row r="99" spans="2:9" ht="12.75">
      <c r="B99" s="30"/>
      <c r="D99" s="163"/>
      <c r="G99" s="30"/>
      <c r="I99" s="163"/>
    </row>
    <row r="100" spans="2:7" ht="12.75">
      <c r="B100" s="30"/>
      <c r="G100" s="30"/>
    </row>
    <row r="101" spans="2:7" ht="12.75">
      <c r="B101" s="30"/>
      <c r="G101" s="30"/>
    </row>
    <row r="102" spans="2:7" ht="12.75">
      <c r="B102" s="30"/>
      <c r="G102" s="30"/>
    </row>
    <row r="103" spans="2:7" ht="12.75">
      <c r="B103" s="30"/>
      <c r="G103" s="30"/>
    </row>
    <row r="104" spans="2:7" ht="12.75">
      <c r="B104" s="30"/>
      <c r="G104" s="30"/>
    </row>
    <row r="105" spans="2:7" ht="12.75">
      <c r="B105" s="30"/>
      <c r="G105" s="30"/>
    </row>
    <row r="106" spans="2:7" ht="12.75">
      <c r="B106" s="30"/>
      <c r="G106" s="30"/>
    </row>
    <row r="107" spans="2:7" ht="12.75">
      <c r="B107" s="30"/>
      <c r="G107" s="30"/>
    </row>
    <row r="108" spans="2:7" ht="12.75">
      <c r="B108" s="30"/>
      <c r="G108" s="30"/>
    </row>
  </sheetData>
  <mergeCells count="5">
    <mergeCell ref="F5:I5"/>
    <mergeCell ref="A2:C2"/>
    <mergeCell ref="F2:I2"/>
    <mergeCell ref="A4:D4"/>
    <mergeCell ref="F4:J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DaceL</dc:creator>
  <cp:keywords/>
  <dc:description/>
  <cp:lastModifiedBy>VinetaP</cp:lastModifiedBy>
  <cp:lastPrinted>2000-09-18T07:24:57Z</cp:lastPrinted>
  <dcterms:created xsi:type="dcterms:W3CDTF">2000-09-18T06:41:16Z</dcterms:created>
  <dcterms:modified xsi:type="dcterms:W3CDTF">2002-12-02T15:07:48Z</dcterms:modified>
  <cp:category/>
  <cp:version/>
  <cp:contentType/>
  <cp:contentStatus/>
</cp:coreProperties>
</file>