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<sst xmlns="http://schemas.openxmlformats.org/spreadsheetml/2006/main" count="2484" uniqueCount="781">
  <si>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</si>
  <si>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</si>
  <si>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</si>
  <si>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</si>
  <si>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</si>
  <si>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</si>
  <si>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</si>
  <si>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</si>
  <si>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** -   ieskaitot  tīros aizdevumus </t>
  </si>
  <si>
    <t xml:space="preserve">Valsts kases pārvaldnieks </t>
  </si>
  <si>
    <t>_______________________________</t>
  </si>
  <si>
    <t xml:space="preserve">   A. Veiss</t>
  </si>
  <si>
    <t xml:space="preserve">                Valsts kases oficiālais pārskats</t>
  </si>
  <si>
    <t>18.tabula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</si>
  <si>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</si>
  <si>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</si>
  <si>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</si>
  <si>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</si>
  <si>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</si>
  <si>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</si>
  <si>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</si>
  <si>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</si>
  <si>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</si>
  <si>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</si>
  <si>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</si>
  <si>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19. tabula</t>
  </si>
  <si>
    <t xml:space="preserve">                                      Valsts kases oficiālais mēneša pārskats</t>
  </si>
  <si>
    <t xml:space="preserve">                   Pašvaldību finansu izlīdzināšanas  fonda līdzekļi</t>
  </si>
  <si>
    <t xml:space="preserve">                   ( 2000. gada janvāris -decembris )</t>
  </si>
  <si>
    <t>Izpilde</t>
  </si>
  <si>
    <t xml:space="preserve">1. Ieņēmumi - kopā   </t>
  </si>
  <si>
    <t xml:space="preserve">Atlikums uz 2000.gada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</si>
  <si>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</si>
  <si>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</si>
  <si>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</si>
  <si>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</si>
  <si>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</si>
  <si>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</si>
  <si>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</si>
  <si>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</si>
  <si>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2001.gada 1. janvāri 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</si>
  <si>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</si>
  <si>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</si>
  <si>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20. tabula</t>
  </si>
  <si>
    <t>No valsts budžeta pārskaitītās mērķdotācijas pašvaldībām</t>
  </si>
  <si>
    <t xml:space="preserve">   ( 2000. gada janvāris - decembris )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</si>
  <si>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</si>
  <si>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</si>
  <si>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</si>
  <si>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</si>
  <si>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</si>
  <si>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</si>
  <si>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 mērķdotā-cijas </t>
  </si>
  <si>
    <t>Mērķdotācijas teritoriālplānošanai</t>
  </si>
  <si>
    <t>Mērķdotācijas
 kopā              (2+3+4+5+6+7+8)</t>
  </si>
  <si>
    <t>1999.g.</t>
  </si>
  <si>
    <t>2000.g.</t>
  </si>
  <si>
    <t>Valsts kases oficiālais mēneša pārskats par valsts kopbudžeta izpildi
(2000. gada janvāris - decembris)</t>
  </si>
  <si>
    <t xml:space="preserve">                (tūkst.latu)</t>
  </si>
  <si>
    <t>Rādītāji</t>
  </si>
  <si>
    <t>Konsolidētais
valsts budžets*</t>
  </si>
  <si>
    <t>Konsolidētais
pašvaldību budžets</t>
  </si>
  <si>
    <t>Konsolidētais kopbudžets</t>
  </si>
  <si>
    <t>Decembra izpilde</t>
  </si>
  <si>
    <t>1. Ieņēmumi (bruto)</t>
  </si>
  <si>
    <t>mīnus transferts no valsts pamatbudžeta pašvaldību budžetos</t>
  </si>
  <si>
    <t>x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</si>
  <si>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</si>
  <si>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</si>
  <si>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</si>
  <si>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</si>
  <si>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</si>
  <si>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</si>
  <si>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</si>
  <si>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</si>
  <si>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</si>
  <si>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</si>
  <si>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</si>
  <si>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</si>
  <si>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</si>
  <si>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</si>
  <si>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</si>
  <si>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</si>
  <si>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</si>
  <si>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</si>
  <si>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</si>
  <si>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</si>
  <si>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</si>
  <si>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</si>
  <si>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</si>
  <si>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 xml:space="preserve">         Depozītu apjoma izmaiņas</t>
  </si>
  <si>
    <t>Norēķinu kontu
atlikumu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</si>
  <si>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</si>
  <si>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</si>
  <si>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</si>
  <si>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</si>
  <si>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</si>
  <si>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ziedojumus, dāvinājumus un pārējo ārvalstu finansu palīdzību</t>
  </si>
  <si>
    <t>Valsts kases pārvaldnieks                                                                              A. Veiss</t>
  </si>
  <si>
    <t>Valsts kase/Pārskatu departaments</t>
  </si>
  <si>
    <t>2001.gada 15.janvāris</t>
  </si>
  <si>
    <t>1.tabula</t>
  </si>
  <si>
    <t xml:space="preserve"> Valsts kases oficiālais mēneša pārskats</t>
  </si>
  <si>
    <t>Valsts konsolidētā budžeta izpilde (2000.gada janvāris)</t>
  </si>
  <si>
    <t>Valsts konsolidētā budžeta izpilde (2000. gada janvāris - decembris)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</si>
  <si>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</si>
  <si>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</si>
  <si>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</si>
  <si>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</si>
  <si>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</si>
  <si>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 xml:space="preserve">Decembra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</si>
  <si>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</si>
  <si>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</si>
  <si>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</si>
  <si>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</si>
  <si>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</si>
  <si>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</si>
  <si>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</si>
  <si>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</si>
  <si>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</si>
  <si>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</si>
  <si>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</si>
  <si>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</si>
  <si>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</si>
  <si>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</si>
  <si>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</si>
  <si>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</si>
  <si>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</si>
  <si>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</si>
  <si>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</si>
  <si>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</si>
  <si>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</si>
  <si>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</si>
  <si>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</si>
  <si>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</si>
  <si>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</si>
  <si>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</si>
  <si>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</si>
  <si>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</si>
  <si>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</si>
  <si>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</si>
  <si>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</si>
  <si>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</si>
  <si>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</si>
  <si>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</si>
  <si>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</si>
  <si>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</si>
  <si>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</si>
  <si>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</si>
  <si>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</si>
  <si>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</si>
  <si>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</si>
  <si>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</si>
  <si>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</si>
  <si>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</si>
  <si>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</si>
  <si>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</si>
  <si>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</si>
  <si>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</si>
  <si>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</si>
  <si>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</si>
  <si>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</si>
  <si>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</si>
  <si>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</si>
  <si>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</si>
  <si>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</si>
  <si>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</si>
  <si>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</si>
  <si>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</si>
  <si>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</si>
  <si>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</si>
  <si>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</si>
  <si>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</si>
  <si>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</si>
  <si>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</si>
  <si>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</si>
  <si>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pārvaldnieks ______________________________  (A. Veiss)                                                                    </t>
  </si>
  <si>
    <t xml:space="preserve">Valsts kases pārvaldnieks ______________________________  (A.Veiss)                                                                    </t>
  </si>
  <si>
    <t>Valsts kase / Pārskatu departaments</t>
  </si>
  <si>
    <t>2.tabula</t>
  </si>
  <si>
    <t>Valsts kases oficiālais mēneša pārskats</t>
  </si>
  <si>
    <t xml:space="preserve">                    Valsts kases oficiālais mēneša pārskats</t>
  </si>
  <si>
    <t>Valsts pamatbudžeta ieņēmumi (2000.gada janvāris- decembris )</t>
  </si>
  <si>
    <t>Gada sagaidāmā izpilde %</t>
  </si>
  <si>
    <t>Izpilde % pret gada plānu            (4/2)</t>
  </si>
  <si>
    <t xml:space="preserve">Izpilde no gada sākuma </t>
  </si>
  <si>
    <t>dec</t>
  </si>
  <si>
    <t>septembris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</si>
  <si>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</si>
  <si>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</si>
  <si>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</si>
  <si>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</si>
  <si>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</si>
  <si>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</si>
  <si>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</si>
  <si>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</si>
  <si>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</si>
  <si>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</si>
  <si>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</si>
  <si>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</si>
  <si>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Procentu maksājumi par kredītiem un izsniegtajiem galvojumiem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</si>
  <si>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</si>
  <si>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</si>
  <si>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</si>
  <si>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>Pārējās valsts nodevas:</t>
  </si>
  <si>
    <t>tai skaitā:</t>
  </si>
  <si>
    <t xml:space="preserve">t.sk. bāku nodeva </t>
  </si>
  <si>
    <t xml:space="preserve"> Valsts nodeva par jūras navigācijas pakalpojumiem (bāku nodeva )</t>
  </si>
  <si>
    <t>izložu un azartspēlu nodeva</t>
  </si>
  <si>
    <t>izložu un azartspēļu valsts nodeva</t>
  </si>
  <si>
    <t>valsts nodeva par azartspēlu iekārtu marķēšanu</t>
  </si>
  <si>
    <t>valsts nodeva par azartspēļu iekārtu marķēšanu</t>
  </si>
  <si>
    <t>citas  valsts nodevas</t>
  </si>
  <si>
    <t>citas pārējās nodevas</t>
  </si>
  <si>
    <t xml:space="preserve">   Sodi un sankcijas</t>
  </si>
  <si>
    <t xml:space="preserve">   Pārējie nenodokļu ieņēmumi **</t>
  </si>
  <si>
    <t xml:space="preserve">   Pārējie nenodokļu ieņēmumi, . **</t>
  </si>
  <si>
    <t xml:space="preserve">  pārskaitījums valsts pamatbudžetā sociālās apdrošināšanas iemaksu administrēšanai</t>
  </si>
  <si>
    <t xml:space="preserve"> pārskaitījums valsts pamatbudžetā sociālās apdrošināšanas iemaksu administrēšanai </t>
  </si>
  <si>
    <t>VAS "Latvijas meži" fiksētais maksājums</t>
  </si>
  <si>
    <t>Iemaksas no Dzelzceļa infrastruktūras fonda</t>
  </si>
  <si>
    <t>SVF Post - 2 konta depozīts</t>
  </si>
  <si>
    <t xml:space="preserve">   pārējie nenodokļu ieņēmumi</t>
  </si>
  <si>
    <t>1.3.Pašu ieņēmumi</t>
  </si>
  <si>
    <t xml:space="preserve">   Budžeta iestāžu ieņēmumi no maksas pakalpojumiem</t>
  </si>
  <si>
    <t>1.4. Ārvalstu finansu palīdzība</t>
  </si>
  <si>
    <t>1.4. Ārvalstu finansu palīdzība ***</t>
  </si>
  <si>
    <t>t.sk. avansa maksājumi***</t>
  </si>
  <si>
    <t>t.sk. avansa maksājumi</t>
  </si>
  <si>
    <t>* - ieskaitot nodokli no īpašuma - 497 tūkst. latu</t>
  </si>
  <si>
    <t>* - ieskaitot nodokli no īpašuma - 759005.52 latu</t>
  </si>
  <si>
    <t>** - ieskaitot procentus par valsts depozītu - 3 500 tūkst. latu</t>
  </si>
  <si>
    <t>** - ieskaitot procentus par valsts depozītu - 2233327.65  latu</t>
  </si>
  <si>
    <t xml:space="preserve">***- ieskaitot nesadalīto atlikumu </t>
  </si>
  <si>
    <t xml:space="preserve">***-ieskaitot nesadalīto atlikumu </t>
  </si>
  <si>
    <t xml:space="preserve"> </t>
  </si>
  <si>
    <t>Valsts kases pārvaldnieks________________________________________(A.Veiss)</t>
  </si>
  <si>
    <t xml:space="preserve">Valsts kases pārvaldnieks_________________________________ A.Veiss </t>
  </si>
  <si>
    <t>2000.gada 15. decembris</t>
  </si>
  <si>
    <t xml:space="preserve">Valsts kases oficiālais mēneša pārskats </t>
  </si>
  <si>
    <t>3.tabula</t>
  </si>
  <si>
    <t>Valsts pamatbudżeta izdevumi pa ministrijām un pasākumiem</t>
  </si>
  <si>
    <t xml:space="preserve">     Valsts pamatbudżeta izdevumi pa ministrijām un pasākumiem</t>
  </si>
  <si>
    <t>(2000.gada janvāris-decembris)</t>
  </si>
  <si>
    <t>kopā ar ārvalstu  finansu palīdzību</t>
  </si>
  <si>
    <t>(latos)</t>
  </si>
  <si>
    <t xml:space="preserve">Finansēšanas plāns pārskata periodam </t>
  </si>
  <si>
    <t>Izpilde % pret gada plānu (4/2)</t>
  </si>
  <si>
    <t>Izpilde % pret finansēša-nas plānu pārskata periodam 
  (4/3)</t>
  </si>
  <si>
    <t>Izpilde % pret finansēšanas plānu pārskata periodam 
  (4/3)</t>
  </si>
  <si>
    <t xml:space="preserve">Izpilde </t>
  </si>
  <si>
    <t>sadale mēn.</t>
  </si>
  <si>
    <t>Uzturizd</t>
  </si>
  <si>
    <t>izdkap</t>
  </si>
  <si>
    <t>decembris</t>
  </si>
  <si>
    <t>novembris</t>
  </si>
  <si>
    <t>mēn.izpilde</t>
  </si>
  <si>
    <t xml:space="preserve">   Izdevumi - kopā </t>
  </si>
  <si>
    <t xml:space="preserve">     Uzturēšanas izdevumi</t>
  </si>
  <si>
    <t xml:space="preserve">     Izdevumi kapitālieguldījumiem</t>
  </si>
  <si>
    <t xml:space="preserve">     Izdevumi kapitālieg.</t>
  </si>
  <si>
    <t>Valsts Prezidenta kanceleja</t>
  </si>
  <si>
    <t>Valsts prezidenta kanceleja</t>
  </si>
  <si>
    <t>`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</si>
  <si>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</si>
  <si>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</si>
  <si>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</si>
  <si>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</si>
  <si>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</si>
  <si>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</si>
  <si>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</si>
  <si>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</si>
  <si>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</si>
  <si>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</si>
  <si>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</si>
  <si>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</si>
  <si>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</si>
  <si>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</si>
  <si>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</si>
  <si>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</si>
  <si>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</si>
  <si>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</si>
  <si>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</si>
  <si>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</si>
  <si>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</si>
  <si>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</si>
  <si>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</si>
  <si>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</si>
  <si>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</si>
  <si>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Īpašu uzdevumu ministra valsts pārvaldes  un  pašvaldību  reformu lietās  sekretariāts</t>
  </si>
  <si>
    <t>Īpašu uzdevumu ministra valsts pārvaldes  un  pašvaldību  reformas jautājumos 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</si>
  <si>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</si>
  <si>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</si>
  <si>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</si>
  <si>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</si>
  <si>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 xml:space="preserve">Valsts kases pārvaldnieks _________________________________ A.Veiss </t>
  </si>
  <si>
    <t>2001.gada 10.janvāris</t>
  </si>
  <si>
    <t xml:space="preserve">           Valsts kases oficiālais mēneša pārskats</t>
  </si>
  <si>
    <t>4.tabula</t>
  </si>
  <si>
    <t xml:space="preserve">           Valsts kases operatīvais pārskats</t>
  </si>
  <si>
    <t xml:space="preserve">Valsts pamatbudžeta ieņēmumu un izdevumu atšifrējums </t>
  </si>
  <si>
    <t>pēc ekonomiskās klasifikācijas</t>
  </si>
  <si>
    <t>(2000.gada janvāris - decembris )</t>
  </si>
  <si>
    <t>Finansēšanas plāns pārskata periodam</t>
  </si>
  <si>
    <t>Izpilde % pret gada plānu      (4/2)</t>
  </si>
  <si>
    <t>Izpilde % pret finansēšanas plānu pārskata periodam       (4/3)</t>
  </si>
  <si>
    <t>Decembra  izpilde</t>
  </si>
  <si>
    <t>Izpilde % pret finansēša-nas plānu pārskata periodam       (4/3)</t>
  </si>
  <si>
    <t>nov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</si>
  <si>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</si>
  <si>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</si>
  <si>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</si>
  <si>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</si>
  <si>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</si>
  <si>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Ārvalstu finansu palīdzība </t>
  </si>
  <si>
    <t xml:space="preserve">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</si>
  <si>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</si>
  <si>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</si>
  <si>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</si>
  <si>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</si>
  <si>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</si>
  <si>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</si>
  <si>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t.sk. aizņēmumu atmaksa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</si>
  <si>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</si>
  <si>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</si>
  <si>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</si>
  <si>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</si>
  <si>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Finansu ministrijas maksājumi par valsts    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</si>
  <si>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</si>
  <si>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</si>
  <si>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</si>
  <si>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</si>
  <si>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</si>
  <si>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budžetam*</t>
  </si>
  <si>
    <t xml:space="preserve">                 t.sk.speciālajam budžetam*</t>
  </si>
  <si>
    <t xml:space="preserve"> pārējiem</t>
  </si>
  <si>
    <t xml:space="preserve">           pārējiem</t>
  </si>
  <si>
    <t xml:space="preserve">     dotācijas iedzīvotājiem</t>
  </si>
  <si>
    <t xml:space="preserve">              t.sk.          pensijas </t>
  </si>
  <si>
    <t xml:space="preserve">                 t.sk.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</si>
  <si>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</si>
  <si>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</si>
  <si>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</si>
  <si>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</si>
  <si>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</si>
  <si>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pārējie</t>
  </si>
  <si>
    <t xml:space="preserve">   iemaksas starptautiskajās organizācijās</t>
  </si>
  <si>
    <t>2.2.Izdevumi kapitālieguldījumiem</t>
  </si>
  <si>
    <t>Kapitālie izdevumi kopā</t>
  </si>
  <si>
    <t>Kapitālie izdevumi</t>
  </si>
  <si>
    <t>Investīcijas kopā</t>
  </si>
  <si>
    <t>Investīcijas</t>
  </si>
  <si>
    <t>t.sk. speciālajam budžetam</t>
  </si>
  <si>
    <t>t.sk. pašvaldību budžetam</t>
  </si>
  <si>
    <t>3. Valsts budžeta tīrie aizdevumi (3.1.-3.2.)</t>
  </si>
  <si>
    <t>3.1.Valsts budžeta aizdevumi</t>
  </si>
  <si>
    <t>t.sk.speciālajam budžetam</t>
  </si>
  <si>
    <t>3.2.Valsts budžeta aizdevumu atmaksas</t>
  </si>
  <si>
    <t>t.sk. no speciālā budžeta</t>
  </si>
  <si>
    <t>t.sk. no speciālā budžeta*</t>
  </si>
  <si>
    <t xml:space="preserve">Fiskālā bilance </t>
  </si>
  <si>
    <t>Finansēšana</t>
  </si>
  <si>
    <t>ieņēmumi no valsts īpašuma privatizācijas</t>
  </si>
  <si>
    <t xml:space="preserve">ieņēmumi no valsts īpašuma pārdošanas </t>
  </si>
  <si>
    <t xml:space="preserve">citi finansēšanas avoti </t>
  </si>
  <si>
    <t>t.sk. Satiksmes ministrijas aizdevumu atmaksa no pamatbudžeta - 660 tūkst. latu</t>
  </si>
  <si>
    <t>Valsts kases pārvaldnieks _______________________________________ (A.Veiss)</t>
  </si>
  <si>
    <t>Valsts kases pārvaldnieks _______________________________________ A.Veiss</t>
  </si>
  <si>
    <t>2000.gada 15.septembrī</t>
  </si>
  <si>
    <t>5.tabula</t>
  </si>
  <si>
    <t xml:space="preserve">             Valsts kases oficiālais mēneša pārskats</t>
  </si>
  <si>
    <t xml:space="preserve">Valsts speciālā budžeta ieņēmumi un izdevumi pa ministrijām </t>
  </si>
  <si>
    <t>(2000.gada  janvāris - decembris)</t>
  </si>
  <si>
    <t>latos</t>
  </si>
  <si>
    <t xml:space="preserve"> (tūkst.latu)</t>
  </si>
  <si>
    <t>Izpilde % pret gada plānu 
   (4/2)</t>
  </si>
  <si>
    <t>Finansēšanas plāns</t>
  </si>
  <si>
    <t xml:space="preserve">Ieņēmumi - kopā  </t>
  </si>
  <si>
    <t>Izdevumi - kopā</t>
  </si>
  <si>
    <t xml:space="preserve">        Uzturēšanas izdevumi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</si>
  <si>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</si>
  <si>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</si>
  <si>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</si>
  <si>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>Valsts budžeta aizdevumi</t>
  </si>
  <si>
    <t>Valsts budžeta aizdevumu atmaksas</t>
  </si>
  <si>
    <t>Fiskālā bilance</t>
  </si>
  <si>
    <t xml:space="preserve">Aizņēmums no pamatbudžeta sakaņā ar likumu </t>
  </si>
  <si>
    <t>Aizņēmums no pamatbudžeta saskaņā ar FM rīkojumu (neto)</t>
  </si>
  <si>
    <t>Centrālā dzīvojamo māju privatizācijas komisija</t>
  </si>
  <si>
    <t>Ieņēmumi</t>
  </si>
  <si>
    <t xml:space="preserve">       Atskaitījumi no valsts īpašuma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</si>
  <si>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</si>
  <si>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</si>
  <si>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</si>
  <si>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</t>
  </si>
  <si>
    <t xml:space="preserve">    Pārējie maksājumi</t>
  </si>
  <si>
    <t>Noguldījumu garantiju fonda veidošana, pārvaldīšana un izlietošana</t>
  </si>
  <si>
    <t xml:space="preserve">   Atskaitījumi no bankām</t>
  </si>
  <si>
    <t xml:space="preserve">   Atskaitījumi no komercbankām</t>
  </si>
  <si>
    <t xml:space="preserve">   Uzturēšanas izdevumi</t>
  </si>
  <si>
    <t>Apdrošināto aizsardzības fonds</t>
  </si>
  <si>
    <t>Augstas klases sasniegumu sports</t>
  </si>
  <si>
    <t xml:space="preserve">    Valsts pamatbudžeta dotācija</t>
  </si>
  <si>
    <t xml:space="preserve">    Uzturēšanas izdevumi</t>
  </si>
  <si>
    <t xml:space="preserve">               t.sk. aizņēmumu atmaksa pamatbudžetā</t>
  </si>
  <si>
    <t xml:space="preserve">    Izdevumi kapitālieguldījumiem</t>
  </si>
  <si>
    <t xml:space="preserve"> Studējošo un studiju kreditēšana</t>
  </si>
  <si>
    <t>Aizņēmums no pamatbudžeta</t>
  </si>
  <si>
    <t xml:space="preserve"> Zivju fonds</t>
  </si>
  <si>
    <t xml:space="preserve">   Maksa par rūpnieciskās zvejas tiesību nomu un izmantošanu</t>
  </si>
  <si>
    <t xml:space="preserve">   Pārējie ieņēmumi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</si>
  <si>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</si>
  <si>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</si>
  <si>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</si>
  <si>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Ārvalstu finansu palīdzība</t>
  </si>
  <si>
    <t xml:space="preserve">   Ārvalstu finansu palīdzība </t>
  </si>
  <si>
    <t xml:space="preserve">        Izdevumi kapitālieguldļjumiem</t>
  </si>
  <si>
    <t>Aizņēmums no pamatbudžeta saskaņā ar FM rīkojumu</t>
  </si>
  <si>
    <t>Ostu attīstības fonds</t>
  </si>
  <si>
    <t>Atskaitījumi no ostas maksām</t>
  </si>
  <si>
    <t xml:space="preserve">    Ostas un kuģošanas nodeva</t>
  </si>
  <si>
    <t>Lidostas "Rīga" infrastruktūras attīstībai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</si>
  <si>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</si>
  <si>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</si>
  <si>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</si>
  <si>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</si>
  <si>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</si>
  <si>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</si>
  <si>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</si>
  <si>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</t>
  </si>
  <si>
    <t>Izdevumi  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</si>
  <si>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</si>
  <si>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</si>
  <si>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</si>
  <si>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</si>
  <si>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</si>
  <si>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</si>
  <si>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</si>
  <si>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</si>
  <si>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</si>
  <si>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</si>
  <si>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</si>
  <si>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</si>
  <si>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akcīzes nodokļa par alkoholiskajiem dzērieniem</t>
  </si>
  <si>
    <t xml:space="preserve">   Ienākumi no akcīzes nodokļa par tabakas izstrādājumiem</t>
  </si>
  <si>
    <t>Īpašu uzdevumu ministra sadarbībai ar starptautiskajām finansu institūcijām sekretariāts</t>
  </si>
  <si>
    <t xml:space="preserve">   Ieņēmumi no finansu institūcijām sniegtajiem pakalpojumiem</t>
  </si>
  <si>
    <r>
      <t xml:space="preserve">* </t>
    </r>
    <r>
      <rPr>
        <i/>
        <sz val="10"/>
        <rFont val="Arial"/>
        <family val="2"/>
      </rPr>
      <t>konsolidēts par sociālās apdrošināšanas iekšējiem pārskaitījumiem    latu</t>
    </r>
  </si>
  <si>
    <t>* konsolidēts par sociālās apdrošināšanas iekšējiem pārskaitījumiem    26 069  tūkst.latu</t>
  </si>
  <si>
    <t>Valsts kases pārvaldnieks _______________________________________  A.Veiss</t>
  </si>
  <si>
    <t>Valsts kases pārvaldnieks _______________________________________  (A.Veiss)</t>
  </si>
  <si>
    <t>2001.gada 15.janvārī</t>
  </si>
  <si>
    <t>uzturēšanās izd. Bez transf un aizdev.</t>
  </si>
  <si>
    <t>Overdrafts</t>
  </si>
  <si>
    <t>Budžeta dotācija investīcijām</t>
  </si>
  <si>
    <t>PB kredīts</t>
  </si>
  <si>
    <t>6.tabula</t>
  </si>
  <si>
    <t xml:space="preserve">                                  Valsts kases oficiālais mēneša pārskats</t>
  </si>
  <si>
    <t>Valsts speciālā budžeta ieņēmumi un izdevumi</t>
  </si>
  <si>
    <t xml:space="preserve">Valsts speciālā budžeta ieņēmumi un izdevumi </t>
  </si>
  <si>
    <t>(2000.gada janvāris - decembris)</t>
  </si>
  <si>
    <t>(2000.gada janvāris -decembris)</t>
  </si>
  <si>
    <t>lati</t>
  </si>
  <si>
    <t>Izpilde % pret finansēšanas plānu pārskata periodam           (4/3)</t>
  </si>
  <si>
    <t>1.Ieņēmumi - kopā</t>
  </si>
  <si>
    <t>Īpašiem mērķiem iezīmēti ieņēmumi</t>
  </si>
  <si>
    <t>Maksas pakalpojumi un citi pašu ieņēmumi</t>
  </si>
  <si>
    <t>Ārvalstu finansu palīdzība</t>
  </si>
  <si>
    <t>2.1.Uzturēšanas izdevumi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</si>
  <si>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</si>
  <si>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</si>
  <si>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</si>
  <si>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mērķdotācijas pašvaldību budžetiem</t>
  </si>
  <si>
    <t xml:space="preserve">    dotācijas iedzīvotājiem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</si>
  <si>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</si>
  <si>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</si>
  <si>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</si>
  <si>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</si>
  <si>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</si>
  <si>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 xml:space="preserve">    dotācija valsts pamatbudžetam sociālās      apdrošināšanas iemaksu administrēšanai</t>
  </si>
  <si>
    <t>3.Valsts budžeta tīrie aizdevumi (3.1.-3.2.)</t>
  </si>
  <si>
    <t>Fiskālā bilance (1.-2.-3.)</t>
  </si>
  <si>
    <t>Aizņēmums no pamatbudžeta(neto)</t>
  </si>
  <si>
    <t xml:space="preserve">Aizņēmums no pamatbudžeta                            </t>
  </si>
  <si>
    <t>Valsts speciālā budžeta naudas līdzekļu atlikumu izmaiņas palielinājums (-) vai samazinājums (+)</t>
  </si>
  <si>
    <t xml:space="preserve">     Valsts kases oficiālais mēneša pārskats</t>
  </si>
  <si>
    <t>7.tabula</t>
  </si>
  <si>
    <t xml:space="preserve">                                              Valsts kases oficiālais mēneša pārskats</t>
  </si>
  <si>
    <t>Valsts speciālā budžeta (dāvinājumi un ziedojumi) ieņēmumi un izdevumi</t>
  </si>
  <si>
    <t xml:space="preserve">                                              (2000.gada janvāris -decembris)</t>
  </si>
  <si>
    <t>Izpilde % pret finansēšanas plānu  (3/2)</t>
  </si>
  <si>
    <t>Izpilde no gada sākuma *</t>
  </si>
  <si>
    <t xml:space="preserve">Decembra izpilde </t>
  </si>
  <si>
    <t>1.Saņemtie dāvinājumi un ziedojumi - kopā</t>
  </si>
  <si>
    <t xml:space="preserve">   no iekšzemes juridiskajām un fiziskajām personām</t>
  </si>
  <si>
    <t xml:space="preserve">   no ārvalstu juridiskajām un fiziskajām       personām  *</t>
  </si>
  <si>
    <t xml:space="preserve">   no ārvalstu juridiskajām un fiziskajām personām  </t>
  </si>
  <si>
    <t>2.Izdevumi - kopā (2.1.+2.2.) **</t>
  </si>
  <si>
    <t xml:space="preserve">2.Izdevumi - kopā (2.1.+2.2.) </t>
  </si>
  <si>
    <t xml:space="preserve">    valsts sociālās apdrošināšanas obligātās iemaksas</t>
  </si>
  <si>
    <t xml:space="preserve">      preču un pakalpojumu izdevumi</t>
  </si>
  <si>
    <t xml:space="preserve">     t.sk. preču un pakalpojumu izdevumi  </t>
  </si>
  <si>
    <t xml:space="preserve">          pārējie izdevumi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</si>
  <si>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</si>
  <si>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</si>
  <si>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</si>
  <si>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32 mērķdotācijas pašvaldību budžetiem</t>
  </si>
  <si>
    <t xml:space="preserve">   33 dotācijas pašvaldību budžetiem</t>
  </si>
  <si>
    <t xml:space="preserve">   34 dotācijas iestādēm un organizācijām</t>
  </si>
  <si>
    <t xml:space="preserve">     dotācijas iestādēm un organizācijām</t>
  </si>
  <si>
    <t xml:space="preserve">   35 dotācijas iedzīvotājiem</t>
  </si>
  <si>
    <t>2.2.Izdevumi  kapitālieguldījumiem</t>
  </si>
  <si>
    <t xml:space="preserve">Kapitālie izdevumi  </t>
  </si>
  <si>
    <t>Fiskālā bilance (1.-2.)</t>
  </si>
  <si>
    <t>Naudas līdzekļu atlikumu izmaiņas palielinājums (-) vai samazinājums (+)</t>
  </si>
  <si>
    <t xml:space="preserve">                                               Valsts kases oficiālais mēneša pārskats</t>
  </si>
  <si>
    <t>8.tabula</t>
  </si>
  <si>
    <t xml:space="preserve">                         Valsts kases oficiālais mēneša pārskats</t>
  </si>
  <si>
    <t xml:space="preserve">                 Valsts pamatbudžeta izdevumi pēc valdības funkcijām</t>
  </si>
  <si>
    <t xml:space="preserve">                       ( 2000.gada janvāris - novembris)</t>
  </si>
  <si>
    <t xml:space="preserve">                       ( 2000.gada janvāris - decembris)</t>
  </si>
  <si>
    <t>(latu)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</si>
  <si>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</si>
  <si>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</si>
  <si>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</si>
  <si>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</si>
  <si>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</si>
  <si>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</si>
  <si>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</si>
  <si>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</si>
  <si>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</si>
  <si>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</si>
  <si>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</si>
  <si>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</si>
  <si>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</si>
  <si>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</si>
  <si>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</si>
  <si>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>Pārējie izdevumi, kas nav atspoguļoti pamatgrupās *</t>
  </si>
  <si>
    <t>Pārējie izdevumi, kas nav atspoguļoti pamatgrupās  *</t>
  </si>
  <si>
    <t>* ieskaitot aizdevumus un atmaksas</t>
  </si>
  <si>
    <t>Valsts kases pārvaldnieks__________________________________</t>
  </si>
  <si>
    <t>A.Veiss</t>
  </si>
  <si>
    <t>Valsts kases pārvaldnieks _________________________________ A.Veiss</t>
  </si>
  <si>
    <t>Valsts kase /Pārskatu departaments</t>
  </si>
  <si>
    <t xml:space="preserve">                                                                 Valsts kases oficiālais mēneša pārskats</t>
  </si>
  <si>
    <t>9.tabula</t>
  </si>
  <si>
    <t xml:space="preserve">                                                      Valsts kases oficiālais mēneša pārskats</t>
  </si>
  <si>
    <t xml:space="preserve">             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</si>
  <si>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</si>
  <si>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(2000.gada janvāris - decembris</t>
  </si>
  <si>
    <t>Izdevumi no ziedojumiem un dāvinājumiem</t>
  </si>
  <si>
    <t>Izglītība       *</t>
  </si>
  <si>
    <t>Izglītība   *</t>
  </si>
  <si>
    <t xml:space="preserve">Pārējie izdevumi, kas nav atspoguļoti pamatgrupās </t>
  </si>
  <si>
    <t>* -  ieskaitot  tīros  aizdevumus</t>
  </si>
  <si>
    <t>Valsts kases pārvaldnieks_________________________________</t>
  </si>
  <si>
    <t>Valsts kases pārvaldnieks __________________________________________________</t>
  </si>
  <si>
    <t>10. tabula</t>
  </si>
  <si>
    <t>10.tabula</t>
  </si>
  <si>
    <t xml:space="preserve">Ārvalstu finansu palīdzības un valsts budžeta līdzdalības maksājumi </t>
  </si>
  <si>
    <t>(tūkst. latu)</t>
  </si>
  <si>
    <t xml:space="preserve">   1. Ārvalstu finansu palīdzība
un valsts pamatbudžeta 
līdzdalības maksājumi kopā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</si>
  <si>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</si>
  <si>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</si>
  <si>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</si>
  <si>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</si>
  <si>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</si>
  <si>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</si>
  <si>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</si>
  <si>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</si>
  <si>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</si>
  <si>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Valsts kases pārvaldnieks ________________________________________ (A. Veiss)</t>
  </si>
  <si>
    <t>2001. gada 15. janvārī</t>
  </si>
  <si>
    <t>11. tabula</t>
  </si>
  <si>
    <t xml:space="preserve">Pašvaldību konsolidētā budžeta izpilde </t>
  </si>
  <si>
    <t xml:space="preserve">( 2000. gada  janvāris - decembris ) 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</si>
  <si>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</si>
  <si>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</si>
  <si>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</si>
  <si>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</si>
  <si>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</si>
  <si>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</si>
  <si>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</si>
  <si>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</si>
  <si>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</si>
  <si>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</si>
  <si>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</si>
  <si>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</si>
  <si>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</si>
  <si>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</si>
  <si>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</si>
  <si>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</si>
  <si>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</si>
  <si>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</si>
  <si>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</si>
  <si>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</si>
  <si>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</si>
  <si>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</si>
  <si>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</si>
  <si>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</si>
  <si>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</si>
  <si>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</si>
  <si>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</si>
  <si>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</si>
  <si>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</si>
  <si>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</si>
  <si>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(neto) </t>
  </si>
  <si>
    <t xml:space="preserve">     Pašvaldību pamatbudžeta aizdevumi (neto)</t>
  </si>
  <si>
    <t xml:space="preserve">     Pašvaldību pamatbudžeta aizdevumu atmaksas (neto)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</si>
  <si>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</si>
  <si>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</si>
  <si>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</si>
  <si>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</si>
  <si>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</si>
  <si>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</si>
  <si>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</si>
  <si>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</si>
  <si>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</si>
  <si>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</si>
  <si>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__________________________ </t>
  </si>
  <si>
    <t>A. Veiss</t>
  </si>
  <si>
    <t xml:space="preserve">Valsts kase / Pārskatu departaments </t>
  </si>
  <si>
    <t xml:space="preserve">                                       Valsts kases oficiālais mēneša pārskats</t>
  </si>
  <si>
    <t>12. tabula</t>
  </si>
  <si>
    <t>Pašvaldību pamatbudžeta ieņēmumi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</si>
  <si>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</si>
  <si>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</si>
  <si>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</si>
  <si>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</si>
  <si>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</si>
  <si>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</si>
  <si>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nodoklis* </t>
  </si>
  <si>
    <t xml:space="preserve">  Nekustamā īpašuma nodoklis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</si>
  <si>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</si>
  <si>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</si>
  <si>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</si>
  <si>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</si>
  <si>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</si>
  <si>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</si>
  <si>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</si>
  <si>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</si>
  <si>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</si>
  <si>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</si>
  <si>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</si>
  <si>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</si>
  <si>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</si>
  <si>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</si>
  <si>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</si>
  <si>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</si>
  <si>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</si>
  <si>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</si>
  <si>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</si>
  <si>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</si>
  <si>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</si>
  <si>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</si>
  <si>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</si>
  <si>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</si>
  <si>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</si>
  <si>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 1055  tūkst.latu</t>
  </si>
  <si>
    <t>Valsts kases pārvaldnieks</t>
  </si>
  <si>
    <t>13. tabula</t>
  </si>
  <si>
    <t xml:space="preserve">                                           Valsts kases oficiālais mēneša pārskats</t>
  </si>
  <si>
    <t xml:space="preserve">Pašvaldību pamatbudžeta izdevumi </t>
  </si>
  <si>
    <t xml:space="preserve">                               (tūkst.latu)</t>
  </si>
  <si>
    <t>2</t>
  </si>
  <si>
    <t>3</t>
  </si>
  <si>
    <t>4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</si>
  <si>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</si>
  <si>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</si>
  <si>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</si>
  <si>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</si>
  <si>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</si>
  <si>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</si>
  <si>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</si>
  <si>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</si>
  <si>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</si>
  <si>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</si>
  <si>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</si>
  <si>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</si>
  <si>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</si>
  <si>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</si>
  <si>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</si>
  <si>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</si>
  <si>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  - 197  tūkst.latu</t>
  </si>
  <si>
    <t>14. tabula</t>
  </si>
  <si>
    <t xml:space="preserve">                     Valsts kases oficiālais mēneša pārskats</t>
  </si>
  <si>
    <t>Pašvaldību pamatbudžeta izdevumu atšifrējums pēc ekonomiskās klasifikācijas</t>
  </si>
  <si>
    <t xml:space="preserve">                                                             (tūkst.latu)</t>
  </si>
  <si>
    <t>2.Izdevumi  kopā (2.1. +2.2.)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</si>
  <si>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</si>
  <si>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</si>
  <si>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</si>
  <si>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</si>
  <si>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</si>
  <si>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</si>
  <si>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</si>
  <si>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</si>
  <si>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</si>
  <si>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</si>
  <si>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</si>
  <si>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</si>
  <si>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</si>
  <si>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</si>
  <si>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</si>
  <si>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</si>
  <si>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</si>
  <si>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</si>
  <si>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</si>
  <si>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</si>
  <si>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15.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</si>
  <si>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</si>
  <si>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</si>
  <si>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</si>
  <si>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</si>
  <si>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</si>
  <si>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</si>
  <si>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</si>
  <si>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</si>
  <si>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</si>
  <si>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</si>
  <si>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</si>
  <si>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</si>
  <si>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>*   -   ieskaitot  tīros aizdevumus  - 2355  tūkst.latu</t>
  </si>
  <si>
    <t xml:space="preserve">                            Valsts kases oficiālais mēneša pārskats </t>
  </si>
  <si>
    <t>16. tabula</t>
  </si>
  <si>
    <t>Pašvaldību speciālā budžeta izdevumu atšifrējums pēc ekonomiskās klasifikācijas</t>
  </si>
  <si>
    <t xml:space="preserve">                                    (tūkst.latu)</t>
  </si>
  <si>
    <t>0010</t>
  </si>
  <si>
    <t xml:space="preserve">                                  pārējie izdevumi</t>
  </si>
  <si>
    <t xml:space="preserve">      Valsts kases oficiālais mēneša pārskats</t>
  </si>
  <si>
    <t>17.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</si>
  <si>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</si>
  <si>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</si>
  <si>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</si>
  <si>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</si>
  <si>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</si>
  <si>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</si>
  <si>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 xml:space="preserve">Nodokļu un nenodokļu ieņēmumi * 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</si>
  <si>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</si>
  <si>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</si>
  <si>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</si>
  <si>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</si>
  <si>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</si>
  <si>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</si>
  <si>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</si>
  <si>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        (12-13)</t>
  </si>
  <si>
    <t>Līdzekļu atlikums perioda beigās</t>
  </si>
  <si>
    <t>Līdzekļu atlikums gada sākumā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</si>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</sst>
</file>

<file path=xl/styles.xml><?xml version="1.0" encoding="utf-8"?>
<styleSheet xmlns="http://schemas.openxmlformats.org/spreadsheetml/2006/main">
  <numFmts count="27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0"/>
    <numFmt numFmtId="166" formatCode="###,###,###"/>
    <numFmt numFmtId="167" formatCode="#,###%"/>
    <numFmt numFmtId="168" formatCode="0.0"/>
    <numFmt numFmtId="169" formatCode="###,###,##0"/>
    <numFmt numFmtId="170" formatCode="###%"/>
    <numFmt numFmtId="171" formatCode="#,###.0%"/>
    <numFmt numFmtId="172" formatCode="0.0%"/>
    <numFmt numFmtId="173" formatCode="#,##0.0"/>
    <numFmt numFmtId="174" formatCode="00.000"/>
    <numFmt numFmtId="175" formatCode="#,##0.0\ _L_s"/>
    <numFmt numFmtId="176" formatCode="##0,"/>
    <numFmt numFmtId="177" formatCode="###,##0,"/>
    <numFmt numFmtId="178" formatCode="#\ ###\ ##0"/>
    <numFmt numFmtId="179" formatCode="#\ ###\ \ ##0"/>
    <numFmt numFmtId="180" formatCode="###,##0.0,"/>
    <numFmt numFmtId="181" formatCode="###,##0.00,"/>
    <numFmt numFmtId="182" formatCode="###,##0.000,"/>
  </numFmts>
  <fonts count="2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RimTimes"/>
      <family val="0"/>
    </font>
    <font>
      <i/>
      <sz val="10"/>
      <name val="Times New Roman"/>
      <family val="0"/>
    </font>
    <font>
      <b/>
      <sz val="11"/>
      <name val="Arial"/>
      <family val="2"/>
    </font>
    <font>
      <i/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/>
    </xf>
    <xf numFmtId="167" fontId="5" fillId="0" borderId="1" xfId="2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8" fontId="8" fillId="0" borderId="1" xfId="2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2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8" fontId="2" fillId="0" borderId="1" xfId="2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8" fontId="6" fillId="0" borderId="1" xfId="20" applyNumberFormat="1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168" fontId="3" fillId="0" borderId="1" xfId="2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9" fontId="4" fillId="0" borderId="1" xfId="20" applyFont="1" applyBorder="1" applyAlignment="1">
      <alignment/>
    </xf>
    <xf numFmtId="168" fontId="4" fillId="0" borderId="1" xfId="2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168" fontId="4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9" fontId="2" fillId="0" borderId="1" xfId="20" applyFont="1" applyBorder="1" applyAlignment="1">
      <alignment/>
    </xf>
    <xf numFmtId="164" fontId="0" fillId="0" borderId="1" xfId="0" applyNumberFormat="1" applyFont="1" applyBorder="1" applyAlignment="1">
      <alignment/>
    </xf>
    <xf numFmtId="168" fontId="0" fillId="0" borderId="1" xfId="2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9" fontId="0" fillId="0" borderId="1" xfId="20" applyFont="1" applyBorder="1" applyAlignment="1">
      <alignment/>
    </xf>
    <xf numFmtId="3" fontId="8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68" fontId="3" fillId="0" borderId="1" xfId="2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left" wrapText="1"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9" fontId="0" fillId="0" borderId="0" xfId="20" applyFont="1" applyBorder="1" applyAlignment="1">
      <alignment/>
    </xf>
    <xf numFmtId="164" fontId="10" fillId="0" borderId="0" xfId="0" applyNumberFormat="1" applyFont="1" applyBorder="1" applyAlignment="1">
      <alignment/>
    </xf>
    <xf numFmtId="168" fontId="4" fillId="0" borderId="0" xfId="2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2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0" xfId="19" applyFont="1" applyFill="1" applyAlignment="1">
      <alignment/>
    </xf>
    <xf numFmtId="0" fontId="14" fillId="0" borderId="0" xfId="19" applyFont="1" applyAlignment="1">
      <alignment/>
    </xf>
    <xf numFmtId="0" fontId="15" fillId="0" borderId="0" xfId="19" applyFont="1" applyAlignment="1">
      <alignment/>
    </xf>
    <xf numFmtId="0" fontId="0" fillId="0" borderId="0" xfId="19" applyFont="1" applyAlignment="1">
      <alignment/>
    </xf>
    <xf numFmtId="10" fontId="0" fillId="0" borderId="0" xfId="0" applyNumberFormat="1" applyFont="1" applyAlignment="1">
      <alignment/>
    </xf>
    <xf numFmtId="0" fontId="13" fillId="0" borderId="0" xfId="19" applyFont="1" applyAlignment="1">
      <alignment/>
    </xf>
    <xf numFmtId="0" fontId="16" fillId="0" borderId="0" xfId="19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4" fontId="0" fillId="0" borderId="0" xfId="0" applyNumberFormat="1" applyFont="1" applyAlignment="1">
      <alignment/>
    </xf>
    <xf numFmtId="164" fontId="4" fillId="0" borderId="1" xfId="0" applyNumberFormat="1" applyFont="1" applyBorder="1" applyAlignment="1">
      <alignment horizontal="right"/>
    </xf>
    <xf numFmtId="168" fontId="4" fillId="0" borderId="1" xfId="2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8" fontId="0" fillId="0" borderId="1" xfId="20" applyNumberFormat="1" applyFont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Continuous"/>
    </xf>
    <xf numFmtId="168" fontId="9" fillId="0" borderId="0" xfId="0" applyNumberFormat="1" applyFont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168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0" fontId="2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/>
    </xf>
    <xf numFmtId="166" fontId="0" fillId="0" borderId="1" xfId="0" applyNumberFormat="1" applyFont="1" applyBorder="1" applyAlignment="1">
      <alignment horizontal="right" wrapText="1"/>
    </xf>
    <xf numFmtId="166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/>
    </xf>
    <xf numFmtId="170" fontId="0" fillId="0" borderId="1" xfId="2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70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67" fontId="0" fillId="0" borderId="1" xfId="2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171" fontId="0" fillId="0" borderId="1" xfId="2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166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171" fontId="9" fillId="0" borderId="1" xfId="20" applyNumberFormat="1" applyFont="1" applyBorder="1" applyAlignment="1">
      <alignment/>
    </xf>
    <xf numFmtId="0" fontId="21" fillId="0" borderId="0" xfId="0" applyFont="1" applyAlignment="1">
      <alignment/>
    </xf>
    <xf numFmtId="166" fontId="9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2" fontId="0" fillId="0" borderId="1" xfId="2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9" fillId="0" borderId="0" xfId="0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right" wrapText="1"/>
    </xf>
    <xf numFmtId="172" fontId="22" fillId="0" borderId="1" xfId="2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166" fontId="22" fillId="0" borderId="1" xfId="0" applyNumberFormat="1" applyFont="1" applyBorder="1" applyAlignment="1">
      <alignment horizontal="right" wrapText="1"/>
    </xf>
    <xf numFmtId="168" fontId="22" fillId="0" borderId="1" xfId="2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3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right" wrapText="1"/>
    </xf>
    <xf numFmtId="172" fontId="19" fillId="0" borderId="1" xfId="2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168" fontId="19" fillId="0" borderId="1" xfId="2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164" fontId="22" fillId="0" borderId="3" xfId="0" applyNumberFormat="1" applyFont="1" applyBorder="1" applyAlignment="1">
      <alignment/>
    </xf>
    <xf numFmtId="173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left"/>
    </xf>
    <xf numFmtId="3" fontId="22" fillId="0" borderId="1" xfId="0" applyNumberFormat="1" applyFont="1" applyBorder="1" applyAlignment="1">
      <alignment/>
    </xf>
    <xf numFmtId="164" fontId="22" fillId="0" borderId="3" xfId="0" applyNumberFormat="1" applyFont="1" applyBorder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164" fontId="19" fillId="0" borderId="3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center"/>
    </xf>
    <xf numFmtId="10" fontId="19" fillId="0" borderId="1" xfId="0" applyNumberFormat="1" applyFont="1" applyBorder="1" applyAlignment="1">
      <alignment horizontal="center" wrapText="1"/>
    </xf>
    <xf numFmtId="164" fontId="19" fillId="0" borderId="1" xfId="0" applyNumberFormat="1" applyFont="1" applyBorder="1" applyAlignment="1">
      <alignment horizontal="center"/>
    </xf>
    <xf numFmtId="168" fontId="19" fillId="0" borderId="1" xfId="20" applyNumberFormat="1" applyFont="1" applyBorder="1" applyAlignment="1">
      <alignment horizontal="center"/>
    </xf>
    <xf numFmtId="0" fontId="22" fillId="0" borderId="1" xfId="0" applyFont="1" applyBorder="1" applyAlignment="1">
      <alignment wrapText="1"/>
    </xf>
    <xf numFmtId="166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3" fillId="0" borderId="1" xfId="0" applyFont="1" applyBorder="1" applyAlignment="1">
      <alignment horizontal="center" wrapText="1"/>
    </xf>
    <xf numFmtId="3" fontId="23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/>
    </xf>
    <xf numFmtId="10" fontId="23" fillId="0" borderId="1" xfId="0" applyNumberFormat="1" applyFont="1" applyBorder="1" applyAlignment="1">
      <alignment horizontal="center" wrapText="1"/>
    </xf>
    <xf numFmtId="164" fontId="2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66" fontId="9" fillId="0" borderId="1" xfId="0" applyNumberFormat="1" applyFont="1" applyBorder="1" applyAlignment="1">
      <alignment horizontal="right" wrapText="1"/>
    </xf>
    <xf numFmtId="0" fontId="22" fillId="0" borderId="1" xfId="0" applyFont="1" applyBorder="1" applyAlignment="1">
      <alignment horizontal="left" wrapText="1"/>
    </xf>
    <xf numFmtId="3" fontId="22" fillId="0" borderId="1" xfId="0" applyNumberFormat="1" applyFont="1" applyBorder="1" applyAlignment="1">
      <alignment horizontal="right"/>
    </xf>
    <xf numFmtId="164" fontId="22" fillId="0" borderId="3" xfId="0" applyNumberFormat="1" applyFont="1" applyBorder="1" applyAlignment="1">
      <alignment horizontal="right"/>
    </xf>
    <xf numFmtId="173" fontId="22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0" fontId="22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10" fontId="19" fillId="0" borderId="0" xfId="0" applyNumberFormat="1" applyFont="1" applyBorder="1" applyAlignment="1">
      <alignment horizontal="centerContinuous"/>
    </xf>
    <xf numFmtId="164" fontId="23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22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3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167" fontId="4" fillId="0" borderId="1" xfId="2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172" fontId="8" fillId="0" borderId="1" xfId="2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167" fontId="0" fillId="0" borderId="1" xfId="2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168" fontId="8" fillId="0" borderId="1" xfId="2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9" fontId="4" fillId="0" borderId="1" xfId="2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10" fontId="4" fillId="0" borderId="0" xfId="2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4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17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8" fontId="0" fillId="0" borderId="4" xfId="2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>
      <alignment/>
    </xf>
    <xf numFmtId="175" fontId="4" fillId="0" borderId="1" xfId="2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72" fontId="0" fillId="0" borderId="1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right"/>
    </xf>
    <xf numFmtId="167" fontId="4" fillId="0" borderId="2" xfId="2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7" fontId="5" fillId="0" borderId="2" xfId="2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168" fontId="5" fillId="0" borderId="1" xfId="2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167" fontId="8" fillId="0" borderId="2" xfId="2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4" fillId="0" borderId="5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164" fontId="1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left" wrapText="1"/>
    </xf>
    <xf numFmtId="0" fontId="24" fillId="0" borderId="0" xfId="0" applyFont="1" applyAlignment="1">
      <alignment/>
    </xf>
    <xf numFmtId="49" fontId="1" fillId="0" borderId="0" xfId="0" applyNumberFormat="1" applyFont="1" applyAlignment="1">
      <alignment horizontal="centerContinuous" vertical="top" wrapText="1"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64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4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Continuous" vertical="top" wrapText="1"/>
    </xf>
    <xf numFmtId="49" fontId="17" fillId="0" borderId="0" xfId="0" applyNumberFormat="1" applyFont="1" applyAlignment="1">
      <alignment horizontal="centerContinuous" vertical="top" wrapText="1"/>
    </xf>
    <xf numFmtId="0" fontId="17" fillId="0" borderId="0" xfId="0" applyFont="1" applyAlignment="1">
      <alignment/>
    </xf>
    <xf numFmtId="49" fontId="24" fillId="0" borderId="0" xfId="0" applyNumberFormat="1" applyFont="1" applyAlignment="1">
      <alignment vertical="top" wrapText="1"/>
    </xf>
    <xf numFmtId="0" fontId="24" fillId="0" borderId="0" xfId="0" applyFont="1" applyAlignment="1">
      <alignment horizontal="centerContinuous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Continuous"/>
    </xf>
    <xf numFmtId="49" fontId="3" fillId="0" borderId="1" xfId="0" applyNumberFormat="1" applyFont="1" applyFill="1" applyBorder="1" applyAlignment="1">
      <alignment horizontal="centerContinuous" vertical="center"/>
    </xf>
    <xf numFmtId="49" fontId="3" fillId="0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4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24" fillId="0" borderId="0" xfId="0" applyNumberFormat="1" applyFont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22" fillId="0" borderId="0" xfId="0" applyNumberFormat="1" applyFont="1" applyAlignment="1">
      <alignment horizontal="centerContinuous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3" fontId="24" fillId="0" borderId="0" xfId="0" applyNumberFormat="1" applyFont="1" applyAlignment="1">
      <alignment horizontal="left"/>
    </xf>
    <xf numFmtId="3" fontId="2" fillId="0" borderId="3" xfId="0" applyNumberFormat="1" applyFont="1" applyBorder="1" applyAlignment="1">
      <alignment/>
    </xf>
    <xf numFmtId="49" fontId="3" fillId="0" borderId="0" xfId="0" applyNumberFormat="1" applyFont="1" applyAlignment="1">
      <alignment horizontal="left" vertical="top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2" fillId="0" borderId="7" xfId="0" applyNumberFormat="1" applyFont="1" applyBorder="1" applyAlignment="1">
      <alignment vertical="top" wrapText="1"/>
    </xf>
    <xf numFmtId="0" fontId="24" fillId="0" borderId="7" xfId="0" applyFont="1" applyBorder="1" applyAlignment="1">
      <alignment/>
    </xf>
    <xf numFmtId="49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Fill="1" applyAlignment="1">
      <alignment/>
    </xf>
    <xf numFmtId="0" fontId="24" fillId="0" borderId="0" xfId="0" applyFont="1" applyAlignment="1">
      <alignment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0" fontId="1" fillId="0" borderId="0" xfId="0" applyFont="1" applyAlignment="1">
      <alignment horizontal="centerContinuous" wrapText="1"/>
    </xf>
    <xf numFmtId="3" fontId="1" fillId="0" borderId="0" xfId="0" applyNumberFormat="1" applyFont="1" applyAlignment="1">
      <alignment horizontal="centerContinuous" wrapText="1"/>
    </xf>
    <xf numFmtId="3" fontId="1" fillId="0" borderId="0" xfId="0" applyNumberFormat="1" applyFont="1" applyFill="1" applyAlignment="1">
      <alignment horizontal="centerContinuous" wrapText="1"/>
    </xf>
    <xf numFmtId="3" fontId="17" fillId="0" borderId="0" xfId="0" applyNumberFormat="1" applyFont="1" applyFill="1" applyAlignment="1">
      <alignment horizontal="centerContinuous"/>
    </xf>
    <xf numFmtId="3" fontId="17" fillId="0" borderId="0" xfId="0" applyNumberFormat="1" applyFon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2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3" fillId="0" borderId="1" xfId="0" applyNumberFormat="1" applyFont="1" applyFill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3" fontId="3" fillId="0" borderId="1" xfId="0" applyNumberFormat="1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24" fillId="0" borderId="1" xfId="0" applyNumberFormat="1" applyFont="1" applyBorder="1" applyAlignment="1">
      <alignment/>
    </xf>
    <xf numFmtId="3" fontId="24" fillId="0" borderId="1" xfId="0" applyNumberFormat="1" applyFont="1" applyFill="1" applyBorder="1" applyAlignment="1">
      <alignment/>
    </xf>
    <xf numFmtId="176" fontId="24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177" fontId="2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centerContinuous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0" fillId="0" borderId="13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3" fontId="2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wrapText="1"/>
    </xf>
    <xf numFmtId="3" fontId="2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wrapText="1"/>
    </xf>
    <xf numFmtId="3" fontId="2" fillId="0" borderId="19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3" fontId="8" fillId="0" borderId="2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Continuous" vertical="center" wrapText="1"/>
    </xf>
    <xf numFmtId="0" fontId="24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79" fontId="2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8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4" xfId="0" applyNumberFormat="1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-arv.fin.pa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k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PB-i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PB-izd-m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PB-ekon-klasi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rba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SBizdev_iene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SB%20-ekon-klasi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SB-zied-dav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  <sheetName val="Decembris.operat."/>
    </sheetNames>
    <sheetDataSet>
      <sheetData sheetId="10">
        <row r="5">
          <cell r="D5">
            <v>1592853</v>
          </cell>
        </row>
        <row r="6">
          <cell r="D6">
            <v>98192</v>
          </cell>
        </row>
        <row r="7">
          <cell r="D7">
            <v>11622</v>
          </cell>
        </row>
        <row r="8">
          <cell r="D8">
            <v>1483039</v>
          </cell>
        </row>
        <row r="9">
          <cell r="D9">
            <v>1674836</v>
          </cell>
        </row>
        <row r="10">
          <cell r="D10">
            <v>98192</v>
          </cell>
        </row>
        <row r="11">
          <cell r="D11">
            <v>11622</v>
          </cell>
        </row>
        <row r="12">
          <cell r="D12">
            <v>1565022</v>
          </cell>
        </row>
        <row r="13">
          <cell r="D13">
            <v>-81983</v>
          </cell>
        </row>
        <row r="14">
          <cell r="D14">
            <v>2283</v>
          </cell>
        </row>
        <row r="15">
          <cell r="D15">
            <v>37369</v>
          </cell>
        </row>
        <row r="16">
          <cell r="D16">
            <v>21840</v>
          </cell>
        </row>
        <row r="17">
          <cell r="D17">
            <v>15529</v>
          </cell>
        </row>
        <row r="18">
          <cell r="D18">
            <v>24435</v>
          </cell>
        </row>
        <row r="19">
          <cell r="D19">
            <v>11189</v>
          </cell>
        </row>
        <row r="20">
          <cell r="D20">
            <v>13246</v>
          </cell>
        </row>
        <row r="21">
          <cell r="D21">
            <v>-84266</v>
          </cell>
        </row>
        <row r="22">
          <cell r="D22">
            <v>84266</v>
          </cell>
        </row>
        <row r="23">
          <cell r="D23">
            <v>100628</v>
          </cell>
        </row>
        <row r="24">
          <cell r="D24">
            <v>239</v>
          </cell>
        </row>
        <row r="25">
          <cell r="D25">
            <v>239</v>
          </cell>
        </row>
        <row r="26">
          <cell r="D26">
            <v>10651</v>
          </cell>
        </row>
        <row r="27">
          <cell r="D27">
            <v>-10651</v>
          </cell>
        </row>
        <row r="29">
          <cell r="D29">
            <v>90034</v>
          </cell>
        </row>
        <row r="30">
          <cell r="D30">
            <v>17199</v>
          </cell>
        </row>
        <row r="31">
          <cell r="D31">
            <v>-5618</v>
          </cell>
        </row>
        <row r="32">
          <cell r="D32">
            <v>78453</v>
          </cell>
        </row>
        <row r="33">
          <cell r="D33">
            <v>-22294</v>
          </cell>
        </row>
        <row r="34">
          <cell r="D34">
            <v>-7302</v>
          </cell>
        </row>
        <row r="35">
          <cell r="D35">
            <v>-851</v>
          </cell>
        </row>
        <row r="36">
          <cell r="D36">
            <v>-14141</v>
          </cell>
        </row>
        <row r="37">
          <cell r="D37">
            <v>32649</v>
          </cell>
        </row>
        <row r="38">
          <cell r="D38">
            <v>-16362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Sheet1"/>
      <sheetName val="Decembris"/>
    </sheetNames>
    <sheetDataSet>
      <sheetData sheetId="10">
        <row r="8">
          <cell r="D8">
            <v>12407549</v>
          </cell>
          <cell r="K8">
            <v>12408</v>
          </cell>
        </row>
        <row r="9">
          <cell r="D9">
            <v>9624003</v>
          </cell>
          <cell r="K9">
            <v>9624</v>
          </cell>
        </row>
        <row r="10">
          <cell r="D10">
            <v>6694576</v>
          </cell>
          <cell r="K10">
            <v>6693</v>
          </cell>
        </row>
        <row r="11">
          <cell r="D11">
            <v>2929427</v>
          </cell>
          <cell r="K11">
            <v>2931</v>
          </cell>
        </row>
        <row r="12">
          <cell r="D12">
            <v>2783546</v>
          </cell>
          <cell r="K12">
            <v>2784</v>
          </cell>
        </row>
        <row r="13">
          <cell r="D13">
            <v>1705036</v>
          </cell>
          <cell r="K13">
            <v>1705</v>
          </cell>
        </row>
        <row r="14">
          <cell r="D14">
            <v>1078510</v>
          </cell>
          <cell r="K14">
            <v>1079</v>
          </cell>
        </row>
        <row r="15">
          <cell r="D15">
            <v>126804</v>
          </cell>
          <cell r="K15">
            <v>127</v>
          </cell>
        </row>
        <row r="16">
          <cell r="D16">
            <v>126804</v>
          </cell>
          <cell r="K16">
            <v>127</v>
          </cell>
        </row>
        <row r="17">
          <cell r="D17">
            <v>126804</v>
          </cell>
          <cell r="K17">
            <v>127</v>
          </cell>
        </row>
        <row r="18">
          <cell r="D18">
            <v>681469</v>
          </cell>
          <cell r="K18">
            <v>681</v>
          </cell>
        </row>
        <row r="19">
          <cell r="D19">
            <v>671030</v>
          </cell>
          <cell r="K19">
            <v>671</v>
          </cell>
        </row>
        <row r="20">
          <cell r="D20">
            <v>671030</v>
          </cell>
          <cell r="K20">
            <v>671</v>
          </cell>
        </row>
        <row r="21">
          <cell r="D21">
            <v>10439</v>
          </cell>
          <cell r="K21">
            <v>10</v>
          </cell>
        </row>
        <row r="22">
          <cell r="D22">
            <v>10439</v>
          </cell>
          <cell r="K22">
            <v>10</v>
          </cell>
        </row>
        <row r="23">
          <cell r="D23">
            <v>44381</v>
          </cell>
          <cell r="K23">
            <v>44</v>
          </cell>
        </row>
        <row r="24">
          <cell r="D24">
            <v>44381</v>
          </cell>
          <cell r="K24">
            <v>44</v>
          </cell>
        </row>
        <row r="25">
          <cell r="D25">
            <v>44381</v>
          </cell>
          <cell r="K25">
            <v>44</v>
          </cell>
        </row>
        <row r="26">
          <cell r="D26">
            <v>1326971</v>
          </cell>
          <cell r="K26">
            <v>1327</v>
          </cell>
        </row>
        <row r="27">
          <cell r="D27">
            <v>1273460</v>
          </cell>
          <cell r="K27">
            <v>1273</v>
          </cell>
        </row>
        <row r="28">
          <cell r="D28">
            <v>1015703</v>
          </cell>
          <cell r="K28">
            <v>1015</v>
          </cell>
        </row>
        <row r="29">
          <cell r="D29">
            <v>257757</v>
          </cell>
          <cell r="K29">
            <v>258</v>
          </cell>
        </row>
        <row r="30">
          <cell r="D30">
            <v>53511</v>
          </cell>
          <cell r="K30">
            <v>54</v>
          </cell>
        </row>
        <row r="31">
          <cell r="D31">
            <v>53511</v>
          </cell>
          <cell r="K31">
            <v>54</v>
          </cell>
        </row>
        <row r="32">
          <cell r="D32">
            <v>1448531</v>
          </cell>
          <cell r="K32">
            <v>1449</v>
          </cell>
        </row>
        <row r="33">
          <cell r="D33">
            <v>1333632</v>
          </cell>
          <cell r="K33">
            <v>1334</v>
          </cell>
        </row>
        <row r="34">
          <cell r="D34">
            <v>1104307</v>
          </cell>
          <cell r="K34">
            <v>1104</v>
          </cell>
        </row>
        <row r="35">
          <cell r="D35">
            <v>229325</v>
          </cell>
          <cell r="K35">
            <v>230</v>
          </cell>
        </row>
        <row r="36">
          <cell r="D36">
            <v>114899</v>
          </cell>
          <cell r="K36">
            <v>115</v>
          </cell>
        </row>
        <row r="37">
          <cell r="D37">
            <v>25266</v>
          </cell>
          <cell r="K37">
            <v>25</v>
          </cell>
        </row>
        <row r="38">
          <cell r="D38">
            <v>89633</v>
          </cell>
          <cell r="K38">
            <v>90</v>
          </cell>
        </row>
        <row r="39">
          <cell r="D39">
            <v>306426</v>
          </cell>
          <cell r="K39">
            <v>306</v>
          </cell>
        </row>
        <row r="40">
          <cell r="D40">
            <v>262322</v>
          </cell>
          <cell r="K40">
            <v>262</v>
          </cell>
        </row>
        <row r="41">
          <cell r="D41">
            <v>262322</v>
          </cell>
          <cell r="K41">
            <v>262</v>
          </cell>
        </row>
        <row r="42">
          <cell r="K42">
            <v>0</v>
          </cell>
        </row>
        <row r="43">
          <cell r="D43">
            <v>44104</v>
          </cell>
          <cell r="K43">
            <v>44</v>
          </cell>
        </row>
        <row r="44">
          <cell r="D44">
            <v>44104</v>
          </cell>
          <cell r="K44">
            <v>44</v>
          </cell>
        </row>
        <row r="45">
          <cell r="K45">
            <v>0</v>
          </cell>
        </row>
        <row r="46">
          <cell r="D46">
            <v>1707649</v>
          </cell>
          <cell r="K46">
            <v>1707</v>
          </cell>
        </row>
        <row r="47">
          <cell r="D47">
            <v>491494</v>
          </cell>
          <cell r="K47">
            <v>491</v>
          </cell>
        </row>
        <row r="48">
          <cell r="D48">
            <v>487680</v>
          </cell>
          <cell r="K48">
            <v>487</v>
          </cell>
        </row>
        <row r="49">
          <cell r="D49">
            <v>3814</v>
          </cell>
          <cell r="K49">
            <v>4</v>
          </cell>
        </row>
        <row r="50">
          <cell r="D50">
            <v>1216155</v>
          </cell>
          <cell r="K50">
            <v>1216</v>
          </cell>
        </row>
        <row r="51">
          <cell r="D51">
            <v>1216155</v>
          </cell>
          <cell r="K51">
            <v>1216</v>
          </cell>
        </row>
        <row r="52">
          <cell r="D52">
            <v>592460</v>
          </cell>
          <cell r="K52">
            <v>593</v>
          </cell>
        </row>
        <row r="53">
          <cell r="D53">
            <v>456533</v>
          </cell>
          <cell r="K53">
            <v>457</v>
          </cell>
        </row>
        <row r="54">
          <cell r="D54">
            <v>456533</v>
          </cell>
          <cell r="K54">
            <v>457</v>
          </cell>
        </row>
        <row r="55">
          <cell r="K55">
            <v>0</v>
          </cell>
        </row>
        <row r="56">
          <cell r="D56">
            <v>135927</v>
          </cell>
          <cell r="K56">
            <v>136</v>
          </cell>
        </row>
        <row r="57">
          <cell r="D57">
            <v>38731</v>
          </cell>
          <cell r="K57">
            <v>39</v>
          </cell>
        </row>
        <row r="58">
          <cell r="D58">
            <v>97196</v>
          </cell>
          <cell r="K58">
            <v>97</v>
          </cell>
        </row>
        <row r="59">
          <cell r="D59">
            <v>1583760</v>
          </cell>
          <cell r="K59">
            <v>1584</v>
          </cell>
        </row>
        <row r="60">
          <cell r="D60">
            <v>1018883</v>
          </cell>
          <cell r="K60">
            <v>1019</v>
          </cell>
        </row>
        <row r="61">
          <cell r="D61">
            <v>283328</v>
          </cell>
          <cell r="K61">
            <v>283</v>
          </cell>
        </row>
        <row r="62">
          <cell r="D62">
            <v>735555</v>
          </cell>
          <cell r="K62">
            <v>736</v>
          </cell>
        </row>
        <row r="63">
          <cell r="D63">
            <v>564877</v>
          </cell>
          <cell r="K63">
            <v>565</v>
          </cell>
        </row>
        <row r="64">
          <cell r="D64">
            <v>564877</v>
          </cell>
          <cell r="K64">
            <v>565</v>
          </cell>
        </row>
        <row r="65">
          <cell r="D65">
            <v>187039</v>
          </cell>
          <cell r="K65">
            <v>187</v>
          </cell>
        </row>
        <row r="66">
          <cell r="D66">
            <v>0</v>
          </cell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D69">
            <v>187039</v>
          </cell>
          <cell r="K69">
            <v>187</v>
          </cell>
        </row>
        <row r="70">
          <cell r="D70">
            <v>152760</v>
          </cell>
          <cell r="K70">
            <v>153</v>
          </cell>
        </row>
        <row r="71">
          <cell r="D71">
            <v>34279</v>
          </cell>
          <cell r="K71">
            <v>34</v>
          </cell>
        </row>
        <row r="72">
          <cell r="D72">
            <v>408303</v>
          </cell>
          <cell r="K72">
            <v>409</v>
          </cell>
        </row>
        <row r="73">
          <cell r="D73">
            <v>87505</v>
          </cell>
          <cell r="K73">
            <v>88</v>
          </cell>
        </row>
        <row r="74">
          <cell r="D74">
            <v>60995</v>
          </cell>
          <cell r="K74">
            <v>61</v>
          </cell>
        </row>
        <row r="75">
          <cell r="D75">
            <v>26510</v>
          </cell>
          <cell r="K75">
            <v>27</v>
          </cell>
        </row>
        <row r="76">
          <cell r="D76">
            <v>320798</v>
          </cell>
          <cell r="K76">
            <v>321</v>
          </cell>
        </row>
        <row r="77">
          <cell r="D77">
            <v>28273</v>
          </cell>
          <cell r="K77">
            <v>28</v>
          </cell>
        </row>
        <row r="78">
          <cell r="D78">
            <v>292525</v>
          </cell>
          <cell r="K78">
            <v>293</v>
          </cell>
        </row>
        <row r="79">
          <cell r="D79">
            <v>2809516</v>
          </cell>
          <cell r="K79">
            <v>2809</v>
          </cell>
        </row>
        <row r="80">
          <cell r="D80">
            <v>2785237</v>
          </cell>
          <cell r="K80">
            <v>2785</v>
          </cell>
        </row>
        <row r="81">
          <cell r="D81">
            <v>1108771</v>
          </cell>
          <cell r="K81">
            <v>1109</v>
          </cell>
        </row>
        <row r="82">
          <cell r="D82">
            <v>1676466</v>
          </cell>
          <cell r="K82">
            <v>1676</v>
          </cell>
        </row>
        <row r="83">
          <cell r="D83">
            <v>24279</v>
          </cell>
          <cell r="K83">
            <v>24</v>
          </cell>
        </row>
        <row r="84">
          <cell r="D84">
            <v>24279</v>
          </cell>
          <cell r="K84">
            <v>24</v>
          </cell>
        </row>
        <row r="85">
          <cell r="K85">
            <v>0</v>
          </cell>
        </row>
        <row r="86">
          <cell r="D86">
            <v>620022</v>
          </cell>
          <cell r="K86">
            <v>621</v>
          </cell>
        </row>
        <row r="87">
          <cell r="D87">
            <v>508504</v>
          </cell>
          <cell r="K87">
            <v>509</v>
          </cell>
        </row>
        <row r="88">
          <cell r="D88">
            <v>508504</v>
          </cell>
          <cell r="K88">
            <v>509</v>
          </cell>
        </row>
        <row r="89">
          <cell r="D89">
            <v>111518</v>
          </cell>
          <cell r="K89">
            <v>112</v>
          </cell>
        </row>
        <row r="90">
          <cell r="D90">
            <v>111518</v>
          </cell>
          <cell r="K90">
            <v>112</v>
          </cell>
        </row>
        <row r="91">
          <cell r="D91">
            <v>564218</v>
          </cell>
          <cell r="K91">
            <v>564</v>
          </cell>
        </row>
        <row r="92">
          <cell r="D92">
            <v>564218</v>
          </cell>
          <cell r="K92">
            <v>564</v>
          </cell>
        </row>
        <row r="93">
          <cell r="D93">
            <v>564218</v>
          </cell>
          <cell r="K93">
            <v>564</v>
          </cell>
        </row>
        <row r="94">
          <cell r="D94">
            <v>1890343</v>
          </cell>
          <cell r="K94">
            <v>1890</v>
          </cell>
        </row>
        <row r="95">
          <cell r="D95">
            <v>1133877</v>
          </cell>
          <cell r="K95">
            <v>1134</v>
          </cell>
        </row>
        <row r="96">
          <cell r="D96">
            <v>0</v>
          </cell>
          <cell r="K96">
            <v>0</v>
          </cell>
        </row>
        <row r="97">
          <cell r="D97">
            <v>1133877</v>
          </cell>
          <cell r="K97">
            <v>1134</v>
          </cell>
        </row>
        <row r="98">
          <cell r="D98">
            <v>756466</v>
          </cell>
          <cell r="K98">
            <v>756</v>
          </cell>
        </row>
        <row r="99">
          <cell r="D99">
            <v>756466</v>
          </cell>
          <cell r="K99">
            <v>756</v>
          </cell>
        </row>
        <row r="100">
          <cell r="D100">
            <v>1890343</v>
          </cell>
          <cell r="K100">
            <v>1890</v>
          </cell>
        </row>
        <row r="101">
          <cell r="D101">
            <v>1133877</v>
          </cell>
          <cell r="K101">
            <v>1134</v>
          </cell>
        </row>
        <row r="102">
          <cell r="K102">
            <v>0</v>
          </cell>
        </row>
        <row r="103">
          <cell r="D103">
            <v>1133877</v>
          </cell>
          <cell r="K103">
            <v>1134</v>
          </cell>
        </row>
        <row r="104">
          <cell r="D104">
            <v>756466</v>
          </cell>
          <cell r="K104">
            <v>756</v>
          </cell>
        </row>
        <row r="105">
          <cell r="D105">
            <v>756466</v>
          </cell>
          <cell r="K105">
            <v>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  <sheetName val="Decembris-o"/>
    </sheetNames>
    <sheetDataSet>
      <sheetData sheetId="10">
        <row r="9">
          <cell r="H9">
            <v>1179394</v>
          </cell>
        </row>
        <row r="10">
          <cell r="H10">
            <v>618745</v>
          </cell>
        </row>
        <row r="11">
          <cell r="H11">
            <v>499188</v>
          </cell>
        </row>
        <row r="12">
          <cell r="H12">
            <v>67091</v>
          </cell>
        </row>
        <row r="13">
          <cell r="H13">
            <v>67091</v>
          </cell>
        </row>
        <row r="14">
          <cell r="H14">
            <v>429888</v>
          </cell>
        </row>
        <row r="15">
          <cell r="H15">
            <v>309325</v>
          </cell>
        </row>
        <row r="16">
          <cell r="H16">
            <v>107468</v>
          </cell>
        </row>
        <row r="17">
          <cell r="H17">
            <v>13095</v>
          </cell>
        </row>
        <row r="18">
          <cell r="H18">
            <v>2209</v>
          </cell>
        </row>
        <row r="19">
          <cell r="H19">
            <v>58938</v>
          </cell>
        </row>
        <row r="20">
          <cell r="H20">
            <v>50995</v>
          </cell>
        </row>
        <row r="21">
          <cell r="H21">
            <v>9624</v>
          </cell>
        </row>
        <row r="22">
          <cell r="H22">
            <v>1101</v>
          </cell>
        </row>
        <row r="23">
          <cell r="H23">
            <v>617644</v>
          </cell>
        </row>
        <row r="24">
          <cell r="H24">
            <v>619760</v>
          </cell>
        </row>
        <row r="25">
          <cell r="H25">
            <v>619760</v>
          </cell>
        </row>
        <row r="26">
          <cell r="H26">
            <v>422768</v>
          </cell>
        </row>
        <row r="27">
          <cell r="H27">
            <v>42019</v>
          </cell>
        </row>
        <row r="28">
          <cell r="H28">
            <v>66344</v>
          </cell>
        </row>
        <row r="29">
          <cell r="H29">
            <v>1134</v>
          </cell>
        </row>
        <row r="30">
          <cell r="H30">
            <v>87495</v>
          </cell>
        </row>
        <row r="31">
          <cell r="H31">
            <v>58010</v>
          </cell>
        </row>
        <row r="32">
          <cell r="H32">
            <v>561750</v>
          </cell>
        </row>
        <row r="33">
          <cell r="H33">
            <v>1263444</v>
          </cell>
        </row>
        <row r="34">
          <cell r="H34">
            <v>1190275</v>
          </cell>
        </row>
        <row r="35">
          <cell r="H35">
            <v>27035</v>
          </cell>
        </row>
        <row r="36">
          <cell r="H36">
            <v>46134</v>
          </cell>
        </row>
        <row r="37">
          <cell r="H37">
            <v>-84050</v>
          </cell>
        </row>
        <row r="38">
          <cell r="H38">
            <v>14082</v>
          </cell>
        </row>
        <row r="39">
          <cell r="H39">
            <v>1277526</v>
          </cell>
        </row>
        <row r="40">
          <cell r="H40">
            <v>-98132</v>
          </cell>
        </row>
        <row r="41">
          <cell r="H41">
            <v>666403</v>
          </cell>
        </row>
        <row r="42">
          <cell r="H42">
            <v>58010</v>
          </cell>
        </row>
        <row r="43">
          <cell r="H43">
            <v>608393</v>
          </cell>
        </row>
        <row r="44">
          <cell r="H44">
            <v>615697</v>
          </cell>
        </row>
        <row r="45">
          <cell r="H45">
            <v>56568</v>
          </cell>
        </row>
        <row r="46">
          <cell r="H46">
            <v>559129</v>
          </cell>
        </row>
        <row r="47">
          <cell r="H47">
            <v>18048</v>
          </cell>
        </row>
        <row r="48">
          <cell r="H48">
            <v>18048</v>
          </cell>
        </row>
        <row r="49">
          <cell r="H49">
            <v>32658</v>
          </cell>
        </row>
        <row r="50">
          <cell r="H50">
            <v>1442</v>
          </cell>
        </row>
        <row r="51">
          <cell r="H51">
            <v>31216</v>
          </cell>
        </row>
        <row r="52">
          <cell r="H52">
            <v>-47658</v>
          </cell>
        </row>
        <row r="53">
          <cell r="H53">
            <v>9398</v>
          </cell>
        </row>
        <row r="54">
          <cell r="H54">
            <v>56150</v>
          </cell>
        </row>
        <row r="55">
          <cell r="H55">
            <v>46752</v>
          </cell>
        </row>
        <row r="56">
          <cell r="H56">
            <v>9398</v>
          </cell>
        </row>
        <row r="57">
          <cell r="H57">
            <v>-103808</v>
          </cell>
        </row>
        <row r="58">
          <cell r="H58">
            <v>656152</v>
          </cell>
        </row>
        <row r="59">
          <cell r="H59">
            <v>1101</v>
          </cell>
        </row>
        <row r="60">
          <cell r="H60">
            <v>655051</v>
          </cell>
        </row>
        <row r="61">
          <cell r="H61">
            <v>632247</v>
          </cell>
        </row>
        <row r="62">
          <cell r="H62">
            <v>1101</v>
          </cell>
        </row>
        <row r="63">
          <cell r="H63">
            <v>631146</v>
          </cell>
        </row>
        <row r="64">
          <cell r="H64">
            <v>8987</v>
          </cell>
        </row>
        <row r="65">
          <cell r="H65">
            <v>8987</v>
          </cell>
        </row>
        <row r="66">
          <cell r="H66">
            <v>14918</v>
          </cell>
        </row>
        <row r="67">
          <cell r="H67">
            <v>14918</v>
          </cell>
        </row>
        <row r="68">
          <cell r="H68">
            <v>-36392</v>
          </cell>
        </row>
        <row r="69">
          <cell r="H69">
            <v>4684</v>
          </cell>
        </row>
        <row r="70">
          <cell r="H70">
            <v>4684</v>
          </cell>
        </row>
        <row r="71">
          <cell r="H71">
            <v>4684</v>
          </cell>
        </row>
        <row r="72">
          <cell r="H72">
            <v>-41076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aris"/>
      <sheetName val="feb.labotais"/>
      <sheetName val="MARTS"/>
      <sheetName val="Aprīlis 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iensad"/>
      <sheetName val="aiznatmaksa1"/>
      <sheetName val="ministram"/>
      <sheetName val="paraugs"/>
      <sheetName val="Sheet1"/>
      <sheetName val="nav"/>
      <sheetName val="Sheet3"/>
    </sheetNames>
    <sheetDataSet>
      <sheetData sheetId="12">
        <row r="9">
          <cell r="J9">
            <v>618745</v>
          </cell>
        </row>
        <row r="12">
          <cell r="D12">
            <v>67091183.24</v>
          </cell>
          <cell r="J12">
            <v>67091</v>
          </cell>
        </row>
        <row r="13">
          <cell r="J13">
            <v>429888</v>
          </cell>
        </row>
        <row r="14">
          <cell r="D14">
            <v>309324600.43</v>
          </cell>
          <cell r="J14">
            <v>309325</v>
          </cell>
        </row>
        <row r="15">
          <cell r="D15">
            <v>107468679.12</v>
          </cell>
          <cell r="J15">
            <v>107468</v>
          </cell>
        </row>
        <row r="16">
          <cell r="D16">
            <v>13095495.75</v>
          </cell>
          <cell r="J16">
            <v>13095</v>
          </cell>
        </row>
        <row r="17">
          <cell r="D17">
            <v>2208505.98</v>
          </cell>
          <cell r="J17">
            <v>2209</v>
          </cell>
        </row>
        <row r="18">
          <cell r="J18">
            <v>58938</v>
          </cell>
        </row>
        <row r="19">
          <cell r="D19">
            <v>1690524.32</v>
          </cell>
          <cell r="J19">
            <v>1691</v>
          </cell>
        </row>
        <row r="20">
          <cell r="D20">
            <v>11688105.37</v>
          </cell>
          <cell r="J20">
            <v>11688</v>
          </cell>
        </row>
        <row r="21">
          <cell r="D21">
            <v>15386988.5</v>
          </cell>
          <cell r="J21">
            <v>15387</v>
          </cell>
        </row>
        <row r="22">
          <cell r="D22">
            <v>762540.23</v>
          </cell>
          <cell r="J22">
            <v>763</v>
          </cell>
        </row>
        <row r="23">
          <cell r="D23">
            <v>303688.36</v>
          </cell>
          <cell r="J23">
            <v>304</v>
          </cell>
        </row>
        <row r="24">
          <cell r="D24">
            <v>6240610.75</v>
          </cell>
          <cell r="J24">
            <v>6240</v>
          </cell>
        </row>
        <row r="26">
          <cell r="D26">
            <v>1827460.35</v>
          </cell>
          <cell r="J26">
            <v>1827</v>
          </cell>
        </row>
        <row r="27">
          <cell r="D27">
            <v>3787363.19</v>
          </cell>
          <cell r="J27">
            <v>3787</v>
          </cell>
        </row>
        <row r="28">
          <cell r="D28">
            <v>236830</v>
          </cell>
          <cell r="J28">
            <v>237</v>
          </cell>
        </row>
        <row r="29">
          <cell r="D29">
            <v>388957.2100000004</v>
          </cell>
          <cell r="J29">
            <v>389</v>
          </cell>
        </row>
        <row r="30">
          <cell r="D30">
            <v>8444615.43</v>
          </cell>
          <cell r="J30">
            <v>8445</v>
          </cell>
        </row>
        <row r="31">
          <cell r="D31">
            <v>14420861.730000002</v>
          </cell>
          <cell r="J31">
            <v>14420</v>
          </cell>
        </row>
        <row r="33">
          <cell r="D33">
            <v>1101100</v>
          </cell>
          <cell r="J33">
            <v>1101</v>
          </cell>
        </row>
        <row r="34">
          <cell r="D34">
            <v>7058405</v>
          </cell>
          <cell r="J34">
            <v>7058</v>
          </cell>
        </row>
        <row r="35">
          <cell r="D35">
            <v>231288</v>
          </cell>
          <cell r="J35">
            <v>231</v>
          </cell>
        </row>
        <row r="36">
          <cell r="D36">
            <v>0</v>
          </cell>
          <cell r="J36">
            <v>0</v>
          </cell>
        </row>
        <row r="37">
          <cell r="J37">
            <v>6030</v>
          </cell>
        </row>
        <row r="38">
          <cell r="J38">
            <v>50995</v>
          </cell>
        </row>
        <row r="39">
          <cell r="D39">
            <v>50995466.43</v>
          </cell>
          <cell r="J39">
            <v>50995</v>
          </cell>
        </row>
        <row r="40">
          <cell r="D40">
            <v>9624003</v>
          </cell>
          <cell r="J40">
            <v>9624</v>
          </cell>
        </row>
        <row r="41">
          <cell r="D41">
            <v>1212273.6</v>
          </cell>
          <cell r="J41">
            <v>1212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Augusts "/>
      <sheetName val="Jūlijs"/>
      <sheetName val="Septembris"/>
      <sheetName val="oktobris"/>
      <sheetName val="oktobri2"/>
      <sheetName val="okt2"/>
      <sheetName val="oktnoap"/>
      <sheetName val="Novembris"/>
      <sheetName val="dati"/>
      <sheetName val="decembris"/>
      <sheetName val="darbam"/>
      <sheetName val="Sheet1"/>
    </sheetNames>
    <sheetDataSet>
      <sheetData sheetId="13">
        <row r="89">
          <cell r="D89">
            <v>4000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"/>
      <sheetName val="Novembris"/>
      <sheetName val="decembris"/>
      <sheetName val="ministram"/>
      <sheetName val="paraugs"/>
      <sheetName val="sadaletab"/>
      <sheetName val="sadale"/>
      <sheetName val="aiznatm"/>
      <sheetName val="Sheet1"/>
      <sheetName val="dot spec"/>
    </sheetNames>
    <sheetDataSet>
      <sheetData sheetId="11">
        <row r="13">
          <cell r="D13">
            <v>622900257</v>
          </cell>
          <cell r="K13">
            <v>622900</v>
          </cell>
        </row>
        <row r="14">
          <cell r="D14">
            <v>331807</v>
          </cell>
          <cell r="K14">
            <v>332</v>
          </cell>
        </row>
        <row r="15">
          <cell r="D15">
            <v>50995466</v>
          </cell>
          <cell r="K15">
            <v>50995</v>
          </cell>
        </row>
        <row r="16">
          <cell r="D16">
            <v>9624003</v>
          </cell>
          <cell r="K16">
            <v>9624</v>
          </cell>
        </row>
        <row r="17">
          <cell r="D17">
            <v>666403238</v>
          </cell>
          <cell r="K17">
            <v>666403</v>
          </cell>
        </row>
        <row r="18">
          <cell r="K18">
            <v>615697</v>
          </cell>
        </row>
        <row r="19">
          <cell r="D19">
            <v>307533934</v>
          </cell>
          <cell r="K19">
            <v>307534</v>
          </cell>
        </row>
        <row r="20">
          <cell r="D20">
            <v>143571831</v>
          </cell>
          <cell r="K20">
            <v>143572</v>
          </cell>
        </row>
        <row r="21">
          <cell r="D21">
            <v>37623589</v>
          </cell>
          <cell r="K21">
            <v>37624</v>
          </cell>
        </row>
        <row r="22">
          <cell r="D22">
            <v>125566507</v>
          </cell>
          <cell r="K22">
            <v>125566</v>
          </cell>
        </row>
        <row r="23">
          <cell r="D23">
            <v>772007</v>
          </cell>
          <cell r="K23">
            <v>772</v>
          </cell>
        </row>
        <row r="24">
          <cell r="D24">
            <v>37755794</v>
          </cell>
          <cell r="K24">
            <v>37756</v>
          </cell>
        </row>
        <row r="25">
          <cell r="D25">
            <v>18847225</v>
          </cell>
          <cell r="K25">
            <v>18847</v>
          </cell>
        </row>
        <row r="26">
          <cell r="D26">
            <v>18540794</v>
          </cell>
          <cell r="K26">
            <v>18541</v>
          </cell>
        </row>
        <row r="27">
          <cell r="D27">
            <v>367775</v>
          </cell>
          <cell r="K27">
            <v>368</v>
          </cell>
        </row>
        <row r="28">
          <cell r="D28">
            <v>270407043</v>
          </cell>
          <cell r="K28">
            <v>270407</v>
          </cell>
        </row>
        <row r="29">
          <cell r="D29">
            <v>21473866</v>
          </cell>
          <cell r="K29">
            <v>21474</v>
          </cell>
        </row>
        <row r="30">
          <cell r="D30">
            <v>83556867</v>
          </cell>
          <cell r="K30">
            <v>83557</v>
          </cell>
        </row>
        <row r="31">
          <cell r="D31">
            <v>6479200</v>
          </cell>
          <cell r="K31">
            <v>6479</v>
          </cell>
        </row>
        <row r="32">
          <cell r="D32">
            <v>87612654</v>
          </cell>
          <cell r="K32">
            <v>87613</v>
          </cell>
        </row>
        <row r="33">
          <cell r="D33">
            <v>56567727</v>
          </cell>
          <cell r="K33">
            <v>56568</v>
          </cell>
        </row>
        <row r="34">
          <cell r="D34">
            <v>31044927</v>
          </cell>
          <cell r="K34">
            <v>31045</v>
          </cell>
        </row>
        <row r="35">
          <cell r="D35">
            <v>67195632</v>
          </cell>
          <cell r="K35">
            <v>67195</v>
          </cell>
        </row>
        <row r="36">
          <cell r="D36">
            <v>1227809</v>
          </cell>
          <cell r="K36">
            <v>1228</v>
          </cell>
        </row>
        <row r="37">
          <cell r="D37">
            <v>49679350</v>
          </cell>
          <cell r="K37">
            <v>49679</v>
          </cell>
        </row>
        <row r="38">
          <cell r="D38">
            <v>6293068</v>
          </cell>
          <cell r="K38">
            <v>6293</v>
          </cell>
        </row>
        <row r="39">
          <cell r="D39">
            <v>9995405</v>
          </cell>
          <cell r="K39">
            <v>9995</v>
          </cell>
        </row>
        <row r="40">
          <cell r="D40">
            <v>4088824</v>
          </cell>
          <cell r="K40">
            <v>4089</v>
          </cell>
        </row>
        <row r="41">
          <cell r="D41">
            <v>50706467</v>
          </cell>
          <cell r="K41">
            <v>50706</v>
          </cell>
        </row>
        <row r="42">
          <cell r="D42">
            <v>18047980</v>
          </cell>
          <cell r="K42">
            <v>18048</v>
          </cell>
        </row>
        <row r="43">
          <cell r="D43">
            <v>32658487</v>
          </cell>
          <cell r="K43">
            <v>32658</v>
          </cell>
        </row>
        <row r="44">
          <cell r="D44">
            <v>1442000</v>
          </cell>
          <cell r="K44">
            <v>1442</v>
          </cell>
        </row>
        <row r="45">
          <cell r="D45">
            <v>8106855</v>
          </cell>
          <cell r="K45">
            <v>8107</v>
          </cell>
        </row>
        <row r="46">
          <cell r="D46">
            <v>56149880</v>
          </cell>
          <cell r="K46">
            <v>56150</v>
          </cell>
        </row>
        <row r="47">
          <cell r="D47">
            <v>81918867</v>
          </cell>
          <cell r="K47">
            <v>81919</v>
          </cell>
        </row>
        <row r="48">
          <cell r="D48">
            <v>54223241</v>
          </cell>
          <cell r="K48">
            <v>54223</v>
          </cell>
        </row>
        <row r="49">
          <cell r="D49">
            <v>25768987</v>
          </cell>
          <cell r="K49">
            <v>25769</v>
          </cell>
        </row>
        <row r="50">
          <cell r="D50">
            <v>6884815</v>
          </cell>
          <cell r="K50">
            <v>7471</v>
          </cell>
        </row>
        <row r="51">
          <cell r="D51">
            <v>-103807249</v>
          </cell>
          <cell r="K51">
            <v>-103808</v>
          </cell>
        </row>
        <row r="52">
          <cell r="D52">
            <v>103807249</v>
          </cell>
          <cell r="K52">
            <v>103808</v>
          </cell>
        </row>
        <row r="53">
          <cell r="D53">
            <v>2045095</v>
          </cell>
          <cell r="K53">
            <v>2045</v>
          </cell>
        </row>
        <row r="54">
          <cell r="D54">
            <v>496093</v>
          </cell>
          <cell r="K54">
            <v>496</v>
          </cell>
        </row>
        <row r="55">
          <cell r="D55">
            <v>101266061</v>
          </cell>
          <cell r="K55">
            <v>101267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.operat."/>
      <sheetName val="Decembris"/>
    </sheetNames>
    <sheetDataSet>
      <sheetData sheetId="12">
        <row r="6">
          <cell r="F6">
            <v>443709</v>
          </cell>
          <cell r="H6">
            <v>2225962</v>
          </cell>
          <cell r="L6">
            <v>2146729</v>
          </cell>
          <cell r="O6">
            <v>1550000</v>
          </cell>
          <cell r="P6">
            <v>889484</v>
          </cell>
          <cell r="Y6">
            <v>1151229</v>
          </cell>
        </row>
        <row r="7">
          <cell r="C7">
            <v>503755203</v>
          </cell>
          <cell r="D7">
            <v>133568460</v>
          </cell>
          <cell r="E7">
            <v>9516767</v>
          </cell>
          <cell r="F7">
            <v>571046</v>
          </cell>
          <cell r="G7">
            <v>846168</v>
          </cell>
          <cell r="H7">
            <v>2223922</v>
          </cell>
          <cell r="J7">
            <v>57984498</v>
          </cell>
          <cell r="L7">
            <v>2058870</v>
          </cell>
          <cell r="M7">
            <v>544249</v>
          </cell>
          <cell r="O7">
            <v>2249512</v>
          </cell>
          <cell r="P7">
            <v>626140</v>
          </cell>
          <cell r="Q7">
            <v>183300</v>
          </cell>
          <cell r="R7">
            <v>2368450</v>
          </cell>
          <cell r="X7">
            <v>658208</v>
          </cell>
          <cell r="Y7">
            <v>40325</v>
          </cell>
        </row>
        <row r="8">
          <cell r="D8">
            <v>127955616</v>
          </cell>
          <cell r="F8">
            <v>132544</v>
          </cell>
          <cell r="G8">
            <v>736994</v>
          </cell>
          <cell r="J8">
            <v>44496823</v>
          </cell>
          <cell r="L8">
            <v>2014489</v>
          </cell>
          <cell r="M8">
            <v>456000</v>
          </cell>
          <cell r="O8">
            <v>1617000</v>
          </cell>
          <cell r="P8">
            <v>621940</v>
          </cell>
          <cell r="Q8">
            <v>173646</v>
          </cell>
          <cell r="R8">
            <v>2368450</v>
          </cell>
          <cell r="X8">
            <v>658208</v>
          </cell>
          <cell r="Y8">
            <v>40325</v>
          </cell>
        </row>
        <row r="10">
          <cell r="AA10">
            <v>1226489</v>
          </cell>
        </row>
        <row r="11">
          <cell r="AA11">
            <v>338336</v>
          </cell>
        </row>
        <row r="12">
          <cell r="AA12">
            <v>20799971</v>
          </cell>
        </row>
        <row r="15">
          <cell r="O15">
            <v>300000</v>
          </cell>
          <cell r="AA15">
            <v>2986578</v>
          </cell>
        </row>
        <row r="17">
          <cell r="AA17">
            <v>3671260</v>
          </cell>
        </row>
        <row r="18">
          <cell r="AA18">
            <v>1877849</v>
          </cell>
        </row>
        <row r="20">
          <cell r="AA20">
            <v>2692300</v>
          </cell>
        </row>
        <row r="21">
          <cell r="AA21">
            <v>18044365</v>
          </cell>
        </row>
        <row r="23">
          <cell r="AA23">
            <v>150889401</v>
          </cell>
        </row>
        <row r="24">
          <cell r="C24">
            <v>1201200</v>
          </cell>
        </row>
        <row r="29">
          <cell r="AA29">
            <v>55827</v>
          </cell>
        </row>
        <row r="30">
          <cell r="D30">
            <v>5612844</v>
          </cell>
          <cell r="F30">
            <v>438502</v>
          </cell>
          <cell r="G30">
            <v>109174</v>
          </cell>
          <cell r="H30">
            <v>2033922</v>
          </cell>
          <cell r="J30">
            <v>13487675</v>
          </cell>
          <cell r="L30">
            <v>44381</v>
          </cell>
          <cell r="M30">
            <v>88249</v>
          </cell>
          <cell r="O30">
            <v>632512</v>
          </cell>
          <cell r="P30">
            <v>4200</v>
          </cell>
          <cell r="Q30">
            <v>9654</v>
          </cell>
        </row>
        <row r="31">
          <cell r="AA31">
            <v>10608341</v>
          </cell>
        </row>
        <row r="32">
          <cell r="AA32">
            <v>18447357</v>
          </cell>
        </row>
        <row r="34">
          <cell r="P34">
            <v>5426134</v>
          </cell>
          <cell r="AA34">
            <v>5426134</v>
          </cell>
        </row>
        <row r="35">
          <cell r="P35">
            <v>-61040</v>
          </cell>
          <cell r="AA35">
            <v>-61040</v>
          </cell>
        </row>
        <row r="43">
          <cell r="P43">
            <v>5426134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.operat."/>
      <sheetName val="Decembris"/>
    </sheetNames>
    <sheetDataSet>
      <sheetData sheetId="10">
        <row r="24">
          <cell r="D24">
            <v>2050595</v>
          </cell>
          <cell r="J24">
            <v>2051</v>
          </cell>
        </row>
        <row r="26">
          <cell r="D26">
            <v>1920112</v>
          </cell>
          <cell r="J26">
            <v>1920</v>
          </cell>
        </row>
        <row r="27">
          <cell r="D27">
            <v>28917</v>
          </cell>
          <cell r="J27">
            <v>29</v>
          </cell>
        </row>
        <row r="31">
          <cell r="D31">
            <v>2350375</v>
          </cell>
          <cell r="J31">
            <v>2351</v>
          </cell>
        </row>
        <row r="32">
          <cell r="D32">
            <v>574300</v>
          </cell>
          <cell r="J32">
            <v>574</v>
          </cell>
        </row>
        <row r="34">
          <cell r="D34">
            <v>583841</v>
          </cell>
          <cell r="J34">
            <v>584</v>
          </cell>
        </row>
        <row r="37">
          <cell r="D37">
            <v>1151229</v>
          </cell>
          <cell r="J37">
            <v>1151</v>
          </cell>
        </row>
        <row r="39">
          <cell r="D39">
            <v>37542</v>
          </cell>
          <cell r="J39">
            <v>38</v>
          </cell>
        </row>
        <row r="41">
          <cell r="D41">
            <v>0</v>
          </cell>
        </row>
        <row r="46">
          <cell r="D46">
            <v>1452842</v>
          </cell>
          <cell r="J46">
            <v>1453</v>
          </cell>
        </row>
        <row r="48">
          <cell r="D48">
            <v>1544210</v>
          </cell>
          <cell r="J48">
            <v>1544</v>
          </cell>
        </row>
        <row r="49">
          <cell r="J49">
            <v>300</v>
          </cell>
        </row>
        <row r="50">
          <cell r="D50">
            <v>420000</v>
          </cell>
          <cell r="J50">
            <v>420</v>
          </cell>
        </row>
        <row r="53">
          <cell r="D53">
            <v>1177652</v>
          </cell>
          <cell r="J53">
            <v>1178</v>
          </cell>
        </row>
        <row r="55">
          <cell r="D55">
            <v>607318</v>
          </cell>
          <cell r="J55">
            <v>607</v>
          </cell>
        </row>
        <row r="56">
          <cell r="J56">
            <v>2</v>
          </cell>
        </row>
        <row r="57">
          <cell r="D57">
            <v>4200</v>
          </cell>
          <cell r="J57">
            <v>4</v>
          </cell>
        </row>
        <row r="58">
          <cell r="D58">
            <v>4736481</v>
          </cell>
          <cell r="J58">
            <v>4736</v>
          </cell>
        </row>
        <row r="59">
          <cell r="D59">
            <v>51730</v>
          </cell>
          <cell r="J59">
            <v>52</v>
          </cell>
        </row>
        <row r="60">
          <cell r="D60">
            <v>-4118617</v>
          </cell>
          <cell r="J60">
            <v>-4119</v>
          </cell>
        </row>
        <row r="61">
          <cell r="D61">
            <v>4736956</v>
          </cell>
          <cell r="J61">
            <v>4737</v>
          </cell>
        </row>
        <row r="65">
          <cell r="D65">
            <v>365247</v>
          </cell>
          <cell r="J65">
            <v>365</v>
          </cell>
        </row>
        <row r="66">
          <cell r="D66">
            <v>203782</v>
          </cell>
          <cell r="J66">
            <v>204</v>
          </cell>
        </row>
        <row r="68">
          <cell r="D68">
            <v>395376</v>
          </cell>
          <cell r="J68">
            <v>395</v>
          </cell>
        </row>
        <row r="69">
          <cell r="D69">
            <v>83468</v>
          </cell>
          <cell r="J69">
            <v>83</v>
          </cell>
        </row>
        <row r="73">
          <cell r="D73">
            <v>7777697</v>
          </cell>
          <cell r="J73">
            <v>7778</v>
          </cell>
        </row>
        <row r="74">
          <cell r="D74">
            <v>39932157</v>
          </cell>
          <cell r="J74">
            <v>39932</v>
          </cell>
        </row>
        <row r="75">
          <cell r="D75">
            <v>158383</v>
          </cell>
          <cell r="J75">
            <v>158</v>
          </cell>
        </row>
        <row r="76">
          <cell r="D76">
            <v>22423</v>
          </cell>
          <cell r="J76">
            <v>22</v>
          </cell>
        </row>
        <row r="77">
          <cell r="D77">
            <v>1133877</v>
          </cell>
          <cell r="J77">
            <v>1134</v>
          </cell>
        </row>
        <row r="79">
          <cell r="D79">
            <v>40603461</v>
          </cell>
          <cell r="J79">
            <v>40603</v>
          </cell>
        </row>
        <row r="80">
          <cell r="J80">
            <v>1814</v>
          </cell>
        </row>
        <row r="81">
          <cell r="D81">
            <v>12128663</v>
          </cell>
          <cell r="J81">
            <v>12129</v>
          </cell>
        </row>
        <row r="82">
          <cell r="D82">
            <v>-3707587</v>
          </cell>
          <cell r="J82">
            <v>-3708</v>
          </cell>
        </row>
        <row r="83">
          <cell r="J83">
            <v>3749</v>
          </cell>
        </row>
        <row r="87">
          <cell r="D87">
            <v>675162</v>
          </cell>
          <cell r="J87">
            <v>675</v>
          </cell>
        </row>
        <row r="88">
          <cell r="D88">
            <v>13238</v>
          </cell>
          <cell r="J88">
            <v>13</v>
          </cell>
        </row>
        <row r="90">
          <cell r="D90">
            <v>334630</v>
          </cell>
          <cell r="J90">
            <v>335</v>
          </cell>
        </row>
        <row r="91">
          <cell r="D91">
            <v>88171</v>
          </cell>
          <cell r="J91">
            <v>88</v>
          </cell>
        </row>
        <row r="93">
          <cell r="D93">
            <v>1986324</v>
          </cell>
          <cell r="J93">
            <v>1986</v>
          </cell>
        </row>
        <row r="94">
          <cell r="J94">
            <v>1995</v>
          </cell>
        </row>
        <row r="96">
          <cell r="D96">
            <v>1995358</v>
          </cell>
          <cell r="J96">
            <v>1995</v>
          </cell>
        </row>
        <row r="97">
          <cell r="J97">
            <v>125</v>
          </cell>
        </row>
        <row r="101">
          <cell r="D101">
            <v>66343639</v>
          </cell>
          <cell r="J101">
            <v>66344</v>
          </cell>
        </row>
        <row r="102">
          <cell r="D102">
            <v>49445838</v>
          </cell>
          <cell r="J102">
            <v>49446</v>
          </cell>
        </row>
        <row r="103">
          <cell r="D103">
            <v>2449288</v>
          </cell>
          <cell r="J103">
            <v>2449</v>
          </cell>
        </row>
        <row r="105">
          <cell r="D105">
            <v>117184477</v>
          </cell>
          <cell r="J105">
            <v>117184</v>
          </cell>
        </row>
        <row r="106">
          <cell r="J106">
            <v>747</v>
          </cell>
        </row>
        <row r="107">
          <cell r="D107">
            <v>3957529</v>
          </cell>
          <cell r="J107">
            <v>3958</v>
          </cell>
        </row>
        <row r="108">
          <cell r="D108">
            <v>-2903241</v>
          </cell>
        </row>
        <row r="109">
          <cell r="D109">
            <v>2896098</v>
          </cell>
          <cell r="J109">
            <v>2896</v>
          </cell>
        </row>
        <row r="111">
          <cell r="D111">
            <v>430048142</v>
          </cell>
        </row>
        <row r="112">
          <cell r="D112">
            <v>422767917</v>
          </cell>
          <cell r="J112">
            <v>422768</v>
          </cell>
        </row>
        <row r="113">
          <cell r="D113">
            <v>5571012</v>
          </cell>
          <cell r="J113">
            <v>5571</v>
          </cell>
        </row>
        <row r="114">
          <cell r="D114">
            <v>1709213</v>
          </cell>
          <cell r="J114">
            <v>1709</v>
          </cell>
        </row>
        <row r="115">
          <cell r="D115">
            <v>464451740</v>
          </cell>
        </row>
        <row r="116">
          <cell r="D116">
            <v>462985146</v>
          </cell>
          <cell r="J116">
            <v>462985</v>
          </cell>
        </row>
        <row r="117">
          <cell r="D117">
            <v>1466594</v>
          </cell>
          <cell r="J117">
            <v>1467</v>
          </cell>
        </row>
        <row r="118">
          <cell r="D118">
            <v>-34403598</v>
          </cell>
          <cell r="J118">
            <v>-34404</v>
          </cell>
        </row>
        <row r="119">
          <cell r="D119">
            <v>38310273</v>
          </cell>
          <cell r="J119">
            <v>38310</v>
          </cell>
        </row>
        <row r="121">
          <cell r="D121">
            <v>338163865</v>
          </cell>
        </row>
        <row r="122">
          <cell r="D122">
            <v>317566840</v>
          </cell>
          <cell r="J122">
            <v>317567</v>
          </cell>
        </row>
        <row r="123">
          <cell r="D123">
            <v>3171974</v>
          </cell>
          <cell r="J123">
            <v>3172</v>
          </cell>
        </row>
        <row r="124">
          <cell r="D124">
            <v>17425051</v>
          </cell>
          <cell r="J124">
            <v>17425</v>
          </cell>
        </row>
        <row r="125">
          <cell r="D125">
            <v>368529225</v>
          </cell>
        </row>
        <row r="126">
          <cell r="D126">
            <v>368529225</v>
          </cell>
          <cell r="J126">
            <v>368529</v>
          </cell>
        </row>
        <row r="127">
          <cell r="D127">
            <v>-30365360</v>
          </cell>
          <cell r="J127">
            <v>-30365</v>
          </cell>
        </row>
        <row r="128">
          <cell r="D128">
            <v>30379030</v>
          </cell>
          <cell r="J128">
            <v>30379</v>
          </cell>
        </row>
        <row r="130">
          <cell r="D130">
            <v>32675577</v>
          </cell>
        </row>
        <row r="131">
          <cell r="D131">
            <v>28741154</v>
          </cell>
          <cell r="J131">
            <v>28741</v>
          </cell>
        </row>
        <row r="132">
          <cell r="D132">
            <v>412557</v>
          </cell>
          <cell r="J132">
            <v>413</v>
          </cell>
        </row>
        <row r="133">
          <cell r="D133">
            <v>3521866</v>
          </cell>
          <cell r="J133">
            <v>3522</v>
          </cell>
        </row>
        <row r="134">
          <cell r="D134">
            <v>29611218</v>
          </cell>
        </row>
        <row r="135">
          <cell r="D135">
            <v>29611218</v>
          </cell>
          <cell r="J135">
            <v>29611</v>
          </cell>
        </row>
        <row r="136">
          <cell r="D136">
            <v>3064359</v>
          </cell>
          <cell r="J136">
            <v>3065</v>
          </cell>
        </row>
        <row r="139">
          <cell r="D139">
            <v>929861</v>
          </cell>
          <cell r="J139">
            <v>930</v>
          </cell>
        </row>
        <row r="141">
          <cell r="D141">
            <v>14747</v>
          </cell>
          <cell r="J141">
            <v>15</v>
          </cell>
        </row>
        <row r="142">
          <cell r="D142">
            <v>717655</v>
          </cell>
        </row>
        <row r="143">
          <cell r="D143">
            <v>717655</v>
          </cell>
          <cell r="J143">
            <v>718</v>
          </cell>
        </row>
        <row r="145">
          <cell r="D145">
            <v>226953</v>
          </cell>
          <cell r="J145">
            <v>227</v>
          </cell>
        </row>
        <row r="146">
          <cell r="J146">
            <v>0</v>
          </cell>
        </row>
        <row r="149">
          <cell r="D149">
            <v>75530062</v>
          </cell>
          <cell r="J149">
            <v>75530</v>
          </cell>
        </row>
        <row r="151">
          <cell r="D151">
            <v>486575</v>
          </cell>
          <cell r="J151">
            <v>487</v>
          </cell>
        </row>
        <row r="152">
          <cell r="D152">
            <v>82761246</v>
          </cell>
        </row>
        <row r="153">
          <cell r="D153">
            <v>82761246</v>
          </cell>
          <cell r="J153">
            <v>82761</v>
          </cell>
        </row>
        <row r="154">
          <cell r="D154">
            <v>-6744609</v>
          </cell>
          <cell r="J154">
            <v>-6744</v>
          </cell>
        </row>
        <row r="155">
          <cell r="D155">
            <v>6744742</v>
          </cell>
          <cell r="J155">
            <v>6745</v>
          </cell>
        </row>
        <row r="158">
          <cell r="D158">
            <v>1986481</v>
          </cell>
          <cell r="J158">
            <v>1986</v>
          </cell>
        </row>
        <row r="159">
          <cell r="D159">
            <v>7393871</v>
          </cell>
          <cell r="J159">
            <v>7394</v>
          </cell>
        </row>
        <row r="161">
          <cell r="D161">
            <v>8498698</v>
          </cell>
          <cell r="J161">
            <v>8499</v>
          </cell>
        </row>
        <row r="162">
          <cell r="D162">
            <v>1466594</v>
          </cell>
          <cell r="J162">
            <v>1467</v>
          </cell>
        </row>
        <row r="163">
          <cell r="D163">
            <v>-584940</v>
          </cell>
          <cell r="J163">
            <v>-586</v>
          </cell>
        </row>
        <row r="164">
          <cell r="D164">
            <v>1186501</v>
          </cell>
          <cell r="J164">
            <v>1186</v>
          </cell>
        </row>
        <row r="168">
          <cell r="D168">
            <v>7529442</v>
          </cell>
          <cell r="J168">
            <v>7529</v>
          </cell>
        </row>
        <row r="169">
          <cell r="D169">
            <v>409880</v>
          </cell>
          <cell r="J169">
            <v>410</v>
          </cell>
        </row>
        <row r="170">
          <cell r="D170">
            <v>109809</v>
          </cell>
          <cell r="J170">
            <v>110</v>
          </cell>
        </row>
        <row r="171">
          <cell r="D171">
            <v>7044861</v>
          </cell>
        </row>
        <row r="172">
          <cell r="D172">
            <v>3760601</v>
          </cell>
          <cell r="J172">
            <v>3761</v>
          </cell>
        </row>
        <row r="173">
          <cell r="D173">
            <v>3284260</v>
          </cell>
          <cell r="J173">
            <v>3284</v>
          </cell>
        </row>
        <row r="175">
          <cell r="D175">
            <v>443709</v>
          </cell>
          <cell r="J175">
            <v>444</v>
          </cell>
        </row>
        <row r="176">
          <cell r="D176">
            <v>513293</v>
          </cell>
          <cell r="J176">
            <v>514</v>
          </cell>
        </row>
        <row r="177">
          <cell r="D177">
            <v>74791</v>
          </cell>
          <cell r="J177">
            <v>75</v>
          </cell>
        </row>
        <row r="178">
          <cell r="D178">
            <v>438502</v>
          </cell>
          <cell r="J178">
            <v>439</v>
          </cell>
        </row>
        <row r="182">
          <cell r="D182">
            <v>1168906</v>
          </cell>
          <cell r="J182">
            <v>1169</v>
          </cell>
        </row>
        <row r="183">
          <cell r="D183">
            <v>508142</v>
          </cell>
          <cell r="J183">
            <v>508</v>
          </cell>
        </row>
        <row r="184">
          <cell r="D184">
            <v>204000</v>
          </cell>
          <cell r="J184">
            <v>204</v>
          </cell>
        </row>
        <row r="185">
          <cell r="D185">
            <v>2049780</v>
          </cell>
        </row>
        <row r="186">
          <cell r="D186">
            <v>2049780</v>
          </cell>
          <cell r="J186">
            <v>2050</v>
          </cell>
        </row>
        <row r="189">
          <cell r="D189">
            <v>73841</v>
          </cell>
          <cell r="J189">
            <v>74</v>
          </cell>
        </row>
        <row r="191">
          <cell r="D191">
            <v>164943</v>
          </cell>
          <cell r="J191">
            <v>165</v>
          </cell>
        </row>
        <row r="192">
          <cell r="J192">
            <v>9</v>
          </cell>
        </row>
        <row r="193">
          <cell r="D193">
            <v>9654</v>
          </cell>
          <cell r="J193">
            <v>10</v>
          </cell>
        </row>
        <row r="194">
          <cell r="D194">
            <v>-100756</v>
          </cell>
          <cell r="J194">
            <v>-101</v>
          </cell>
        </row>
        <row r="195">
          <cell r="J195">
            <v>54</v>
          </cell>
        </row>
      </sheetData>
      <sheetData sheetId="12">
        <row r="23">
          <cell r="D23">
            <v>2146729</v>
          </cell>
        </row>
        <row r="30">
          <cell r="D30">
            <v>3194139</v>
          </cell>
        </row>
        <row r="36">
          <cell r="D36">
            <v>1151229</v>
          </cell>
        </row>
        <row r="41">
          <cell r="D41">
            <v>8</v>
          </cell>
        </row>
        <row r="45">
          <cell r="D45">
            <v>1550000</v>
          </cell>
        </row>
        <row r="52">
          <cell r="D52">
            <v>889484</v>
          </cell>
        </row>
        <row r="64">
          <cell r="D64">
            <v>569772</v>
          </cell>
        </row>
        <row r="73">
          <cell r="D73">
            <v>8179899</v>
          </cell>
        </row>
        <row r="74">
          <cell r="D74">
            <v>44037835</v>
          </cell>
        </row>
        <row r="75">
          <cell r="D75">
            <v>316765</v>
          </cell>
        </row>
        <row r="76">
          <cell r="D76">
            <v>22645</v>
          </cell>
        </row>
        <row r="77">
          <cell r="D77">
            <v>1099000</v>
          </cell>
        </row>
        <row r="86">
          <cell r="D86">
            <v>751588</v>
          </cell>
        </row>
        <row r="93">
          <cell r="D93">
            <v>2225962</v>
          </cell>
        </row>
        <row r="101">
          <cell r="D101">
            <v>74218078</v>
          </cell>
        </row>
        <row r="102">
          <cell r="D102">
            <v>54092286</v>
          </cell>
        </row>
        <row r="103">
          <cell r="D103">
            <v>2548901</v>
          </cell>
        </row>
        <row r="111">
          <cell r="D111">
            <v>474584318</v>
          </cell>
        </row>
        <row r="168">
          <cell r="D168">
            <v>8258407</v>
          </cell>
        </row>
        <row r="169">
          <cell r="D169">
            <v>462168</v>
          </cell>
        </row>
        <row r="170">
          <cell r="D170">
            <v>156418</v>
          </cell>
        </row>
        <row r="175">
          <cell r="D175">
            <v>443709</v>
          </cell>
        </row>
        <row r="181">
          <cell r="D181">
            <v>1870008</v>
          </cell>
        </row>
        <row r="188">
          <cell r="D188">
            <v>86177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35"/>
      <sheetName val="Decembris"/>
      <sheetName val="Dec.operat."/>
    </sheetNames>
    <sheetDataSet>
      <sheetData sheetId="10">
        <row r="11">
          <cell r="D11">
            <v>615970681</v>
          </cell>
          <cell r="K11">
            <v>615971</v>
          </cell>
        </row>
        <row r="12">
          <cell r="D12">
            <v>2655361</v>
          </cell>
          <cell r="K12">
            <v>2655</v>
          </cell>
        </row>
        <row r="13">
          <cell r="D13">
            <v>1133877</v>
          </cell>
          <cell r="K13">
            <v>1134</v>
          </cell>
        </row>
        <row r="14">
          <cell r="K14">
            <v>656152</v>
          </cell>
        </row>
        <row r="15">
          <cell r="K15">
            <v>632247</v>
          </cell>
        </row>
        <row r="16">
          <cell r="K16">
            <v>22932</v>
          </cell>
        </row>
        <row r="17">
          <cell r="D17">
            <v>1070057</v>
          </cell>
          <cell r="K17">
            <v>1070</v>
          </cell>
        </row>
        <row r="18">
          <cell r="D18">
            <v>299425</v>
          </cell>
          <cell r="K18">
            <v>299</v>
          </cell>
        </row>
        <row r="19">
          <cell r="D19">
            <v>18592853</v>
          </cell>
          <cell r="K19">
            <v>18593</v>
          </cell>
        </row>
        <row r="20">
          <cell r="D20">
            <v>2969143</v>
          </cell>
          <cell r="K20">
            <v>2969</v>
          </cell>
        </row>
        <row r="21">
          <cell r="K21">
            <v>5526</v>
          </cell>
        </row>
        <row r="22">
          <cell r="D22">
            <v>3648116</v>
          </cell>
          <cell r="K22">
            <v>3648</v>
          </cell>
        </row>
        <row r="23">
          <cell r="D23">
            <v>1877850</v>
          </cell>
          <cell r="K23">
            <v>1878</v>
          </cell>
        </row>
        <row r="24">
          <cell r="K24">
            <v>603789</v>
          </cell>
        </row>
        <row r="25">
          <cell r="D25">
            <v>1944031</v>
          </cell>
          <cell r="K25">
            <v>1944</v>
          </cell>
        </row>
        <row r="26">
          <cell r="D26">
            <v>16406300</v>
          </cell>
          <cell r="K26">
            <v>16406</v>
          </cell>
        </row>
        <row r="27">
          <cell r="K27">
            <v>0</v>
          </cell>
        </row>
        <row r="28">
          <cell r="D28">
            <v>135536572</v>
          </cell>
          <cell r="K28">
            <v>135537</v>
          </cell>
        </row>
        <row r="29">
          <cell r="K29">
            <v>448745</v>
          </cell>
        </row>
        <row r="30">
          <cell r="D30">
            <v>410638084</v>
          </cell>
          <cell r="K30">
            <v>410638</v>
          </cell>
        </row>
        <row r="31">
          <cell r="D31">
            <v>37134215</v>
          </cell>
          <cell r="K31">
            <v>37134</v>
          </cell>
        </row>
        <row r="32">
          <cell r="D32">
            <v>572482</v>
          </cell>
          <cell r="K32">
            <v>573</v>
          </cell>
        </row>
        <row r="33">
          <cell r="D33">
            <v>400173</v>
          </cell>
          <cell r="K33">
            <v>400</v>
          </cell>
        </row>
        <row r="34">
          <cell r="D34">
            <v>55827</v>
          </cell>
        </row>
        <row r="35">
          <cell r="D35">
            <v>1101100</v>
          </cell>
          <cell r="K35">
            <v>1101</v>
          </cell>
        </row>
        <row r="37">
          <cell r="D37">
            <v>8987457</v>
          </cell>
          <cell r="K37">
            <v>8987</v>
          </cell>
        </row>
        <row r="38">
          <cell r="D38">
            <v>14917859</v>
          </cell>
          <cell r="K38">
            <v>14918</v>
          </cell>
        </row>
        <row r="39">
          <cell r="K39">
            <v>4684</v>
          </cell>
        </row>
        <row r="40">
          <cell r="D40">
            <v>4736481</v>
          </cell>
          <cell r="K40">
            <v>4736</v>
          </cell>
        </row>
        <row r="41">
          <cell r="D41">
            <v>51730</v>
          </cell>
          <cell r="K41">
            <v>52</v>
          </cell>
        </row>
        <row r="42">
          <cell r="K42">
            <v>-41076</v>
          </cell>
        </row>
        <row r="43">
          <cell r="K43">
            <v>41076</v>
          </cell>
        </row>
        <row r="44">
          <cell r="D44">
            <v>46752128</v>
          </cell>
          <cell r="K44">
            <v>46752</v>
          </cell>
        </row>
        <row r="45">
          <cell r="D45">
            <v>-5675752</v>
          </cell>
          <cell r="K45">
            <v>-5676</v>
          </cell>
        </row>
      </sheetData>
      <sheetData sheetId="12">
        <row r="39">
          <cell r="D39">
            <v>5365094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Dec.operat."/>
    </sheetNames>
    <sheetDataSet>
      <sheetData sheetId="10">
        <row r="10">
          <cell r="C10">
            <v>3758005</v>
          </cell>
          <cell r="H10">
            <v>3758</v>
          </cell>
        </row>
        <row r="11">
          <cell r="C11">
            <v>7175000</v>
          </cell>
          <cell r="H11">
            <v>7175</v>
          </cell>
        </row>
        <row r="15">
          <cell r="C15">
            <v>395517</v>
          </cell>
          <cell r="H15">
            <v>396</v>
          </cell>
        </row>
        <row r="16">
          <cell r="C16">
            <v>96653</v>
          </cell>
          <cell r="H16">
            <v>97</v>
          </cell>
        </row>
        <row r="18">
          <cell r="C18">
            <v>2939919</v>
          </cell>
        </row>
        <row r="19">
          <cell r="C19">
            <v>359592</v>
          </cell>
          <cell r="H19">
            <v>359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5">
          <cell r="C25">
            <v>19895</v>
          </cell>
          <cell r="H25">
            <v>20</v>
          </cell>
        </row>
        <row r="26">
          <cell r="H26">
            <v>0</v>
          </cell>
        </row>
        <row r="27">
          <cell r="H27">
            <v>0</v>
          </cell>
        </row>
        <row r="28">
          <cell r="C28">
            <v>422896</v>
          </cell>
          <cell r="H28">
            <v>423</v>
          </cell>
        </row>
        <row r="29">
          <cell r="C29">
            <v>163072</v>
          </cell>
          <cell r="H29">
            <v>163</v>
          </cell>
        </row>
        <row r="31">
          <cell r="C31">
            <v>1429266</v>
          </cell>
        </row>
        <row r="32">
          <cell r="C32">
            <v>21413</v>
          </cell>
          <cell r="H3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57421875" style="2" customWidth="1"/>
    <col min="2" max="2" width="11.8515625" style="2" customWidth="1"/>
    <col min="3" max="3" width="13.421875" style="2" customWidth="1"/>
    <col min="4" max="4" width="12.57421875" style="2" customWidth="1"/>
    <col min="5" max="5" width="12.7109375" style="2" customWidth="1"/>
  </cols>
  <sheetData>
    <row r="1" spans="1:5" ht="12.75">
      <c r="A1" s="642" t="s">
        <v>57</v>
      </c>
      <c r="B1" s="642"/>
      <c r="C1" s="642"/>
      <c r="D1" s="642"/>
      <c r="E1" s="642"/>
    </row>
    <row r="2" spans="1:5" ht="18.75" customHeight="1">
      <c r="A2" s="642"/>
      <c r="B2" s="642"/>
      <c r="C2" s="642"/>
      <c r="D2" s="642"/>
      <c r="E2" s="642"/>
    </row>
    <row r="3" spans="1:5" ht="12.75">
      <c r="A3" s="1"/>
      <c r="E3" s="3" t="s">
        <v>58</v>
      </c>
    </row>
    <row r="4" spans="1:5" ht="33.75">
      <c r="A4" s="4" t="s">
        <v>59</v>
      </c>
      <c r="B4" s="5" t="s">
        <v>60</v>
      </c>
      <c r="C4" s="5" t="s">
        <v>61</v>
      </c>
      <c r="D4" s="5" t="s">
        <v>62</v>
      </c>
      <c r="E4" s="5" t="s">
        <v>63</v>
      </c>
    </row>
    <row r="5" spans="1:5" ht="12.75">
      <c r="A5" s="6" t="s">
        <v>64</v>
      </c>
      <c r="B5" s="7">
        <v>1305658</v>
      </c>
      <c r="C5" s="8">
        <v>444152</v>
      </c>
      <c r="D5" s="7">
        <f>B5+C5</f>
        <v>1749810</v>
      </c>
      <c r="E5" s="7">
        <f>D5-'[1]Novembris'!D5</f>
        <v>156957</v>
      </c>
    </row>
    <row r="6" spans="1:5" ht="22.5">
      <c r="A6" s="9" t="s">
        <v>65</v>
      </c>
      <c r="B6" s="10" t="s">
        <v>66</v>
      </c>
      <c r="C6" s="10" t="s">
        <v>66</v>
      </c>
      <c r="D6" s="11">
        <f>102572+7077</f>
        <v>109649</v>
      </c>
      <c r="E6" s="11">
        <f>D6-'[1]Novembris'!D6-1</f>
        <v>11456</v>
      </c>
    </row>
    <row r="7" spans="1:5" ht="22.5">
      <c r="A7" s="9" t="s">
        <v>67</v>
      </c>
      <c r="B7" s="10" t="s">
        <v>66</v>
      </c>
      <c r="C7" s="10" t="s">
        <v>66</v>
      </c>
      <c r="D7" s="11">
        <v>14104</v>
      </c>
      <c r="E7" s="11">
        <f>D7-'[1]Novembris'!D7</f>
        <v>2482</v>
      </c>
    </row>
    <row r="8" spans="1:5" ht="12.75">
      <c r="A8" s="12" t="s">
        <v>68</v>
      </c>
      <c r="B8" s="13" t="s">
        <v>66</v>
      </c>
      <c r="C8" s="13" t="s">
        <v>66</v>
      </c>
      <c r="D8" s="7">
        <f>D5-D6-D7</f>
        <v>1626057</v>
      </c>
      <c r="E8" s="7">
        <f>D8-'[1]Novembris'!D8</f>
        <v>143018</v>
      </c>
    </row>
    <row r="9" spans="1:5" ht="12.75">
      <c r="A9" s="6" t="s">
        <v>69</v>
      </c>
      <c r="B9" s="7">
        <v>1412156</v>
      </c>
      <c r="C9" s="8">
        <v>459766</v>
      </c>
      <c r="D9" s="7">
        <f>B9+C9</f>
        <v>1871922</v>
      </c>
      <c r="E9" s="7">
        <f>D9-'[1]Novembris'!D9</f>
        <v>197086</v>
      </c>
    </row>
    <row r="10" spans="1:5" ht="22.5">
      <c r="A10" s="9" t="s">
        <v>70</v>
      </c>
      <c r="B10" s="10" t="s">
        <v>66</v>
      </c>
      <c r="C10" s="10" t="s">
        <v>66</v>
      </c>
      <c r="D10" s="11">
        <v>109649</v>
      </c>
      <c r="E10" s="11">
        <f>D10-'[1]Novembris'!D10-1</f>
        <v>11456</v>
      </c>
    </row>
    <row r="11" spans="1:5" ht="22.5">
      <c r="A11" s="9" t="s">
        <v>71</v>
      </c>
      <c r="B11" s="10" t="s">
        <v>66</v>
      </c>
      <c r="C11" s="10" t="s">
        <v>66</v>
      </c>
      <c r="D11" s="11">
        <v>14104</v>
      </c>
      <c r="E11" s="11">
        <f>D11-'[1]Novembris'!D11</f>
        <v>2482</v>
      </c>
    </row>
    <row r="12" spans="1:5" ht="12.75">
      <c r="A12" s="12" t="s">
        <v>72</v>
      </c>
      <c r="B12" s="13" t="s">
        <v>66</v>
      </c>
      <c r="C12" s="13" t="s">
        <v>66</v>
      </c>
      <c r="D12" s="7">
        <f>D9-D10-D11</f>
        <v>1748169</v>
      </c>
      <c r="E12" s="7">
        <f>D12-'[1]Novembris'!D12</f>
        <v>183147</v>
      </c>
    </row>
    <row r="13" spans="1:5" ht="25.5">
      <c r="A13" s="12" t="s">
        <v>73</v>
      </c>
      <c r="B13" s="7">
        <f>B5-B9</f>
        <v>-106498</v>
      </c>
      <c r="C13" s="8">
        <f>C5-C9</f>
        <v>-15614</v>
      </c>
      <c r="D13" s="7">
        <f>D8-D12</f>
        <v>-122112</v>
      </c>
      <c r="E13" s="7">
        <f>D13-'[1]Novembris'!D13</f>
        <v>-40129</v>
      </c>
    </row>
    <row r="14" spans="1:5" ht="12.75">
      <c r="A14" s="14" t="s">
        <v>74</v>
      </c>
      <c r="B14" s="8">
        <f>B15-B18</f>
        <v>12463</v>
      </c>
      <c r="C14" s="8">
        <f>C15-C18</f>
        <v>-2552</v>
      </c>
      <c r="D14" s="8">
        <f>D17-D20</f>
        <v>-246</v>
      </c>
      <c r="E14" s="8">
        <f>D14-'[1]Novembris'!D14</f>
        <v>-2529</v>
      </c>
    </row>
    <row r="15" spans="1:5" ht="12.75">
      <c r="A15" s="15" t="s">
        <v>75</v>
      </c>
      <c r="B15" s="16">
        <v>35503</v>
      </c>
      <c r="C15" s="17">
        <v>5103</v>
      </c>
      <c r="D15" s="16">
        <f>B15+C15</f>
        <v>40606</v>
      </c>
      <c r="E15" s="16">
        <f>D15-'[1]Novembris'!D15</f>
        <v>3237</v>
      </c>
    </row>
    <row r="16" spans="1:5" ht="22.5">
      <c r="A16" s="9" t="s">
        <v>76</v>
      </c>
      <c r="B16" s="10" t="s">
        <v>66</v>
      </c>
      <c r="C16" s="10" t="s">
        <v>66</v>
      </c>
      <c r="D16" s="11">
        <v>23825</v>
      </c>
      <c r="E16" s="11">
        <f>D16-'[1]Novembris'!D16</f>
        <v>1985</v>
      </c>
    </row>
    <row r="17" spans="1:5" ht="12.75">
      <c r="A17" s="14" t="s">
        <v>77</v>
      </c>
      <c r="B17" s="13" t="s">
        <v>66</v>
      </c>
      <c r="C17" s="13" t="s">
        <v>66</v>
      </c>
      <c r="D17" s="7">
        <f>D15-D16</f>
        <v>16781</v>
      </c>
      <c r="E17" s="7">
        <f>D17-'[1]Novembris'!D17</f>
        <v>1252</v>
      </c>
    </row>
    <row r="18" spans="1:5" ht="12.75">
      <c r="A18" s="15" t="s">
        <v>78</v>
      </c>
      <c r="B18" s="16">
        <v>23040</v>
      </c>
      <c r="C18" s="17">
        <v>7655</v>
      </c>
      <c r="D18" s="16">
        <f>B18+C18</f>
        <v>30695</v>
      </c>
      <c r="E18" s="16">
        <f>D18-'[1]Novembris'!D18</f>
        <v>6260</v>
      </c>
    </row>
    <row r="19" spans="1:5" ht="22.5">
      <c r="A19" s="9" t="s">
        <v>79</v>
      </c>
      <c r="B19" s="18" t="s">
        <v>66</v>
      </c>
      <c r="C19" s="18" t="s">
        <v>66</v>
      </c>
      <c r="D19" s="11">
        <f>13470+198</f>
        <v>13668</v>
      </c>
      <c r="E19" s="11">
        <f>D19-'[1]Novembris'!D19</f>
        <v>2479</v>
      </c>
    </row>
    <row r="20" spans="1:5" ht="12.75">
      <c r="A20" s="14" t="s">
        <v>80</v>
      </c>
      <c r="B20" s="13" t="s">
        <v>66</v>
      </c>
      <c r="C20" s="13" t="s">
        <v>66</v>
      </c>
      <c r="D20" s="7">
        <f>D18-D19</f>
        <v>17027</v>
      </c>
      <c r="E20" s="7">
        <f>D20-'[1]Novembris'!D20</f>
        <v>3781</v>
      </c>
    </row>
    <row r="21" spans="1:5" ht="25.5">
      <c r="A21" s="12" t="s">
        <v>81</v>
      </c>
      <c r="B21" s="8">
        <f>B13-B14</f>
        <v>-118961</v>
      </c>
      <c r="C21" s="8">
        <f>C13-C14</f>
        <v>-13062</v>
      </c>
      <c r="D21" s="7">
        <f>D13-D14</f>
        <v>-121866</v>
      </c>
      <c r="E21" s="7">
        <f>D21-'[1]Novembris'!D21</f>
        <v>-37600</v>
      </c>
    </row>
    <row r="22" spans="1:5" ht="12.75">
      <c r="A22" s="6" t="s">
        <v>82</v>
      </c>
      <c r="B22" s="7">
        <f>B23+B38</f>
        <v>118961</v>
      </c>
      <c r="C22" s="8">
        <f>C23+C38</f>
        <v>13062</v>
      </c>
      <c r="D22" s="7">
        <f>D23+D38</f>
        <v>121866</v>
      </c>
      <c r="E22" s="7">
        <f>D22-'[1]Novembris'!D22</f>
        <v>37600</v>
      </c>
    </row>
    <row r="23" spans="1:5" ht="12.75">
      <c r="A23" s="6" t="s">
        <v>83</v>
      </c>
      <c r="B23" s="7">
        <f>B24+B29+B33+B37</f>
        <v>130969</v>
      </c>
      <c r="C23" s="8">
        <f>C24+C29+C33+C37</f>
        <v>13062</v>
      </c>
      <c r="D23" s="8">
        <f>D24+D29+D33+D37</f>
        <v>133874</v>
      </c>
      <c r="E23" s="8">
        <f>D23-'[1]Novembris'!D23</f>
        <v>33246</v>
      </c>
    </row>
    <row r="24" spans="1:5" ht="12.75">
      <c r="A24" s="19" t="s">
        <v>84</v>
      </c>
      <c r="B24" s="20">
        <f>B25+B26</f>
        <v>0</v>
      </c>
      <c r="C24" s="20">
        <f>C25+C26</f>
        <v>10297</v>
      </c>
      <c r="D24" s="20">
        <f>D25+D28</f>
        <v>140</v>
      </c>
      <c r="E24" s="20">
        <f>D24-'[1]Novembris'!D24</f>
        <v>-99</v>
      </c>
    </row>
    <row r="25" spans="1:5" ht="22.5">
      <c r="A25" s="9" t="s">
        <v>85</v>
      </c>
      <c r="B25" s="11"/>
      <c r="C25" s="21">
        <v>140</v>
      </c>
      <c r="D25" s="11">
        <f>B25+C25</f>
        <v>140</v>
      </c>
      <c r="E25" s="11">
        <f>D25-'[1]Novembris'!D25</f>
        <v>-99</v>
      </c>
    </row>
    <row r="26" spans="1:5" ht="22.5">
      <c r="A26" s="9" t="s">
        <v>86</v>
      </c>
      <c r="B26" s="11"/>
      <c r="C26" s="21">
        <v>10157</v>
      </c>
      <c r="D26" s="11">
        <f>B26+C26</f>
        <v>10157</v>
      </c>
      <c r="E26" s="11">
        <f>D26-'[1]Novembris'!D26</f>
        <v>-494</v>
      </c>
    </row>
    <row r="27" spans="1:5" ht="22.5">
      <c r="A27" s="22" t="s">
        <v>87</v>
      </c>
      <c r="B27" s="18" t="s">
        <v>66</v>
      </c>
      <c r="C27" s="18" t="s">
        <v>66</v>
      </c>
      <c r="D27" s="23">
        <v>-10157</v>
      </c>
      <c r="E27" s="23">
        <f>D27-'[1]Novembris'!D27</f>
        <v>494</v>
      </c>
    </row>
    <row r="28" spans="1:5" ht="22.5">
      <c r="A28" s="9" t="s">
        <v>88</v>
      </c>
      <c r="B28" s="18" t="s">
        <v>66</v>
      </c>
      <c r="C28" s="18" t="s">
        <v>66</v>
      </c>
      <c r="D28" s="23"/>
      <c r="E28" s="23">
        <f>D28-'[1]Novembris'!D28</f>
        <v>0</v>
      </c>
    </row>
    <row r="29" spans="1:5" ht="12.75">
      <c r="A29" s="24" t="s">
        <v>89</v>
      </c>
      <c r="B29" s="23">
        <f>SUM(B30:B32)</f>
        <v>114611</v>
      </c>
      <c r="C29" s="20">
        <f>SUM(C30:C32)</f>
        <v>0</v>
      </c>
      <c r="D29" s="23">
        <f aca="true" t="shared" si="0" ref="D29:D37">B29+C29</f>
        <v>114611</v>
      </c>
      <c r="E29" s="23">
        <f>D29-'[1]Novembris'!D29</f>
        <v>24577</v>
      </c>
    </row>
    <row r="30" spans="1:5" ht="12.75">
      <c r="A30" s="9" t="s">
        <v>90</v>
      </c>
      <c r="B30" s="11">
        <v>19170</v>
      </c>
      <c r="C30" s="21"/>
      <c r="D30" s="11">
        <f t="shared" si="0"/>
        <v>19170</v>
      </c>
      <c r="E30" s="11">
        <f>D30-'[1]Novembris'!D30</f>
        <v>1971</v>
      </c>
    </row>
    <row r="31" spans="1:5" ht="22.5">
      <c r="A31" s="9" t="s">
        <v>91</v>
      </c>
      <c r="B31" s="11">
        <v>13522</v>
      </c>
      <c r="C31" s="21"/>
      <c r="D31" s="11">
        <f t="shared" si="0"/>
        <v>13522</v>
      </c>
      <c r="E31" s="11">
        <f>D31-'[1]Novembris'!D31</f>
        <v>19140</v>
      </c>
    </row>
    <row r="32" spans="1:5" ht="12.75">
      <c r="A32" s="9" t="s">
        <v>92</v>
      </c>
      <c r="B32" s="11">
        <v>81919</v>
      </c>
      <c r="C32" s="21"/>
      <c r="D32" s="11">
        <f t="shared" si="0"/>
        <v>81919</v>
      </c>
      <c r="E32" s="11">
        <f>D32-'[1]Novembris'!D32</f>
        <v>3466</v>
      </c>
    </row>
    <row r="33" spans="1:5" ht="12.75">
      <c r="A33" s="25" t="s">
        <v>93</v>
      </c>
      <c r="B33" s="23">
        <f>SUM(B34:B36)</f>
        <v>11153</v>
      </c>
      <c r="C33" s="21">
        <f>SUM(C34:C36)</f>
        <v>-14836</v>
      </c>
      <c r="D33" s="23">
        <f t="shared" si="0"/>
        <v>-3683</v>
      </c>
      <c r="E33" s="23">
        <f>D33-'[1]Novembris'!D33</f>
        <v>18611</v>
      </c>
    </row>
    <row r="34" spans="1:5" ht="12.75">
      <c r="A34" s="10" t="s">
        <v>94</v>
      </c>
      <c r="B34" s="11"/>
      <c r="C34" s="21">
        <v>-7425</v>
      </c>
      <c r="D34" s="11">
        <f t="shared" si="0"/>
        <v>-7425</v>
      </c>
      <c r="E34" s="11">
        <f>D34-'[1]Novembris'!D34</f>
        <v>-123</v>
      </c>
    </row>
    <row r="35" spans="1:5" ht="12.75">
      <c r="A35" s="10" t="s">
        <v>90</v>
      </c>
      <c r="B35" s="11">
        <v>10149</v>
      </c>
      <c r="C35" s="21"/>
      <c r="D35" s="11">
        <f t="shared" si="0"/>
        <v>10149</v>
      </c>
      <c r="E35" s="11">
        <f>D35-'[1]Novembris'!D35</f>
        <v>11000</v>
      </c>
    </row>
    <row r="36" spans="1:5" ht="22.5">
      <c r="A36" s="9" t="s">
        <v>91</v>
      </c>
      <c r="B36" s="11">
        <v>1004</v>
      </c>
      <c r="C36" s="21">
        <v>-7411</v>
      </c>
      <c r="D36" s="11">
        <f t="shared" si="0"/>
        <v>-6407</v>
      </c>
      <c r="E36" s="11">
        <f>D36-'[1]Novembris'!D36</f>
        <v>7734</v>
      </c>
    </row>
    <row r="37" spans="1:5" ht="12.75">
      <c r="A37" s="25" t="s">
        <v>95</v>
      </c>
      <c r="B37" s="23">
        <f>-6142+11347</f>
        <v>5205</v>
      </c>
      <c r="C37" s="20">
        <v>17601</v>
      </c>
      <c r="D37" s="11">
        <f t="shared" si="0"/>
        <v>22806</v>
      </c>
      <c r="E37" s="11">
        <f>D37-'[1]Novembris'!D37</f>
        <v>-9843</v>
      </c>
    </row>
    <row r="38" spans="1:5" ht="12.75">
      <c r="A38" s="26" t="s">
        <v>96</v>
      </c>
      <c r="B38" s="7">
        <v>-12008</v>
      </c>
      <c r="C38" s="8"/>
      <c r="D38" s="7">
        <f>B38+C38</f>
        <v>-12008</v>
      </c>
      <c r="E38" s="7">
        <f>D38-'[1]Novembris'!D38</f>
        <v>4354</v>
      </c>
    </row>
    <row r="39" spans="1:5" ht="12.75">
      <c r="A39" s="27" t="s">
        <v>97</v>
      </c>
      <c r="B39" s="28"/>
      <c r="C39" s="29"/>
      <c r="D39" s="30"/>
      <c r="E39" s="31"/>
    </row>
    <row r="40" spans="1:5" ht="12.75">
      <c r="A40" s="27"/>
      <c r="B40" s="28"/>
      <c r="C40" s="29"/>
      <c r="D40" s="30"/>
      <c r="E40" s="31"/>
    </row>
    <row r="41" spans="1:5" ht="12.75">
      <c r="A41" s="32"/>
      <c r="B41" s="33"/>
      <c r="C41" s="29"/>
      <c r="D41" s="34"/>
      <c r="E41" s="35"/>
    </row>
    <row r="42" spans="1:5" ht="12.75">
      <c r="A42" s="643"/>
      <c r="B42" s="643"/>
      <c r="C42" s="643"/>
      <c r="D42" s="643"/>
      <c r="E42" s="31"/>
    </row>
    <row r="43" spans="1:5" ht="12.75">
      <c r="A43" s="37" t="s">
        <v>98</v>
      </c>
      <c r="B43" s="36"/>
      <c r="C43" s="36"/>
      <c r="D43" s="36"/>
      <c r="E43" s="38"/>
    </row>
    <row r="44" spans="1:5" ht="12.75">
      <c r="A44" s="36"/>
      <c r="B44" s="36"/>
      <c r="C44" s="36"/>
      <c r="D44" s="36"/>
      <c r="E44" s="31"/>
    </row>
    <row r="45" spans="1:5" ht="12.75">
      <c r="A45" s="39"/>
      <c r="B45" s="39"/>
      <c r="C45" s="40"/>
      <c r="D45" s="41"/>
      <c r="E45" s="42"/>
    </row>
    <row r="46" spans="1:5" ht="12.75">
      <c r="A46" s="39" t="s">
        <v>99</v>
      </c>
      <c r="B46" s="28"/>
      <c r="C46" s="29"/>
      <c r="D46" s="30"/>
      <c r="E46" s="31"/>
    </row>
    <row r="47" spans="1:5" ht="12.75">
      <c r="A47" s="39" t="s">
        <v>100</v>
      </c>
      <c r="B47" s="28"/>
      <c r="C47" s="29"/>
      <c r="D47" s="30"/>
      <c r="E47" s="31"/>
    </row>
  </sheetData>
  <mergeCells count="2">
    <mergeCell ref="A1:E2"/>
    <mergeCell ref="A42:D42"/>
  </mergeCells>
  <printOptions/>
  <pageMargins left="1.02" right="0.19" top="0.69" bottom="0.23" header="0.36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G1">
      <selection activeCell="B8" sqref="B8"/>
    </sheetView>
  </sheetViews>
  <sheetFormatPr defaultColWidth="9.140625" defaultRowHeight="12.75"/>
  <cols>
    <col min="1" max="1" width="34.7109375" style="75" hidden="1" customWidth="1"/>
    <col min="2" max="2" width="8.421875" style="75" hidden="1" customWidth="1"/>
    <col min="3" max="3" width="14.28125" style="404" hidden="1" customWidth="1"/>
    <col min="4" max="4" width="13.421875" style="404" hidden="1" customWidth="1"/>
    <col min="5" max="5" width="7.8515625" style="75" hidden="1" customWidth="1"/>
    <col min="6" max="6" width="12.28125" style="404" hidden="1" customWidth="1"/>
    <col min="7" max="7" width="36.421875" style="75" customWidth="1"/>
    <col min="8" max="8" width="9.8515625" style="75" customWidth="1"/>
    <col min="9" max="9" width="13.140625" style="75" customWidth="1"/>
    <col min="10" max="10" width="11.00390625" style="75" customWidth="1"/>
    <col min="11" max="11" width="10.8515625" style="75" customWidth="1"/>
    <col min="12" max="12" width="11.8515625" style="75" customWidth="1"/>
    <col min="13" max="16384" width="7.8515625" style="75" customWidth="1"/>
  </cols>
  <sheetData>
    <row r="2" spans="1:12" ht="12.75">
      <c r="A2" s="75" t="s">
        <v>544</v>
      </c>
      <c r="F2" s="413" t="s">
        <v>545</v>
      </c>
      <c r="G2" s="75" t="s">
        <v>546</v>
      </c>
      <c r="L2" s="414" t="s">
        <v>545</v>
      </c>
    </row>
    <row r="4" spans="1:12" ht="15.75">
      <c r="A4" s="415" t="s">
        <v>547</v>
      </c>
      <c r="G4" s="646" t="s">
        <v>548</v>
      </c>
      <c r="H4" s="646"/>
      <c r="I4" s="646"/>
      <c r="J4" s="646"/>
      <c r="K4" s="646"/>
      <c r="L4" s="646"/>
    </row>
    <row r="5" spans="1:12" ht="15.75">
      <c r="A5" s="415" t="s">
        <v>549</v>
      </c>
      <c r="G5" s="655" t="str">
        <f>A5</f>
        <v>                                                       (2000.gada janvāris - decembris</v>
      </c>
      <c r="H5" s="655"/>
      <c r="I5" s="655"/>
      <c r="J5" s="655"/>
      <c r="K5" s="655"/>
      <c r="L5" s="655"/>
    </row>
    <row r="7" spans="6:12" ht="12.75">
      <c r="F7" s="390"/>
      <c r="L7" s="83"/>
    </row>
    <row r="8" spans="6:12" ht="12.75">
      <c r="F8" s="413" t="s">
        <v>245</v>
      </c>
      <c r="L8" s="414" t="s">
        <v>105</v>
      </c>
    </row>
    <row r="9" spans="1:12" ht="60" customHeight="1">
      <c r="A9" s="91" t="s">
        <v>59</v>
      </c>
      <c r="B9" s="84" t="s">
        <v>522</v>
      </c>
      <c r="C9" s="249" t="s">
        <v>106</v>
      </c>
      <c r="D9" s="249" t="s">
        <v>107</v>
      </c>
      <c r="E9" s="84" t="s">
        <v>523</v>
      </c>
      <c r="F9" s="249" t="s">
        <v>550</v>
      </c>
      <c r="G9" s="91" t="s">
        <v>59</v>
      </c>
      <c r="H9" s="84" t="s">
        <v>522</v>
      </c>
      <c r="I9" s="84" t="s">
        <v>106</v>
      </c>
      <c r="J9" s="84" t="s">
        <v>107</v>
      </c>
      <c r="K9" s="84" t="s">
        <v>523</v>
      </c>
      <c r="L9" s="84" t="s">
        <v>550</v>
      </c>
    </row>
    <row r="10" spans="1:12" ht="12" customHeight="1">
      <c r="A10" s="91">
        <v>1</v>
      </c>
      <c r="B10" s="91">
        <v>2</v>
      </c>
      <c r="C10" s="249">
        <v>3</v>
      </c>
      <c r="D10" s="249">
        <v>4</v>
      </c>
      <c r="E10" s="84">
        <v>5</v>
      </c>
      <c r="F10" s="202">
        <v>6</v>
      </c>
      <c r="G10" s="91">
        <v>1</v>
      </c>
      <c r="H10" s="91">
        <v>2</v>
      </c>
      <c r="I10" s="84">
        <v>3</v>
      </c>
      <c r="J10" s="84">
        <v>4</v>
      </c>
      <c r="K10" s="84">
        <v>5</v>
      </c>
      <c r="L10" s="92">
        <v>6</v>
      </c>
    </row>
    <row r="11" spans="1:12" ht="18" customHeight="1">
      <c r="A11" s="101" t="s">
        <v>378</v>
      </c>
      <c r="B11" s="96"/>
      <c r="C11" s="416">
        <f>SUM(C12:C25)</f>
        <v>744327285</v>
      </c>
      <c r="D11" s="416">
        <f>SUM(D12:D25)</f>
        <v>722560220</v>
      </c>
      <c r="E11" s="168">
        <f>IF(ISERROR(D11/C11)," ",(D11/C11))*100</f>
        <v>97.07560565914227</v>
      </c>
      <c r="F11" s="416">
        <f>SUM(F12:F25)</f>
        <v>6419970</v>
      </c>
      <c r="G11" s="101" t="s">
        <v>378</v>
      </c>
      <c r="H11" s="96"/>
      <c r="I11" s="223">
        <f>SUM(I12:I25)</f>
        <v>744327</v>
      </c>
      <c r="J11" s="223">
        <f>SUM(J12:J25)</f>
        <v>722560</v>
      </c>
      <c r="K11" s="417">
        <f>IF(ISERROR(J11/I11)," ",(J11/I11))*100</f>
        <v>97.07561327212368</v>
      </c>
      <c r="L11" s="223">
        <f>SUM(L12:L25)</f>
        <v>6420</v>
      </c>
    </row>
    <row r="12" spans="1:12" ht="18" customHeight="1">
      <c r="A12" s="252" t="s">
        <v>524</v>
      </c>
      <c r="B12" s="405">
        <v>1</v>
      </c>
      <c r="C12" s="418">
        <v>194829</v>
      </c>
      <c r="D12" s="418">
        <f>'[6]Decembris'!$Q$7</f>
        <v>183300</v>
      </c>
      <c r="E12" s="168">
        <f aca="true" t="shared" si="0" ref="E12:E24">IF(ISERROR(D12/C12)," ",(D12/C12))*100</f>
        <v>94.08250311811896</v>
      </c>
      <c r="F12" s="404">
        <v>517901</v>
      </c>
      <c r="G12" s="252" t="s">
        <v>524</v>
      </c>
      <c r="H12" s="405">
        <v>1</v>
      </c>
      <c r="I12" s="258">
        <f aca="true" t="shared" si="1" ref="I12:J23">ROUND(C12/1000,0)</f>
        <v>195</v>
      </c>
      <c r="J12" s="419">
        <f t="shared" si="1"/>
        <v>183</v>
      </c>
      <c r="K12" s="417">
        <f aca="true" t="shared" si="2" ref="K12:K24">IF(ISERROR(J12/I12)," ",(J12/I12))*100</f>
        <v>93.84615384615384</v>
      </c>
      <c r="L12" s="419">
        <f>ROUND(F12/1000,0)</f>
        <v>518</v>
      </c>
    </row>
    <row r="13" spans="1:12" ht="18.75" customHeight="1">
      <c r="A13" s="54" t="s">
        <v>525</v>
      </c>
      <c r="B13" s="405">
        <v>2</v>
      </c>
      <c r="C13" s="418"/>
      <c r="D13" s="418"/>
      <c r="E13" s="168"/>
      <c r="F13" s="404">
        <v>151009</v>
      </c>
      <c r="G13" s="54" t="s">
        <v>525</v>
      </c>
      <c r="H13" s="405">
        <v>2</v>
      </c>
      <c r="I13" s="258">
        <f t="shared" si="1"/>
        <v>0</v>
      </c>
      <c r="J13" s="419">
        <f t="shared" si="1"/>
        <v>0</v>
      </c>
      <c r="K13" s="417"/>
      <c r="L13" s="419">
        <f>ROUND(F13/1000,0)</f>
        <v>151</v>
      </c>
    </row>
    <row r="14" spans="1:12" ht="25.5" customHeight="1">
      <c r="A14" s="54" t="s">
        <v>526</v>
      </c>
      <c r="B14" s="405">
        <v>3</v>
      </c>
      <c r="C14" s="418"/>
      <c r="D14" s="418"/>
      <c r="E14" s="168"/>
      <c r="F14" s="404">
        <f>355552</f>
        <v>355552</v>
      </c>
      <c r="G14" s="62" t="s">
        <v>526</v>
      </c>
      <c r="H14" s="405">
        <v>3</v>
      </c>
      <c r="I14" s="258">
        <f t="shared" si="1"/>
        <v>0</v>
      </c>
      <c r="J14" s="419">
        <f t="shared" si="1"/>
        <v>0</v>
      </c>
      <c r="K14" s="417"/>
      <c r="L14" s="419">
        <f>ROUND(F14/1000,0)</f>
        <v>356</v>
      </c>
    </row>
    <row r="15" spans="1:12" ht="16.5" customHeight="1">
      <c r="A15" s="54" t="s">
        <v>551</v>
      </c>
      <c r="B15" s="405">
        <v>4</v>
      </c>
      <c r="C15" s="418">
        <v>7645484</v>
      </c>
      <c r="D15" s="418">
        <f>'[6]Decembris'!$P$7+'[8]Decembris'!$D$39</f>
        <v>5991234</v>
      </c>
      <c r="E15" s="168">
        <f t="shared" si="0"/>
        <v>78.36304411859341</v>
      </c>
      <c r="F15" s="404">
        <f>1315574</f>
        <v>1315574</v>
      </c>
      <c r="G15" s="54" t="s">
        <v>552</v>
      </c>
      <c r="H15" s="405">
        <v>4</v>
      </c>
      <c r="I15" s="258">
        <f>ROUND(C15/1000,0)+1</f>
        <v>7646</v>
      </c>
      <c r="J15" s="419">
        <f t="shared" si="1"/>
        <v>5991</v>
      </c>
      <c r="K15" s="417">
        <f t="shared" si="2"/>
        <v>78.3546952654983</v>
      </c>
      <c r="L15" s="419">
        <f>ROUND(F15/1000,0)</f>
        <v>1316</v>
      </c>
    </row>
    <row r="16" spans="1:12" ht="18.75" customHeight="1">
      <c r="A16" s="54" t="s">
        <v>528</v>
      </c>
      <c r="B16" s="405">
        <v>5</v>
      </c>
      <c r="C16" s="418">
        <v>135564665</v>
      </c>
      <c r="D16" s="418">
        <f>'[6]Decembris'!$D$7</f>
        <v>133568460</v>
      </c>
      <c r="E16" s="168">
        <f t="shared" si="0"/>
        <v>98.52748870806415</v>
      </c>
      <c r="F16" s="404">
        <v>1175446</v>
      </c>
      <c r="G16" s="54" t="s">
        <v>528</v>
      </c>
      <c r="H16" s="405">
        <v>5</v>
      </c>
      <c r="I16" s="258">
        <f aca="true" t="shared" si="3" ref="I16:I22">ROUND(C16/1000,0)</f>
        <v>135565</v>
      </c>
      <c r="J16" s="419">
        <f t="shared" si="1"/>
        <v>133568</v>
      </c>
      <c r="K16" s="417">
        <f t="shared" si="2"/>
        <v>98.52690591229299</v>
      </c>
      <c r="L16" s="419">
        <f aca="true" t="shared" si="4" ref="L16:L22">ROUND(F16/1000,0)</f>
        <v>1175</v>
      </c>
    </row>
    <row r="17" spans="1:12" ht="27" customHeight="1">
      <c r="A17" s="54" t="s">
        <v>529</v>
      </c>
      <c r="B17" s="405">
        <v>6</v>
      </c>
      <c r="C17" s="418">
        <v>518721421</v>
      </c>
      <c r="D17" s="418">
        <f>'[6]Decembris'!$C$7</f>
        <v>503755203</v>
      </c>
      <c r="E17" s="168">
        <f t="shared" si="0"/>
        <v>97.11478697541584</v>
      </c>
      <c r="F17" s="404">
        <v>41012</v>
      </c>
      <c r="G17" s="62" t="s">
        <v>529</v>
      </c>
      <c r="H17" s="405">
        <v>6</v>
      </c>
      <c r="I17" s="258">
        <f t="shared" si="3"/>
        <v>518721</v>
      </c>
      <c r="J17" s="419">
        <f t="shared" si="1"/>
        <v>503755</v>
      </c>
      <c r="K17" s="417">
        <f t="shared" si="2"/>
        <v>97.1148266601892</v>
      </c>
      <c r="L17" s="419">
        <f>ROUND(F17/1000,0)</f>
        <v>41</v>
      </c>
    </row>
    <row r="18" spans="1:12" ht="24" customHeight="1">
      <c r="A18" s="62" t="s">
        <v>530</v>
      </c>
      <c r="B18" s="405">
        <v>7</v>
      </c>
      <c r="C18" s="418">
        <v>10106105</v>
      </c>
      <c r="D18" s="418">
        <f>'[6]Decembris'!$E$7+'[6]Decembris'!$F$7</f>
        <v>10087813</v>
      </c>
      <c r="E18" s="168">
        <f t="shared" si="0"/>
        <v>99.8190004952452</v>
      </c>
      <c r="F18" s="404">
        <v>121015</v>
      </c>
      <c r="G18" s="62" t="s">
        <v>530</v>
      </c>
      <c r="H18" s="405">
        <v>7</v>
      </c>
      <c r="I18" s="258">
        <f t="shared" si="3"/>
        <v>10106</v>
      </c>
      <c r="J18" s="419">
        <f t="shared" si="1"/>
        <v>10088</v>
      </c>
      <c r="K18" s="417">
        <f t="shared" si="2"/>
        <v>99.82188798733425</v>
      </c>
      <c r="L18" s="419">
        <f>ROUND(F18/1000,0)</f>
        <v>121</v>
      </c>
    </row>
    <row r="19" spans="1:12" ht="15.75" customHeight="1">
      <c r="A19" s="54" t="s">
        <v>531</v>
      </c>
      <c r="B19" s="405">
        <v>8</v>
      </c>
      <c r="C19" s="418">
        <v>4930621</v>
      </c>
      <c r="D19" s="418">
        <f>'[6]Decembris'!$R$7+'[6]Decembris'!$O$7</f>
        <v>4617962</v>
      </c>
      <c r="E19" s="168">
        <f t="shared" si="0"/>
        <v>93.65883121010518</v>
      </c>
      <c r="F19" s="404">
        <v>803947</v>
      </c>
      <c r="G19" s="54" t="s">
        <v>531</v>
      </c>
      <c r="H19" s="405">
        <v>8</v>
      </c>
      <c r="I19" s="258">
        <f t="shared" si="3"/>
        <v>4931</v>
      </c>
      <c r="J19" s="419">
        <f t="shared" si="1"/>
        <v>4618</v>
      </c>
      <c r="K19" s="417">
        <f t="shared" si="2"/>
        <v>93.65240316365848</v>
      </c>
      <c r="L19" s="419">
        <f t="shared" si="4"/>
        <v>804</v>
      </c>
    </row>
    <row r="20" spans="1:12" ht="20.25" customHeight="1">
      <c r="A20" s="54" t="s">
        <v>532</v>
      </c>
      <c r="B20" s="405">
        <v>9</v>
      </c>
      <c r="C20" s="418"/>
      <c r="D20" s="418"/>
      <c r="E20" s="168"/>
      <c r="G20" s="54" t="s">
        <v>532</v>
      </c>
      <c r="H20" s="405">
        <v>9</v>
      </c>
      <c r="I20" s="258">
        <f t="shared" si="3"/>
        <v>0</v>
      </c>
      <c r="J20" s="419">
        <f t="shared" si="1"/>
        <v>0</v>
      </c>
      <c r="K20" s="417"/>
      <c r="L20" s="419">
        <f t="shared" si="4"/>
        <v>0</v>
      </c>
    </row>
    <row r="21" spans="1:12" ht="24.75" customHeight="1">
      <c r="A21" s="62" t="s">
        <v>533</v>
      </c>
      <c r="B21" s="405">
        <v>10</v>
      </c>
      <c r="C21" s="418">
        <v>550000</v>
      </c>
      <c r="D21" s="418">
        <f>'[6]Decembris'!$M$7</f>
        <v>544249</v>
      </c>
      <c r="E21" s="168">
        <f t="shared" si="0"/>
        <v>98.95436363636364</v>
      </c>
      <c r="F21" s="404">
        <v>96203</v>
      </c>
      <c r="G21" s="62" t="s">
        <v>533</v>
      </c>
      <c r="H21" s="405">
        <v>10</v>
      </c>
      <c r="I21" s="258">
        <f t="shared" si="3"/>
        <v>550</v>
      </c>
      <c r="J21" s="419">
        <f t="shared" si="1"/>
        <v>544</v>
      </c>
      <c r="K21" s="417">
        <f t="shared" si="2"/>
        <v>98.9090909090909</v>
      </c>
      <c r="L21" s="419">
        <f t="shared" si="4"/>
        <v>96</v>
      </c>
    </row>
    <row r="22" spans="1:12" ht="27.75" customHeight="1">
      <c r="A22" s="62" t="s">
        <v>534</v>
      </c>
      <c r="B22" s="405">
        <v>11</v>
      </c>
      <c r="C22" s="418"/>
      <c r="D22" s="418"/>
      <c r="E22" s="168"/>
      <c r="G22" s="62" t="s">
        <v>534</v>
      </c>
      <c r="H22" s="405">
        <v>11</v>
      </c>
      <c r="I22" s="258">
        <f t="shared" si="3"/>
        <v>0</v>
      </c>
      <c r="J22" s="419">
        <f t="shared" si="1"/>
        <v>0</v>
      </c>
      <c r="K22" s="417"/>
      <c r="L22" s="419">
        <f t="shared" si="4"/>
        <v>0</v>
      </c>
    </row>
    <row r="23" spans="1:12" ht="18" customHeight="1">
      <c r="A23" s="54" t="s">
        <v>535</v>
      </c>
      <c r="B23" s="405">
        <v>12</v>
      </c>
      <c r="C23" s="418">
        <v>63456618</v>
      </c>
      <c r="D23" s="418">
        <f>'[6]Decembris'!$G$7+'[6]Decembris'!$H$7+'[6]Decembris'!$J$7</f>
        <v>61054588</v>
      </c>
      <c r="E23" s="168">
        <f t="shared" si="0"/>
        <v>96.21468953797695</v>
      </c>
      <c r="F23" s="404">
        <v>47246</v>
      </c>
      <c r="G23" s="54" t="s">
        <v>535</v>
      </c>
      <c r="H23" s="405">
        <v>12</v>
      </c>
      <c r="I23" s="258">
        <f>ROUND(C23/1000,0)-1</f>
        <v>63456</v>
      </c>
      <c r="J23" s="419">
        <f t="shared" si="1"/>
        <v>61055</v>
      </c>
      <c r="K23" s="417">
        <f t="shared" si="2"/>
        <v>96.21627584467977</v>
      </c>
      <c r="L23" s="419">
        <f>ROUND(F23/1000,0)</f>
        <v>47</v>
      </c>
    </row>
    <row r="24" spans="1:12" ht="18.75" customHeight="1">
      <c r="A24" s="54" t="s">
        <v>536</v>
      </c>
      <c r="B24" s="405">
        <v>13</v>
      </c>
      <c r="C24" s="418">
        <v>3157542</v>
      </c>
      <c r="D24" s="418">
        <f>'[6]Decembris'!$X$7+'[6]Decembris'!$Y$7+'[6]Decembris'!$L$7+8</f>
        <v>2757411</v>
      </c>
      <c r="E24" s="168">
        <f t="shared" si="0"/>
        <v>87.32776951185447</v>
      </c>
      <c r="F24" s="404">
        <f>66718+1728347</f>
        <v>1795065</v>
      </c>
      <c r="G24" s="54" t="s">
        <v>536</v>
      </c>
      <c r="H24" s="405">
        <v>13</v>
      </c>
      <c r="I24" s="258">
        <f>ROUND(C24/1000,0)-1</f>
        <v>3157</v>
      </c>
      <c r="J24" s="419">
        <f>ROUND(D24/1000,0)+1</f>
        <v>2758</v>
      </c>
      <c r="K24" s="417">
        <f t="shared" si="2"/>
        <v>87.36141906873614</v>
      </c>
      <c r="L24" s="419">
        <f>ROUND(F24/1000,0)</f>
        <v>1795</v>
      </c>
    </row>
    <row r="25" spans="1:12" ht="24" customHeight="1">
      <c r="A25" s="62" t="s">
        <v>553</v>
      </c>
      <c r="B25" s="405">
        <v>14</v>
      </c>
      <c r="C25" s="418"/>
      <c r="D25" s="418"/>
      <c r="E25" s="168"/>
      <c r="G25" s="62" t="s">
        <v>553</v>
      </c>
      <c r="H25" s="405">
        <v>14</v>
      </c>
      <c r="I25" s="419">
        <v>0</v>
      </c>
      <c r="J25" s="419">
        <f>ROUND(D25/1000,0)</f>
        <v>0</v>
      </c>
      <c r="K25" s="420" t="s">
        <v>235</v>
      </c>
      <c r="L25" s="419">
        <f>ROUND(F25/1000,0)</f>
        <v>0</v>
      </c>
    </row>
    <row r="26" spans="2:11" ht="12.75">
      <c r="B26" s="83"/>
      <c r="E26" s="412"/>
      <c r="H26" s="83"/>
      <c r="I26" s="182"/>
      <c r="J26" s="182"/>
      <c r="K26" s="412"/>
    </row>
    <row r="27" spans="1:11" ht="12.75">
      <c r="A27" s="75" t="s">
        <v>554</v>
      </c>
      <c r="B27" s="83"/>
      <c r="E27" s="412"/>
      <c r="G27" s="75" t="s">
        <v>554</v>
      </c>
      <c r="H27" s="83"/>
      <c r="I27" s="182"/>
      <c r="J27" s="182"/>
      <c r="K27" s="412"/>
    </row>
    <row r="28" spans="2:11" ht="12.75">
      <c r="B28" s="83"/>
      <c r="E28" s="412"/>
      <c r="H28" s="83"/>
      <c r="I28" s="182"/>
      <c r="J28" s="182"/>
      <c r="K28" s="412"/>
    </row>
    <row r="29" spans="2:11" ht="12.75">
      <c r="B29" s="83"/>
      <c r="E29" s="412"/>
      <c r="H29" s="83"/>
      <c r="I29" s="182"/>
      <c r="J29" s="182"/>
      <c r="K29" s="412"/>
    </row>
    <row r="30" spans="2:11" ht="12.75">
      <c r="B30" s="83"/>
      <c r="E30" s="412"/>
      <c r="H30" s="83"/>
      <c r="I30" s="182"/>
      <c r="J30" s="182"/>
      <c r="K30" s="412"/>
    </row>
    <row r="31" spans="2:11" ht="12.75">
      <c r="B31" s="83"/>
      <c r="E31" s="412"/>
      <c r="H31" s="83"/>
      <c r="I31" s="182"/>
      <c r="J31" s="182"/>
      <c r="K31" s="412"/>
    </row>
    <row r="32" spans="2:11" ht="12.75">
      <c r="B32" s="83"/>
      <c r="E32" s="412"/>
      <c r="J32" s="182"/>
      <c r="K32" s="412"/>
    </row>
    <row r="33" spans="2:11" ht="12.75">
      <c r="B33" s="83"/>
      <c r="E33" s="412"/>
      <c r="H33" s="83"/>
      <c r="I33" s="182"/>
      <c r="J33" s="182"/>
      <c r="K33" s="412"/>
    </row>
    <row r="34" spans="1:11" ht="15.75" customHeight="1">
      <c r="A34" s="75" t="s">
        <v>555</v>
      </c>
      <c r="B34" s="83"/>
      <c r="C34" s="404" t="s">
        <v>541</v>
      </c>
      <c r="E34" s="412"/>
      <c r="H34" s="83"/>
      <c r="I34" s="182"/>
      <c r="J34" s="182"/>
      <c r="K34" s="412"/>
    </row>
    <row r="35" spans="2:11" ht="12.75">
      <c r="B35" s="83"/>
      <c r="E35" s="412"/>
      <c r="H35" s="83"/>
      <c r="I35" s="182"/>
      <c r="J35" s="182"/>
      <c r="K35" s="412"/>
    </row>
    <row r="36" spans="5:11" ht="15.75" customHeight="1">
      <c r="E36" s="412"/>
      <c r="I36" s="182"/>
      <c r="J36" s="182"/>
      <c r="K36" s="412"/>
    </row>
    <row r="37" spans="5:12" ht="12.75">
      <c r="E37" s="412"/>
      <c r="G37" s="75" t="s">
        <v>556</v>
      </c>
      <c r="H37" s="83"/>
      <c r="J37" s="182"/>
      <c r="L37" s="182" t="s">
        <v>541</v>
      </c>
    </row>
    <row r="38" spans="5:11" ht="12.75">
      <c r="E38" s="412"/>
      <c r="I38" s="182"/>
      <c r="J38" s="182"/>
      <c r="K38" s="412"/>
    </row>
    <row r="39" spans="5:11" ht="12.75">
      <c r="E39" s="412"/>
      <c r="I39" s="182"/>
      <c r="J39" s="182"/>
      <c r="K39" s="412"/>
    </row>
    <row r="40" spans="5:11" ht="12.75">
      <c r="E40" s="412"/>
      <c r="I40" s="182"/>
      <c r="J40" s="182"/>
      <c r="K40" s="412"/>
    </row>
    <row r="41" spans="5:11" ht="12.75">
      <c r="E41" s="412"/>
      <c r="I41" s="182"/>
      <c r="J41" s="182"/>
      <c r="K41" s="412"/>
    </row>
    <row r="42" spans="5:11" ht="12.75">
      <c r="E42" s="412"/>
      <c r="I42" s="182"/>
      <c r="J42" s="182"/>
      <c r="K42" s="412"/>
    </row>
    <row r="43" spans="5:11" ht="12.75">
      <c r="E43" s="412"/>
      <c r="I43" s="182"/>
      <c r="J43" s="182"/>
      <c r="K43" s="412"/>
    </row>
    <row r="44" spans="5:11" ht="12.75">
      <c r="E44" s="412"/>
      <c r="I44" s="182"/>
      <c r="J44" s="182"/>
      <c r="K44" s="412"/>
    </row>
    <row r="45" spans="1:11" ht="12.75">
      <c r="A45" s="43"/>
      <c r="E45" s="412"/>
      <c r="I45" s="182"/>
      <c r="J45" s="182"/>
      <c r="K45" s="412"/>
    </row>
    <row r="46" spans="1:11" ht="12.75">
      <c r="A46" s="43"/>
      <c r="E46" s="412"/>
      <c r="I46" s="182"/>
      <c r="J46" s="182"/>
      <c r="K46" s="412"/>
    </row>
    <row r="47" spans="5:11" ht="12.75">
      <c r="E47" s="412"/>
      <c r="I47" s="182"/>
      <c r="J47" s="182"/>
      <c r="K47" s="412"/>
    </row>
    <row r="48" spans="5:11" ht="12.75">
      <c r="E48" s="412"/>
      <c r="G48" s="43"/>
      <c r="I48" s="182"/>
      <c r="J48" s="182"/>
      <c r="K48" s="412"/>
    </row>
    <row r="49" spans="5:11" ht="12.75">
      <c r="E49" s="412"/>
      <c r="G49" s="43"/>
      <c r="I49" s="182"/>
      <c r="J49" s="182"/>
      <c r="K49" s="412"/>
    </row>
    <row r="50" spans="5:11" ht="12.75">
      <c r="E50" s="412"/>
      <c r="I50" s="182"/>
      <c r="J50" s="182"/>
      <c r="K50" s="412"/>
    </row>
    <row r="51" spans="5:11" ht="12.75">
      <c r="E51" s="412"/>
      <c r="I51" s="182"/>
      <c r="J51" s="182"/>
      <c r="K51" s="412"/>
    </row>
    <row r="52" spans="5:11" ht="12.75">
      <c r="E52" s="412"/>
      <c r="I52" s="182"/>
      <c r="J52" s="182"/>
      <c r="K52" s="412"/>
    </row>
    <row r="53" spans="5:11" ht="12.75">
      <c r="E53" s="412"/>
      <c r="I53" s="182"/>
      <c r="J53" s="182"/>
      <c r="K53" s="412"/>
    </row>
    <row r="54" spans="5:11" ht="12.75">
      <c r="E54" s="412"/>
      <c r="I54" s="182"/>
      <c r="K54" s="412"/>
    </row>
    <row r="55" spans="5:11" ht="12.75">
      <c r="E55" s="412"/>
      <c r="I55" s="182"/>
      <c r="K55" s="412"/>
    </row>
    <row r="56" spans="5:11" ht="12.75">
      <c r="E56" s="412"/>
      <c r="I56" s="182"/>
      <c r="K56" s="412"/>
    </row>
    <row r="57" spans="5:11" ht="12.75">
      <c r="E57" s="412"/>
      <c r="I57" s="182"/>
      <c r="K57" s="412"/>
    </row>
    <row r="58" spans="5:11" ht="12.75">
      <c r="E58" s="412"/>
      <c r="I58" s="182"/>
      <c r="K58" s="412"/>
    </row>
    <row r="59" spans="5:11" ht="12.75">
      <c r="E59" s="412"/>
      <c r="I59" s="182"/>
      <c r="K59" s="412"/>
    </row>
    <row r="60" spans="5:11" ht="12.75">
      <c r="E60" s="412"/>
      <c r="I60" s="182"/>
      <c r="K60" s="412"/>
    </row>
    <row r="61" spans="5:11" ht="12.75">
      <c r="E61" s="412"/>
      <c r="I61" s="182"/>
      <c r="K61" s="412"/>
    </row>
    <row r="62" spans="5:11" ht="12.75">
      <c r="E62" s="412"/>
      <c r="I62" s="182"/>
      <c r="K62" s="412"/>
    </row>
    <row r="63" spans="5:11" ht="12.75">
      <c r="E63" s="412"/>
      <c r="I63" s="182"/>
      <c r="K63" s="412"/>
    </row>
    <row r="64" spans="5:11" ht="12.75">
      <c r="E64" s="412"/>
      <c r="I64" s="182"/>
      <c r="K64" s="412"/>
    </row>
    <row r="65" spans="5:11" ht="12.75">
      <c r="E65" s="412"/>
      <c r="I65" s="182"/>
      <c r="K65" s="412"/>
    </row>
    <row r="66" spans="5:11" ht="12.75">
      <c r="E66" s="412"/>
      <c r="I66" s="182"/>
      <c r="K66" s="412"/>
    </row>
    <row r="67" spans="5:11" ht="12.75">
      <c r="E67" s="412"/>
      <c r="I67" s="182"/>
      <c r="K67" s="412"/>
    </row>
    <row r="68" spans="5:11" ht="12.75">
      <c r="E68" s="412"/>
      <c r="I68" s="182"/>
      <c r="K68" s="412"/>
    </row>
    <row r="69" spans="5:11" ht="12.75">
      <c r="E69" s="412"/>
      <c r="I69" s="182"/>
      <c r="K69" s="412"/>
    </row>
    <row r="70" spans="5:11" ht="12.75">
      <c r="E70" s="412"/>
      <c r="I70" s="182"/>
      <c r="K70" s="412"/>
    </row>
    <row r="71" spans="5:11" ht="12.75">
      <c r="E71" s="412"/>
      <c r="I71" s="182"/>
      <c r="K71" s="412"/>
    </row>
    <row r="72" spans="5:11" ht="12.75">
      <c r="E72" s="412"/>
      <c r="I72" s="182"/>
      <c r="K72" s="412"/>
    </row>
    <row r="73" spans="5:11" ht="12.75">
      <c r="E73" s="412"/>
      <c r="I73" s="182"/>
      <c r="K73" s="412"/>
    </row>
    <row r="74" spans="5:11" ht="12.75">
      <c r="E74" s="412"/>
      <c r="I74" s="182"/>
      <c r="K74" s="412"/>
    </row>
    <row r="75" spans="5:11" ht="12.75">
      <c r="E75" s="412"/>
      <c r="I75" s="182"/>
      <c r="K75" s="412"/>
    </row>
    <row r="76" spans="5:11" ht="12.75">
      <c r="E76" s="412"/>
      <c r="I76" s="182"/>
      <c r="K76" s="412"/>
    </row>
    <row r="77" spans="5:11" ht="12.75">
      <c r="E77" s="412"/>
      <c r="I77" s="182"/>
      <c r="K77" s="412"/>
    </row>
    <row r="78" spans="5:11" ht="12.75">
      <c r="E78" s="412"/>
      <c r="I78" s="182"/>
      <c r="K78" s="412"/>
    </row>
    <row r="79" spans="5:11" ht="12.75">
      <c r="E79" s="412"/>
      <c r="I79" s="182"/>
      <c r="K79" s="412"/>
    </row>
    <row r="80" spans="5:11" ht="12.75">
      <c r="E80" s="412"/>
      <c r="I80" s="182"/>
      <c r="K80" s="412"/>
    </row>
    <row r="81" spans="2:10" ht="12.75">
      <c r="B81" s="182"/>
      <c r="H81" s="182"/>
      <c r="J81" s="412"/>
    </row>
    <row r="82" spans="2:10" ht="12.75">
      <c r="B82" s="182"/>
      <c r="H82" s="182"/>
      <c r="J82" s="412"/>
    </row>
    <row r="83" spans="2:10" ht="12.75">
      <c r="B83" s="182"/>
      <c r="H83" s="182"/>
      <c r="J83" s="412"/>
    </row>
    <row r="84" spans="2:10" ht="12.75">
      <c r="B84" s="182"/>
      <c r="H84" s="182"/>
      <c r="J84" s="412"/>
    </row>
    <row r="85" spans="2:10" ht="12.75">
      <c r="B85" s="182"/>
      <c r="H85" s="182"/>
      <c r="J85" s="412"/>
    </row>
    <row r="86" spans="2:10" ht="12.75">
      <c r="B86" s="182"/>
      <c r="H86" s="182"/>
      <c r="J86" s="412"/>
    </row>
    <row r="87" spans="2:10" ht="12.75">
      <c r="B87" s="182"/>
      <c r="H87" s="182"/>
      <c r="J87" s="412"/>
    </row>
    <row r="88" spans="2:10" ht="12.75">
      <c r="B88" s="182"/>
      <c r="H88" s="182"/>
      <c r="J88" s="412"/>
    </row>
    <row r="89" spans="2:10" ht="12.75">
      <c r="B89" s="182"/>
      <c r="H89" s="182"/>
      <c r="J89" s="412"/>
    </row>
    <row r="90" spans="2:10" ht="12.75">
      <c r="B90" s="182"/>
      <c r="H90" s="182"/>
      <c r="J90" s="412"/>
    </row>
    <row r="91" spans="2:10" ht="12.75">
      <c r="B91" s="182"/>
      <c r="H91" s="182"/>
      <c r="J91" s="412"/>
    </row>
    <row r="92" spans="2:10" ht="12.75">
      <c r="B92" s="182"/>
      <c r="H92" s="182"/>
      <c r="J92" s="412"/>
    </row>
    <row r="93" spans="2:10" ht="12.75">
      <c r="B93" s="182"/>
      <c r="H93" s="182"/>
      <c r="J93" s="412"/>
    </row>
    <row r="94" spans="2:10" ht="12.75">
      <c r="B94" s="182"/>
      <c r="H94" s="182"/>
      <c r="J94" s="412"/>
    </row>
    <row r="95" spans="2:10" ht="12.75">
      <c r="B95" s="182"/>
      <c r="H95" s="182"/>
      <c r="J95" s="412"/>
    </row>
    <row r="96" spans="2:10" ht="12.75">
      <c r="B96" s="182"/>
      <c r="H96" s="182"/>
      <c r="J96" s="412"/>
    </row>
    <row r="97" spans="2:10" ht="12.75">
      <c r="B97" s="182"/>
      <c r="H97" s="182"/>
      <c r="J97" s="412"/>
    </row>
    <row r="98" spans="2:10" ht="12.75">
      <c r="B98" s="182"/>
      <c r="H98" s="182"/>
      <c r="J98" s="412"/>
    </row>
    <row r="99" spans="2:10" ht="12.75">
      <c r="B99" s="182"/>
      <c r="H99" s="182"/>
      <c r="J99" s="412"/>
    </row>
    <row r="100" spans="2:10" ht="12.75">
      <c r="B100" s="182"/>
      <c r="H100" s="182"/>
      <c r="J100" s="412"/>
    </row>
    <row r="101" spans="2:8" ht="12.75">
      <c r="B101" s="182"/>
      <c r="H101" s="182"/>
    </row>
    <row r="102" spans="2:8" ht="12.75">
      <c r="B102" s="182"/>
      <c r="H102" s="182"/>
    </row>
    <row r="103" spans="2:8" ht="12.75">
      <c r="B103" s="182"/>
      <c r="H103" s="182"/>
    </row>
    <row r="104" spans="2:8" ht="12.75">
      <c r="B104" s="182"/>
      <c r="H104" s="182"/>
    </row>
    <row r="105" spans="2:8" ht="12.75">
      <c r="B105" s="182"/>
      <c r="H105" s="182"/>
    </row>
    <row r="106" spans="2:8" ht="12.75">
      <c r="B106" s="182"/>
      <c r="H106" s="182"/>
    </row>
    <row r="107" spans="2:8" ht="12.75">
      <c r="B107" s="182"/>
      <c r="H107" s="182"/>
    </row>
    <row r="108" spans="2:8" ht="12.75">
      <c r="B108" s="182"/>
      <c r="H108" s="182"/>
    </row>
    <row r="109" spans="2:8" ht="12.75">
      <c r="B109" s="182"/>
      <c r="H109" s="182"/>
    </row>
  </sheetData>
  <mergeCells count="2">
    <mergeCell ref="G4:L4"/>
    <mergeCell ref="G5:L5"/>
  </mergeCells>
  <printOptions/>
  <pageMargins left="0.75" right="0.22" top="1" bottom="0.16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251"/>
  <sheetViews>
    <sheetView workbookViewId="0" topLeftCell="H91">
      <selection activeCell="H106" sqref="H106"/>
    </sheetView>
  </sheetViews>
  <sheetFormatPr defaultColWidth="9.140625" defaultRowHeight="12.75"/>
  <cols>
    <col min="1" max="1" width="36.00390625" style="43" hidden="1" customWidth="1"/>
    <col min="2" max="3" width="11.421875" style="43" hidden="1" customWidth="1"/>
    <col min="4" max="4" width="10.57421875" style="43" hidden="1" customWidth="1"/>
    <col min="5" max="5" width="6.421875" style="43" hidden="1" customWidth="1"/>
    <col min="6" max="6" width="9.140625" style="43" hidden="1" customWidth="1"/>
    <col min="7" max="7" width="10.140625" style="43" hidden="1" customWidth="1"/>
    <col min="8" max="8" width="33.57421875" style="43" customWidth="1"/>
    <col min="9" max="9" width="10.8515625" style="43" customWidth="1"/>
    <col min="10" max="10" width="10.57421875" style="43" customWidth="1"/>
    <col min="11" max="11" width="8.140625" style="43" customWidth="1"/>
    <col min="12" max="12" width="7.421875" style="43" customWidth="1"/>
    <col min="13" max="13" width="9.57421875" style="43" customWidth="1"/>
    <col min="14" max="14" width="9.7109375" style="43" customWidth="1"/>
    <col min="15" max="104" width="11.421875" style="0" customWidth="1"/>
    <col min="105" max="16384" width="11.421875" style="43" customWidth="1"/>
  </cols>
  <sheetData>
    <row r="1" spans="1:14" ht="17.25" customHeight="1">
      <c r="A1" s="32" t="s">
        <v>239</v>
      </c>
      <c r="B1" s="32"/>
      <c r="C1" s="421"/>
      <c r="D1" s="32"/>
      <c r="E1" s="32"/>
      <c r="F1" s="421"/>
      <c r="G1" s="43" t="s">
        <v>557</v>
      </c>
      <c r="H1" s="32" t="s">
        <v>239</v>
      </c>
      <c r="I1" s="32"/>
      <c r="J1" s="421"/>
      <c r="K1" s="32"/>
      <c r="L1" s="32"/>
      <c r="M1" s="421"/>
      <c r="N1" s="43" t="s">
        <v>558</v>
      </c>
    </row>
    <row r="2" spans="1:14" ht="12.75">
      <c r="A2" s="32"/>
      <c r="B2" s="32"/>
      <c r="C2" s="421"/>
      <c r="D2" s="32"/>
      <c r="E2" s="32"/>
      <c r="F2" s="421"/>
      <c r="G2" s="2"/>
      <c r="H2" s="32"/>
      <c r="I2" s="32"/>
      <c r="J2" s="421"/>
      <c r="K2" s="32"/>
      <c r="L2" s="32"/>
      <c r="M2" s="421"/>
      <c r="N2" s="2"/>
    </row>
    <row r="3" spans="1:14" ht="18.75" customHeight="1">
      <c r="A3" s="164" t="s">
        <v>559</v>
      </c>
      <c r="B3" s="421"/>
      <c r="C3" s="421"/>
      <c r="D3" s="421"/>
      <c r="E3" s="421"/>
      <c r="F3" s="421"/>
      <c r="G3" s="2"/>
      <c r="H3" s="164" t="s">
        <v>559</v>
      </c>
      <c r="I3" s="421"/>
      <c r="J3" s="421"/>
      <c r="K3" s="421"/>
      <c r="L3" s="421"/>
      <c r="M3" s="421"/>
      <c r="N3" s="2"/>
    </row>
    <row r="4" spans="1:14" ht="19.5" customHeight="1">
      <c r="A4" s="164" t="s">
        <v>460</v>
      </c>
      <c r="B4" s="421"/>
      <c r="C4" s="421"/>
      <c r="D4" s="421"/>
      <c r="E4" s="421"/>
      <c r="F4" s="421"/>
      <c r="G4" s="2"/>
      <c r="H4" s="164" t="s">
        <v>460</v>
      </c>
      <c r="I4" s="421"/>
      <c r="J4" s="421"/>
      <c r="K4" s="421"/>
      <c r="L4" s="421"/>
      <c r="M4" s="421"/>
      <c r="N4" s="2"/>
    </row>
    <row r="5" spans="1:14" ht="11.25" customHeight="1">
      <c r="A5" s="2"/>
      <c r="B5" s="2"/>
      <c r="C5" s="2"/>
      <c r="D5" s="248"/>
      <c r="E5" s="36"/>
      <c r="F5" s="2"/>
      <c r="G5" s="422" t="s">
        <v>245</v>
      </c>
      <c r="H5" s="2"/>
      <c r="I5" s="2"/>
      <c r="J5" s="2"/>
      <c r="K5" s="248"/>
      <c r="L5" s="36"/>
      <c r="M5" s="2"/>
      <c r="N5" s="3" t="s">
        <v>560</v>
      </c>
    </row>
    <row r="6" spans="1:14" ht="79.5" customHeight="1">
      <c r="A6" s="5" t="s">
        <v>59</v>
      </c>
      <c r="B6" s="5" t="s">
        <v>106</v>
      </c>
      <c r="C6" s="5" t="s">
        <v>246</v>
      </c>
      <c r="D6" s="5" t="s">
        <v>107</v>
      </c>
      <c r="E6" s="5" t="s">
        <v>247</v>
      </c>
      <c r="F6" s="5" t="s">
        <v>248</v>
      </c>
      <c r="G6" s="5" t="s">
        <v>63</v>
      </c>
      <c r="H6" s="5" t="s">
        <v>59</v>
      </c>
      <c r="I6" s="5" t="s">
        <v>106</v>
      </c>
      <c r="J6" s="5" t="s">
        <v>246</v>
      </c>
      <c r="K6" s="5" t="s">
        <v>107</v>
      </c>
      <c r="L6" s="5" t="s">
        <v>247</v>
      </c>
      <c r="M6" s="5" t="s">
        <v>248</v>
      </c>
      <c r="N6" s="5" t="s">
        <v>63</v>
      </c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242">
        <v>7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88">
        <v>7</v>
      </c>
    </row>
    <row r="8" spans="1:104" ht="38.25">
      <c r="A8" s="423" t="s">
        <v>561</v>
      </c>
      <c r="B8" s="424">
        <f>B9+B12</f>
        <v>33831421</v>
      </c>
      <c r="C8" s="424">
        <f>C9+C12</f>
        <v>33800381</v>
      </c>
      <c r="D8" s="424">
        <f>D9+D12</f>
        <v>17977149</v>
      </c>
      <c r="E8" s="425">
        <f aca="true" t="shared" si="0" ref="E8:E71">IF(ISERROR(D8/B8)," ",(D8/B8))</f>
        <v>0.5313743398481547</v>
      </c>
      <c r="F8" s="425">
        <f aca="true" t="shared" si="1" ref="F8:F80">IF(ISERROR(D8/C8)," ",(D8/C8))</f>
        <v>0.5318623183567073</v>
      </c>
      <c r="G8" s="424">
        <f>D8-'[10]Novembris'!D8</f>
        <v>5569600</v>
      </c>
      <c r="H8" s="423" t="s">
        <v>561</v>
      </c>
      <c r="I8" s="173">
        <f>I9+I12</f>
        <v>33831</v>
      </c>
      <c r="J8" s="173">
        <f>J9+J12</f>
        <v>33800</v>
      </c>
      <c r="K8" s="173">
        <f>SUM(K15,K18,K23,K26,K32,K39,K46,K52,K59,K65,K72,K79,K86,K91)</f>
        <v>17977</v>
      </c>
      <c r="L8" s="168">
        <f>IF(ISERROR(ROUND(K8,0)/ROUND(I8,0))," ",(ROUND(K8,)/ROUND(I8,)))*100</f>
        <v>53.137654813632466</v>
      </c>
      <c r="M8" s="168">
        <f>IF(ISERROR(ROUND(K8,0)/ROUND(J8,0))," ",(ROUND(K8,)/ROUND(J8,)))*100</f>
        <v>53.18639053254438</v>
      </c>
      <c r="N8" s="173">
        <f>K8-'[10]Novembris'!K8</f>
        <v>5569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</row>
    <row r="9" spans="1:104" s="427" customFormat="1" ht="15" customHeight="1">
      <c r="A9" s="426" t="s">
        <v>467</v>
      </c>
      <c r="B9" s="424">
        <f>SUM(B10:B11)</f>
        <v>29886194</v>
      </c>
      <c r="C9" s="424">
        <f>SUM(C10:C11)</f>
        <v>29886194</v>
      </c>
      <c r="D9" s="424">
        <f>SUM(D10:D11)</f>
        <v>14167425</v>
      </c>
      <c r="E9" s="425">
        <f t="shared" si="0"/>
        <v>0.47404580857636136</v>
      </c>
      <c r="F9" s="425">
        <f t="shared" si="1"/>
        <v>0.47404580857636136</v>
      </c>
      <c r="G9" s="424">
        <f>D9-'[10]Novembris'!D9</f>
        <v>4543422</v>
      </c>
      <c r="H9" s="426" t="s">
        <v>467</v>
      </c>
      <c r="I9" s="424">
        <f>SUM(I10:I11)</f>
        <v>29886</v>
      </c>
      <c r="J9" s="424">
        <f>SUM(J10:J11)</f>
        <v>29886</v>
      </c>
      <c r="K9" s="424">
        <f>SUM(K10:K11)</f>
        <v>14167</v>
      </c>
      <c r="L9" s="168">
        <f>IF(ISERROR(ROUND(K9,0)/ROUND(I9,0))," ",(ROUND(K9,)/ROUND(I9,)))*100</f>
        <v>47.40346650605635</v>
      </c>
      <c r="M9" s="168">
        <f aca="true" t="shared" si="2" ref="M9:M80">IF(ISERROR(ROUND(K9,0)/ROUND(J9,0))," ",(ROUND(K9,)/ROUND(J9,)))*100</f>
        <v>47.40346650605635</v>
      </c>
      <c r="N9" s="424">
        <f>K9-'[10]Novembris'!K9</f>
        <v>4543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</row>
    <row r="10" spans="1:104" s="176" customFormat="1" ht="13.5" customHeight="1">
      <c r="A10" s="217" t="s">
        <v>258</v>
      </c>
      <c r="B10" s="7">
        <f>SUM(B17,B20,B25,B28,B34,B41,B48,B54,B61,B67,B74,B81,B88,B93)</f>
        <v>17598599</v>
      </c>
      <c r="C10" s="7">
        <f>SUM(C17,C20,C25,C28,C34,C41,C48,C54,C61,C67,C74,C81,C88,C93)</f>
        <v>17598599</v>
      </c>
      <c r="D10" s="7">
        <f>SUM(D17,D20,D25,D28,D34,D41,D48,D54,D61,D67,D74,D81,D88,D93)</f>
        <v>7368439</v>
      </c>
      <c r="E10" s="428">
        <f t="shared" si="0"/>
        <v>0.4186946358627752</v>
      </c>
      <c r="F10" s="428">
        <f t="shared" si="1"/>
        <v>0.4186946358627752</v>
      </c>
      <c r="G10" s="424">
        <f>D10-'[10]Novembris'!D10</f>
        <v>673863</v>
      </c>
      <c r="H10" s="217" t="s">
        <v>258</v>
      </c>
      <c r="I10" s="429">
        <f>SUM(I17,I20,I25,I28,I34,I41,I48,I54,I61,I67,I74,I81,I88,I93)</f>
        <v>17599</v>
      </c>
      <c r="J10" s="429">
        <f>SUM(J17,J20,J25,J28,J34,J41,J48,J54,J61,J67,J74,J81,J88,J93)</f>
        <v>17599</v>
      </c>
      <c r="K10" s="429">
        <f>SUM(K17,K20,K25,K28,K34,K41,K48,K54,K61,K67,K74,K81,K88,K93)</f>
        <v>7368</v>
      </c>
      <c r="L10" s="52">
        <f aca="true" t="shared" si="3" ref="L10:L73">IF(ISERROR(ROUND(K10,0)/ROUND(I10,0))," ",(ROUND(K10,)/ROUND(I10,)))*100</f>
        <v>41.86601511449514</v>
      </c>
      <c r="M10" s="52">
        <f t="shared" si="2"/>
        <v>41.86601511449514</v>
      </c>
      <c r="N10" s="429">
        <f>K10-'[10]Novembris'!K10</f>
        <v>675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</row>
    <row r="11" spans="1:104" s="176" customFormat="1" ht="14.25" customHeight="1">
      <c r="A11" s="217" t="s">
        <v>259</v>
      </c>
      <c r="B11" s="7">
        <f>SUM(B29,B35,B42,B49,B55,B62,B68,B75,B82,)</f>
        <v>12287595</v>
      </c>
      <c r="C11" s="7">
        <f>SUM(C29,C35,C42,C49,C55,C62,C68,C75,C82,)</f>
        <v>12287595</v>
      </c>
      <c r="D11" s="7">
        <f>SUM(D29,D35,D42,D49,D55,D62,D68,D75,D82,)</f>
        <v>6798986</v>
      </c>
      <c r="E11" s="428">
        <f t="shared" si="0"/>
        <v>0.5533211340380277</v>
      </c>
      <c r="F11" s="428">
        <f t="shared" si="1"/>
        <v>0.5533211340380277</v>
      </c>
      <c r="G11" s="424">
        <f>D11-'[10]Novembris'!D11</f>
        <v>3869559</v>
      </c>
      <c r="H11" s="217" t="s">
        <v>259</v>
      </c>
      <c r="I11" s="429">
        <f>SUM(I29,I35,I42,I49,I55,I62,I68,I75,I82,)</f>
        <v>12287</v>
      </c>
      <c r="J11" s="429">
        <f>SUM(J29,J35,J42,J55,J49,J62,J68,J75,J82,)</f>
        <v>12287</v>
      </c>
      <c r="K11" s="429">
        <f>SUM(K29,K35,K42,K49,K55,K62,K68,K75,K82,)</f>
        <v>6799</v>
      </c>
      <c r="L11" s="52">
        <f t="shared" si="3"/>
        <v>55.33490681207781</v>
      </c>
      <c r="M11" s="52">
        <f t="shared" si="2"/>
        <v>55.33490681207781</v>
      </c>
      <c r="N11" s="429">
        <f>K11-'[10]Novembris'!K11</f>
        <v>3868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</row>
    <row r="12" spans="1:104" s="54" customFormat="1" ht="14.25" customHeight="1">
      <c r="A12" s="426" t="s">
        <v>562</v>
      </c>
      <c r="B12" s="424">
        <f>SUM(B13:B14)</f>
        <v>3945227</v>
      </c>
      <c r="C12" s="424">
        <f>SUM(C13:C14)</f>
        <v>3914187</v>
      </c>
      <c r="D12" s="424">
        <f>SUM(D13:D14)</f>
        <v>3809724</v>
      </c>
      <c r="E12" s="425">
        <f t="shared" si="0"/>
        <v>0.9656539408252047</v>
      </c>
      <c r="F12" s="428">
        <f t="shared" si="1"/>
        <v>0.9733116992111005</v>
      </c>
      <c r="G12" s="424">
        <f>D12-'[10]Novembris'!D12</f>
        <v>1026178</v>
      </c>
      <c r="H12" s="426" t="s">
        <v>562</v>
      </c>
      <c r="I12" s="173">
        <f>SUM(I13:I14)</f>
        <v>3945</v>
      </c>
      <c r="J12" s="173">
        <f>SUM(J13:J14)</f>
        <v>3914</v>
      </c>
      <c r="K12" s="173">
        <f>SUM(K13:K14)</f>
        <v>3810</v>
      </c>
      <c r="L12" s="168">
        <f t="shared" si="3"/>
        <v>96.57794676806084</v>
      </c>
      <c r="M12" s="168">
        <f t="shared" si="2"/>
        <v>97.34287174246296</v>
      </c>
      <c r="N12" s="173">
        <f>K12-'[10]Novembris'!K12</f>
        <v>1026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</row>
    <row r="13" spans="1:104" s="176" customFormat="1" ht="13.5" customHeight="1">
      <c r="A13" s="217" t="s">
        <v>258</v>
      </c>
      <c r="B13" s="7">
        <f>B22+B31+B37+B44+B51+B57+B70+B77+B84+B90</f>
        <v>2205557</v>
      </c>
      <c r="C13" s="7">
        <f>C22+C31+C37+C44+C51+C57+C70+C77+C84+C90</f>
        <v>2174517</v>
      </c>
      <c r="D13" s="7">
        <f>D22+D31+D37+D44+D51+D57+D70+D77+D84+D90</f>
        <v>2070101</v>
      </c>
      <c r="E13" s="428">
        <f t="shared" si="0"/>
        <v>0.9385842215821218</v>
      </c>
      <c r="F13" s="428">
        <f t="shared" si="1"/>
        <v>0.9519819803662146</v>
      </c>
      <c r="G13" s="424">
        <f>D13-'[10]Novembris'!D13</f>
        <v>365065</v>
      </c>
      <c r="H13" s="217" t="s">
        <v>258</v>
      </c>
      <c r="I13" s="429">
        <f>I22+I31+I37+I44+I51+I57+I70+I77+I84+I90</f>
        <v>2205</v>
      </c>
      <c r="J13" s="429">
        <f>J22+J31+J37+J44+J51+J57+J70+J77+J84+J90</f>
        <v>2174</v>
      </c>
      <c r="K13" s="429">
        <f>K22+K31+K37+K44+K51+K57+K70+K77+K84+K90</f>
        <v>2070</v>
      </c>
      <c r="L13" s="52">
        <f t="shared" si="3"/>
        <v>93.87755102040816</v>
      </c>
      <c r="M13" s="52">
        <f t="shared" si="2"/>
        <v>95.2161913523459</v>
      </c>
      <c r="N13" s="429">
        <f>K13-'[10]Novembris'!K13</f>
        <v>365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</row>
    <row r="14" spans="1:104" s="176" customFormat="1" ht="14.25" customHeight="1">
      <c r="A14" s="217" t="s">
        <v>259</v>
      </c>
      <c r="B14" s="7">
        <f>B38+B45+B58+B64+B71+B78+B85</f>
        <v>1739670</v>
      </c>
      <c r="C14" s="7">
        <f>C38+C45+C58+C64+C71+C78+C85</f>
        <v>1739670</v>
      </c>
      <c r="D14" s="7">
        <f>D38+D45+D58+D64+D71+D78+D85</f>
        <v>1739623</v>
      </c>
      <c r="E14" s="428">
        <f t="shared" si="0"/>
        <v>0.9999729833819058</v>
      </c>
      <c r="F14" s="428">
        <f t="shared" si="1"/>
        <v>0.9999729833819058</v>
      </c>
      <c r="G14" s="424">
        <f>D14-'[10]Novembris'!D14</f>
        <v>661113</v>
      </c>
      <c r="H14" s="217" t="s">
        <v>259</v>
      </c>
      <c r="I14" s="430">
        <f>I38+I45+I58+I64+I71+I78+I85</f>
        <v>1740</v>
      </c>
      <c r="J14" s="430">
        <f>J38+J45+J58+J64+J71+J78+J85</f>
        <v>1740</v>
      </c>
      <c r="K14" s="430">
        <f>K38+K45+K58+K64+K71+K78+K85</f>
        <v>1740</v>
      </c>
      <c r="L14" s="52">
        <f t="shared" si="3"/>
        <v>100</v>
      </c>
      <c r="M14" s="52">
        <f t="shared" si="2"/>
        <v>100</v>
      </c>
      <c r="N14" s="430">
        <f>K14-'[10]Novembris'!K14</f>
        <v>661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</row>
    <row r="15" spans="1:104" s="60" customFormat="1" ht="13.5" customHeight="1">
      <c r="A15" s="67" t="s">
        <v>264</v>
      </c>
      <c r="B15" s="429">
        <f aca="true" t="shared" si="4" ref="B15:D16">B16</f>
        <v>157204</v>
      </c>
      <c r="C15" s="429">
        <f t="shared" si="4"/>
        <v>157204</v>
      </c>
      <c r="D15" s="429">
        <f t="shared" si="4"/>
        <v>126804</v>
      </c>
      <c r="E15" s="428">
        <f t="shared" si="0"/>
        <v>0.8066206966743849</v>
      </c>
      <c r="F15" s="428">
        <f t="shared" si="1"/>
        <v>0.8066206966743849</v>
      </c>
      <c r="G15" s="424">
        <f>D15-'[10]Novembris'!D15</f>
        <v>0</v>
      </c>
      <c r="H15" s="67" t="s">
        <v>264</v>
      </c>
      <c r="I15" s="429">
        <f aca="true" t="shared" si="5" ref="I15:K16">I16</f>
        <v>157</v>
      </c>
      <c r="J15" s="429">
        <f t="shared" si="5"/>
        <v>157</v>
      </c>
      <c r="K15" s="429">
        <f t="shared" si="5"/>
        <v>127</v>
      </c>
      <c r="L15" s="52">
        <f t="shared" si="3"/>
        <v>80.89171974522293</v>
      </c>
      <c r="M15" s="52">
        <f t="shared" si="2"/>
        <v>80.89171974522293</v>
      </c>
      <c r="N15" s="429">
        <f>K15-'[10]Novembris'!K15</f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176" customFormat="1" ht="12.75">
      <c r="A16" s="431" t="s">
        <v>563</v>
      </c>
      <c r="B16" s="432">
        <f t="shared" si="4"/>
        <v>157204</v>
      </c>
      <c r="C16" s="432">
        <f t="shared" si="4"/>
        <v>157204</v>
      </c>
      <c r="D16" s="432">
        <f t="shared" si="4"/>
        <v>126804</v>
      </c>
      <c r="E16" s="428">
        <f t="shared" si="0"/>
        <v>0.8066206966743849</v>
      </c>
      <c r="F16" s="428">
        <f t="shared" si="1"/>
        <v>0.8066206966743849</v>
      </c>
      <c r="G16" s="424">
        <f>D16-'[10]Novembris'!D16</f>
        <v>0</v>
      </c>
      <c r="H16" s="431" t="s">
        <v>563</v>
      </c>
      <c r="I16" s="432">
        <f t="shared" si="5"/>
        <v>157</v>
      </c>
      <c r="J16" s="432">
        <f t="shared" si="5"/>
        <v>157</v>
      </c>
      <c r="K16" s="432">
        <f t="shared" si="5"/>
        <v>127</v>
      </c>
      <c r="L16" s="433">
        <f t="shared" si="3"/>
        <v>80.89171974522293</v>
      </c>
      <c r="M16" s="433">
        <f t="shared" si="2"/>
        <v>80.89171974522293</v>
      </c>
      <c r="N16" s="432">
        <f>K16-'[10]Novembris'!K16</f>
        <v>0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</row>
    <row r="17" spans="1:104" s="54" customFormat="1" ht="12.75">
      <c r="A17" s="434" t="s">
        <v>258</v>
      </c>
      <c r="B17" s="126">
        <v>157204</v>
      </c>
      <c r="C17" s="126">
        <v>157204</v>
      </c>
      <c r="D17" s="126">
        <v>126804</v>
      </c>
      <c r="E17" s="428">
        <f t="shared" si="0"/>
        <v>0.8066206966743849</v>
      </c>
      <c r="F17" s="428">
        <f t="shared" si="1"/>
        <v>0.8066206966743849</v>
      </c>
      <c r="G17" s="424">
        <f>D17-'[10]Novembris'!D17</f>
        <v>0</v>
      </c>
      <c r="H17" s="434" t="s">
        <v>258</v>
      </c>
      <c r="I17" s="126">
        <f>ROUND(B17/1000,0)</f>
        <v>157</v>
      </c>
      <c r="J17" s="126">
        <f>ROUND(C17/1000,0)</f>
        <v>157</v>
      </c>
      <c r="K17" s="126">
        <f>ROUND(D17/1000,0)</f>
        <v>127</v>
      </c>
      <c r="L17" s="72">
        <f t="shared" si="3"/>
        <v>80.89171974522293</v>
      </c>
      <c r="M17" s="72">
        <f t="shared" si="2"/>
        <v>80.89171974522293</v>
      </c>
      <c r="N17" s="126">
        <f>K17-'[10]Novembris'!K17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0" customFormat="1" ht="13.5" customHeight="1">
      <c r="A18" s="67" t="s">
        <v>265</v>
      </c>
      <c r="B18" s="429">
        <f>B19+B21</f>
        <v>801656</v>
      </c>
      <c r="C18" s="429">
        <f>C19+C21</f>
        <v>801656</v>
      </c>
      <c r="D18" s="429">
        <f>D19+D21</f>
        <v>688027</v>
      </c>
      <c r="E18" s="435">
        <f t="shared" si="0"/>
        <v>0.858257157683595</v>
      </c>
      <c r="F18" s="435">
        <f t="shared" si="1"/>
        <v>0.858257157683595</v>
      </c>
      <c r="G18" s="424">
        <f>D18-'[10]Novembris'!D18</f>
        <v>6558</v>
      </c>
      <c r="H18" s="67" t="s">
        <v>265</v>
      </c>
      <c r="I18" s="429">
        <f>I19+I21</f>
        <v>802</v>
      </c>
      <c r="J18" s="429">
        <f>J19+J21</f>
        <v>802</v>
      </c>
      <c r="K18" s="429">
        <f>K19+K21</f>
        <v>688</v>
      </c>
      <c r="L18" s="52">
        <f t="shared" si="3"/>
        <v>85.785536159601</v>
      </c>
      <c r="M18" s="52">
        <f t="shared" si="2"/>
        <v>85.785536159601</v>
      </c>
      <c r="N18" s="429">
        <f>K18-'[10]Novembris'!K18</f>
        <v>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s="176" customFormat="1" ht="12.75">
      <c r="A19" s="431" t="s">
        <v>563</v>
      </c>
      <c r="B19" s="432">
        <f>B20</f>
        <v>784659</v>
      </c>
      <c r="C19" s="432">
        <f>C20</f>
        <v>784659</v>
      </c>
      <c r="D19" s="432">
        <f>D20</f>
        <v>671030</v>
      </c>
      <c r="E19" s="428">
        <f t="shared" si="0"/>
        <v>0.8551867754017988</v>
      </c>
      <c r="F19" s="428">
        <f t="shared" si="1"/>
        <v>0.8551867754017988</v>
      </c>
      <c r="G19" s="424">
        <f>D19-'[10]Novembris'!D19</f>
        <v>0</v>
      </c>
      <c r="H19" s="431" t="s">
        <v>563</v>
      </c>
      <c r="I19" s="432">
        <f>I20</f>
        <v>785</v>
      </c>
      <c r="J19" s="432">
        <f>J20</f>
        <v>785</v>
      </c>
      <c r="K19" s="432">
        <f>K20</f>
        <v>671</v>
      </c>
      <c r="L19" s="433">
        <f t="shared" si="3"/>
        <v>85.47770700636943</v>
      </c>
      <c r="M19" s="433">
        <f t="shared" si="2"/>
        <v>85.47770700636943</v>
      </c>
      <c r="N19" s="432">
        <f>K19-'[10]Novembris'!K19</f>
        <v>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</row>
    <row r="20" spans="1:104" s="54" customFormat="1" ht="12.75">
      <c r="A20" s="434" t="s">
        <v>258</v>
      </c>
      <c r="B20" s="126">
        <v>784659</v>
      </c>
      <c r="C20" s="126">
        <v>784659</v>
      </c>
      <c r="D20" s="126">
        <v>671030</v>
      </c>
      <c r="E20" s="428">
        <f t="shared" si="0"/>
        <v>0.8551867754017988</v>
      </c>
      <c r="F20" s="428">
        <f t="shared" si="1"/>
        <v>0.8551867754017988</v>
      </c>
      <c r="G20" s="424">
        <f>D20-'[10]Novembris'!D20</f>
        <v>0</v>
      </c>
      <c r="H20" s="434" t="s">
        <v>258</v>
      </c>
      <c r="I20" s="126">
        <f>ROUND(B20/1000,0)</f>
        <v>785</v>
      </c>
      <c r="J20" s="126">
        <f>ROUND(C20/1000,0)</f>
        <v>785</v>
      </c>
      <c r="K20" s="126">
        <f>ROUND(D20/1000,0)</f>
        <v>671</v>
      </c>
      <c r="L20" s="72">
        <f t="shared" si="3"/>
        <v>85.47770700636943</v>
      </c>
      <c r="M20" s="72">
        <f t="shared" si="2"/>
        <v>85.47770700636943</v>
      </c>
      <c r="N20" s="126">
        <f>K20-'[10]Novembris'!K20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176" customFormat="1" ht="12.75">
      <c r="A21" s="431" t="s">
        <v>564</v>
      </c>
      <c r="B21" s="432">
        <f>B22</f>
        <v>16997</v>
      </c>
      <c r="C21" s="432">
        <f>C22</f>
        <v>16997</v>
      </c>
      <c r="D21" s="432">
        <f>D22</f>
        <v>16997</v>
      </c>
      <c r="E21" s="428">
        <f t="shared" si="0"/>
        <v>1</v>
      </c>
      <c r="F21" s="428">
        <f t="shared" si="1"/>
        <v>1</v>
      </c>
      <c r="G21" s="424">
        <f>D21-'[10]Novembris'!D21</f>
        <v>6558</v>
      </c>
      <c r="H21" s="431" t="s">
        <v>564</v>
      </c>
      <c r="I21" s="432">
        <f>I22</f>
        <v>17</v>
      </c>
      <c r="J21" s="432">
        <f>J22</f>
        <v>17</v>
      </c>
      <c r="K21" s="432">
        <f>K22</f>
        <v>17</v>
      </c>
      <c r="L21" s="433">
        <f t="shared" si="3"/>
        <v>100</v>
      </c>
      <c r="M21" s="433">
        <f t="shared" si="2"/>
        <v>100</v>
      </c>
      <c r="N21" s="432">
        <f>K21-'[10]Novembris'!K21</f>
        <v>7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</row>
    <row r="22" spans="1:104" s="54" customFormat="1" ht="12.75">
      <c r="A22" s="434" t="s">
        <v>258</v>
      </c>
      <c r="B22" s="126">
        <v>16997</v>
      </c>
      <c r="C22" s="126">
        <v>16997</v>
      </c>
      <c r="D22" s="126">
        <v>16997</v>
      </c>
      <c r="E22" s="428">
        <f t="shared" si="0"/>
        <v>1</v>
      </c>
      <c r="F22" s="428">
        <f t="shared" si="1"/>
        <v>1</v>
      </c>
      <c r="G22" s="424">
        <f>D22-'[10]Novembris'!D22</f>
        <v>6558</v>
      </c>
      <c r="H22" s="434" t="s">
        <v>258</v>
      </c>
      <c r="I22" s="126">
        <f>ROUND(B22/1000,0)</f>
        <v>17</v>
      </c>
      <c r="J22" s="126">
        <f>ROUND(C22/1000,0)</f>
        <v>17</v>
      </c>
      <c r="K22" s="126">
        <f>ROUND(D22/1000,0)</f>
        <v>17</v>
      </c>
      <c r="L22" s="72">
        <f t="shared" si="3"/>
        <v>100</v>
      </c>
      <c r="M22" s="72">
        <f t="shared" si="2"/>
        <v>100</v>
      </c>
      <c r="N22" s="126">
        <f>K22-'[10]Novembris'!K22</f>
        <v>7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60" customFormat="1" ht="13.5" customHeight="1">
      <c r="A23" s="67" t="s">
        <v>267</v>
      </c>
      <c r="B23" s="429">
        <f aca="true" t="shared" si="6" ref="B23:D24">B24</f>
        <v>83635</v>
      </c>
      <c r="C23" s="429">
        <f t="shared" si="6"/>
        <v>83635</v>
      </c>
      <c r="D23" s="429">
        <f t="shared" si="6"/>
        <v>62914</v>
      </c>
      <c r="E23" s="435">
        <f t="shared" si="0"/>
        <v>0.7522448735577211</v>
      </c>
      <c r="F23" s="428">
        <f t="shared" si="1"/>
        <v>0.7522448735577211</v>
      </c>
      <c r="G23" s="424">
        <f>D23-'[10]Novembris'!D23</f>
        <v>18533</v>
      </c>
      <c r="H23" s="67" t="s">
        <v>267</v>
      </c>
      <c r="I23" s="429">
        <f aca="true" t="shared" si="7" ref="I23:K24">I24</f>
        <v>84</v>
      </c>
      <c r="J23" s="429">
        <f t="shared" si="7"/>
        <v>84</v>
      </c>
      <c r="K23" s="429">
        <f t="shared" si="7"/>
        <v>63</v>
      </c>
      <c r="L23" s="52">
        <f t="shared" si="3"/>
        <v>75</v>
      </c>
      <c r="M23" s="52">
        <f t="shared" si="2"/>
        <v>75</v>
      </c>
      <c r="N23" s="429">
        <f>K23-'[10]Novembris'!K23</f>
        <v>19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s="176" customFormat="1" ht="12.75">
      <c r="A24" s="431" t="s">
        <v>563</v>
      </c>
      <c r="B24" s="432">
        <f t="shared" si="6"/>
        <v>83635</v>
      </c>
      <c r="C24" s="432">
        <f t="shared" si="6"/>
        <v>83635</v>
      </c>
      <c r="D24" s="432">
        <f t="shared" si="6"/>
        <v>62914</v>
      </c>
      <c r="E24" s="428">
        <f t="shared" si="0"/>
        <v>0.7522448735577211</v>
      </c>
      <c r="F24" s="428">
        <f t="shared" si="1"/>
        <v>0.7522448735577211</v>
      </c>
      <c r="G24" s="424">
        <f>D24-'[10]Novembris'!D24</f>
        <v>18533</v>
      </c>
      <c r="H24" s="431" t="s">
        <v>563</v>
      </c>
      <c r="I24" s="432">
        <f t="shared" si="7"/>
        <v>84</v>
      </c>
      <c r="J24" s="432">
        <f t="shared" si="7"/>
        <v>84</v>
      </c>
      <c r="K24" s="432">
        <f t="shared" si="7"/>
        <v>63</v>
      </c>
      <c r="L24" s="433">
        <f t="shared" si="3"/>
        <v>75</v>
      </c>
      <c r="M24" s="433">
        <f t="shared" si="2"/>
        <v>75</v>
      </c>
      <c r="N24" s="432">
        <f>K24-'[10]Novembris'!K24</f>
        <v>19</v>
      </c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</row>
    <row r="25" spans="1:104" s="54" customFormat="1" ht="12.75">
      <c r="A25" s="434" t="s">
        <v>258</v>
      </c>
      <c r="B25" s="126">
        <v>83635</v>
      </c>
      <c r="C25" s="126">
        <v>83635</v>
      </c>
      <c r="D25" s="126">
        <v>62914</v>
      </c>
      <c r="E25" s="428">
        <f t="shared" si="0"/>
        <v>0.7522448735577211</v>
      </c>
      <c r="F25" s="428">
        <f t="shared" si="1"/>
        <v>0.7522448735577211</v>
      </c>
      <c r="G25" s="424">
        <f>D25-'[10]Novembris'!D25</f>
        <v>18533</v>
      </c>
      <c r="H25" s="434" t="s">
        <v>258</v>
      </c>
      <c r="I25" s="126">
        <f>ROUND(B25/1000,0)</f>
        <v>84</v>
      </c>
      <c r="J25" s="126">
        <f>ROUND(C25/1000,0)</f>
        <v>84</v>
      </c>
      <c r="K25" s="126">
        <f>ROUND(D25/1000,0)</f>
        <v>63</v>
      </c>
      <c r="L25" s="72">
        <f t="shared" si="3"/>
        <v>75</v>
      </c>
      <c r="M25" s="72">
        <f t="shared" si="2"/>
        <v>75</v>
      </c>
      <c r="N25" s="126">
        <f>K25-'[10]Novembris'!K25</f>
        <v>19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0" customFormat="1" ht="12.75">
      <c r="A26" s="67" t="s">
        <v>268</v>
      </c>
      <c r="B26" s="429">
        <f>B27+B30</f>
        <v>5070116</v>
      </c>
      <c r="C26" s="429">
        <f>C27+C30</f>
        <v>5070116</v>
      </c>
      <c r="D26" s="429">
        <f>D27+D30</f>
        <v>1522490</v>
      </c>
      <c r="E26" s="435">
        <f t="shared" si="0"/>
        <v>0.3002870151294369</v>
      </c>
      <c r="F26" s="435">
        <f t="shared" si="1"/>
        <v>0.3002870151294369</v>
      </c>
      <c r="G26" s="424">
        <f>D26-'[10]Novembris'!D26</f>
        <v>195519</v>
      </c>
      <c r="H26" s="67" t="s">
        <v>268</v>
      </c>
      <c r="I26" s="429">
        <f>I27+I30</f>
        <v>5070</v>
      </c>
      <c r="J26" s="429">
        <f>J27+J30</f>
        <v>5070</v>
      </c>
      <c r="K26" s="429">
        <f>K27+K30</f>
        <v>1523</v>
      </c>
      <c r="L26" s="52">
        <f t="shared" si="3"/>
        <v>30.039447731755427</v>
      </c>
      <c r="M26" s="52">
        <f t="shared" si="2"/>
        <v>30.039447731755427</v>
      </c>
      <c r="N26" s="429">
        <f>K26-'[10]Novembris'!K26</f>
        <v>196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176" customFormat="1" ht="12.75">
      <c r="A27" s="431" t="s">
        <v>563</v>
      </c>
      <c r="B27" s="432">
        <f>SUM(B28:B29)</f>
        <v>5010116</v>
      </c>
      <c r="C27" s="432">
        <f>SUM(C28:C29)</f>
        <v>5010116</v>
      </c>
      <c r="D27" s="432">
        <f>SUM(D28:D29)</f>
        <v>1462746</v>
      </c>
      <c r="E27" s="428">
        <f t="shared" si="0"/>
        <v>0.2919585095434916</v>
      </c>
      <c r="F27" s="428">
        <f t="shared" si="1"/>
        <v>0.2919585095434916</v>
      </c>
      <c r="G27" s="424">
        <f>D27-'[10]Novembris'!D27</f>
        <v>189286</v>
      </c>
      <c r="H27" s="431" t="s">
        <v>563</v>
      </c>
      <c r="I27" s="432">
        <f>SUM(I28:I29)</f>
        <v>5010</v>
      </c>
      <c r="J27" s="432">
        <f>SUM(J28:J29)</f>
        <v>5010</v>
      </c>
      <c r="K27" s="432">
        <f>SUM(K28:K29)</f>
        <v>1463</v>
      </c>
      <c r="L27" s="433">
        <f t="shared" si="3"/>
        <v>29.201596806387226</v>
      </c>
      <c r="M27" s="433">
        <f t="shared" si="2"/>
        <v>29.201596806387226</v>
      </c>
      <c r="N27" s="432">
        <f>K27-'[10]Novembris'!K27</f>
        <v>190</v>
      </c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</row>
    <row r="28" spans="1:104" s="54" customFormat="1" ht="12.75">
      <c r="A28" s="434" t="s">
        <v>258</v>
      </c>
      <c r="B28" s="126">
        <v>4221699</v>
      </c>
      <c r="C28" s="126">
        <v>4221699</v>
      </c>
      <c r="D28" s="126">
        <v>1045775</v>
      </c>
      <c r="E28" s="428">
        <f t="shared" si="0"/>
        <v>0.24771424964214644</v>
      </c>
      <c r="F28" s="428">
        <f t="shared" si="1"/>
        <v>0.24771424964214644</v>
      </c>
      <c r="G28" s="424">
        <f>D28-'[10]Novembris'!D28</f>
        <v>30072</v>
      </c>
      <c r="H28" s="434" t="s">
        <v>258</v>
      </c>
      <c r="I28" s="126">
        <f aca="true" t="shared" si="8" ref="I28:K29">ROUND(B28/1000,0)</f>
        <v>4222</v>
      </c>
      <c r="J28" s="126">
        <f t="shared" si="8"/>
        <v>4222</v>
      </c>
      <c r="K28" s="126">
        <f>ROUND(D28/1000,0)</f>
        <v>1046</v>
      </c>
      <c r="L28" s="72">
        <f t="shared" si="3"/>
        <v>24.774988157271434</v>
      </c>
      <c r="M28" s="72">
        <f t="shared" si="2"/>
        <v>24.774988157271434</v>
      </c>
      <c r="N28" s="126">
        <f>K28-'[10]Novembris'!K28</f>
        <v>31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54" customFormat="1" ht="12.75">
      <c r="A29" s="434" t="s">
        <v>259</v>
      </c>
      <c r="B29" s="126">
        <v>788417</v>
      </c>
      <c r="C29" s="126">
        <v>788417</v>
      </c>
      <c r="D29" s="126">
        <v>416971</v>
      </c>
      <c r="E29" s="428">
        <f t="shared" si="0"/>
        <v>0.5288711430626178</v>
      </c>
      <c r="F29" s="428">
        <f t="shared" si="1"/>
        <v>0.5288711430626178</v>
      </c>
      <c r="G29" s="424">
        <f>D29-'[10]Novembris'!D29</f>
        <v>159214</v>
      </c>
      <c r="H29" s="434" t="s">
        <v>259</v>
      </c>
      <c r="I29" s="126">
        <f t="shared" si="8"/>
        <v>788</v>
      </c>
      <c r="J29" s="126">
        <f t="shared" si="8"/>
        <v>788</v>
      </c>
      <c r="K29" s="126">
        <f t="shared" si="8"/>
        <v>417</v>
      </c>
      <c r="L29" s="72">
        <f>IF(ISERROR(ROUND(K29,0)/ROUND(I29,0))," ",(ROUND(K29,)/ROUND(I29,)))*100</f>
        <v>52.91878172588832</v>
      </c>
      <c r="M29" s="72">
        <f t="shared" si="2"/>
        <v>52.91878172588832</v>
      </c>
      <c r="N29" s="126">
        <f>K29-'[10]Novembris'!K29</f>
        <v>159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76" customFormat="1" ht="12.75">
      <c r="A30" s="431" t="s">
        <v>564</v>
      </c>
      <c r="B30" s="432">
        <f>B31</f>
        <v>60000</v>
      </c>
      <c r="C30" s="432">
        <f>C31</f>
        <v>60000</v>
      </c>
      <c r="D30" s="432">
        <f>D31</f>
        <v>59744</v>
      </c>
      <c r="E30" s="428">
        <f t="shared" si="0"/>
        <v>0.9957333333333334</v>
      </c>
      <c r="F30" s="428">
        <f t="shared" si="1"/>
        <v>0.9957333333333334</v>
      </c>
      <c r="G30" s="424">
        <f>D30-'[10]Novembris'!D30</f>
        <v>6233</v>
      </c>
      <c r="H30" s="431" t="s">
        <v>564</v>
      </c>
      <c r="I30" s="432">
        <f>I31</f>
        <v>60</v>
      </c>
      <c r="J30" s="432">
        <f>J31</f>
        <v>60</v>
      </c>
      <c r="K30" s="432">
        <f>K31</f>
        <v>60</v>
      </c>
      <c r="L30" s="433">
        <f t="shared" si="3"/>
        <v>100</v>
      </c>
      <c r="M30" s="433">
        <f t="shared" si="2"/>
        <v>100</v>
      </c>
      <c r="N30" s="432">
        <f>K30-'[10]Novembris'!K30</f>
        <v>6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</row>
    <row r="31" spans="1:104" s="54" customFormat="1" ht="12.75">
      <c r="A31" s="434" t="s">
        <v>258</v>
      </c>
      <c r="B31" s="126">
        <v>60000</v>
      </c>
      <c r="C31" s="126">
        <v>60000</v>
      </c>
      <c r="D31" s="126">
        <v>59744</v>
      </c>
      <c r="E31" s="428">
        <f t="shared" si="0"/>
        <v>0.9957333333333334</v>
      </c>
      <c r="F31" s="428">
        <f t="shared" si="1"/>
        <v>0.9957333333333334</v>
      </c>
      <c r="G31" s="424">
        <f>D31-'[10]Novembris'!D31</f>
        <v>6233</v>
      </c>
      <c r="H31" s="434" t="s">
        <v>258</v>
      </c>
      <c r="I31" s="126">
        <f>ROUND(B31/1000,0)</f>
        <v>60</v>
      </c>
      <c r="J31" s="126">
        <f>ROUND(C31/1000,0)</f>
        <v>60</v>
      </c>
      <c r="K31" s="126">
        <f>ROUND(D31/1000,0)</f>
        <v>60</v>
      </c>
      <c r="L31" s="72">
        <f t="shared" si="3"/>
        <v>100</v>
      </c>
      <c r="M31" s="72">
        <f t="shared" si="2"/>
        <v>100</v>
      </c>
      <c r="N31" s="126">
        <f>K31-'[10]Novembris'!K31</f>
        <v>6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60" customFormat="1" ht="12.75">
      <c r="A32" s="67" t="s">
        <v>269</v>
      </c>
      <c r="B32" s="429">
        <f>B33+B36</f>
        <v>3537739</v>
      </c>
      <c r="C32" s="429">
        <f>C33+C36</f>
        <v>3537739</v>
      </c>
      <c r="D32" s="429">
        <f>D33+D36</f>
        <v>1584866</v>
      </c>
      <c r="E32" s="435">
        <f t="shared" si="0"/>
        <v>0.44798839032500704</v>
      </c>
      <c r="F32" s="435">
        <f t="shared" si="1"/>
        <v>0.44798839032500704</v>
      </c>
      <c r="G32" s="424">
        <f>D32-'[10]Novembris'!D32</f>
        <v>136335</v>
      </c>
      <c r="H32" s="67" t="s">
        <v>269</v>
      </c>
      <c r="I32" s="429">
        <f>I33+I36</f>
        <v>3538</v>
      </c>
      <c r="J32" s="429">
        <f>J33+J36</f>
        <v>3538</v>
      </c>
      <c r="K32" s="429">
        <f>K33+K36</f>
        <v>1584</v>
      </c>
      <c r="L32" s="52">
        <f t="shared" si="3"/>
        <v>44.771057094403616</v>
      </c>
      <c r="M32" s="52">
        <f t="shared" si="2"/>
        <v>44.771057094403616</v>
      </c>
      <c r="N32" s="429">
        <f>K32-'[10]Novembris'!K32</f>
        <v>135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s="176" customFormat="1" ht="12.75">
      <c r="A33" s="431" t="s">
        <v>563</v>
      </c>
      <c r="B33" s="432">
        <f>SUM(B34:B35)</f>
        <v>3318739</v>
      </c>
      <c r="C33" s="432">
        <f>SUM(C34:C35)</f>
        <v>3318739</v>
      </c>
      <c r="D33" s="432">
        <f>SUM(D34:D35)</f>
        <v>1366373</v>
      </c>
      <c r="E33" s="428">
        <f t="shared" si="0"/>
        <v>0.4117145096375461</v>
      </c>
      <c r="F33" s="428">
        <f t="shared" si="1"/>
        <v>0.4117145096375461</v>
      </c>
      <c r="G33" s="424">
        <f>D33-'[10]Novembris'!D33</f>
        <v>32741</v>
      </c>
      <c r="H33" s="431" t="s">
        <v>563</v>
      </c>
      <c r="I33" s="432">
        <f>SUM(I34:I35)</f>
        <v>3319</v>
      </c>
      <c r="J33" s="432">
        <f>SUM(J34:J35)</f>
        <v>3319</v>
      </c>
      <c r="K33" s="432">
        <f>SUM(K34:K35)</f>
        <v>1366</v>
      </c>
      <c r="L33" s="433">
        <f t="shared" si="3"/>
        <v>41.15697499246761</v>
      </c>
      <c r="M33" s="433">
        <f t="shared" si="2"/>
        <v>41.15697499246761</v>
      </c>
      <c r="N33" s="432">
        <f>K33-'[10]Novembris'!K33</f>
        <v>32</v>
      </c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</row>
    <row r="34" spans="1:104" s="54" customFormat="1" ht="12.75">
      <c r="A34" s="434" t="s">
        <v>258</v>
      </c>
      <c r="B34" s="126">
        <v>2242242</v>
      </c>
      <c r="C34" s="126">
        <v>2242242</v>
      </c>
      <c r="D34" s="126">
        <v>1083922</v>
      </c>
      <c r="E34" s="428">
        <f t="shared" si="0"/>
        <v>0.4834099084755348</v>
      </c>
      <c r="F34" s="428">
        <f t="shared" si="1"/>
        <v>0.4834099084755348</v>
      </c>
      <c r="G34" s="424">
        <f>D34-'[10]Novembris'!D34</f>
        <v>-20385</v>
      </c>
      <c r="H34" s="434" t="s">
        <v>258</v>
      </c>
      <c r="I34" s="126">
        <f>ROUND(B34/1000,0)</f>
        <v>2242</v>
      </c>
      <c r="J34" s="126">
        <f>ROUND(C34/1000,0)</f>
        <v>2242</v>
      </c>
      <c r="K34" s="126">
        <f>ROUND(D34/1000,0)</f>
        <v>1084</v>
      </c>
      <c r="L34" s="72">
        <f t="shared" si="3"/>
        <v>48.34968777876896</v>
      </c>
      <c r="M34" s="72">
        <f t="shared" si="2"/>
        <v>48.34968777876896</v>
      </c>
      <c r="N34" s="126">
        <f>K34-'[10]Novembris'!K34</f>
        <v>-20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54" customFormat="1" ht="12.75">
      <c r="A35" s="434" t="s">
        <v>259</v>
      </c>
      <c r="B35" s="126">
        <v>1076497</v>
      </c>
      <c r="C35" s="126">
        <v>1076497</v>
      </c>
      <c r="D35" s="126">
        <v>282451</v>
      </c>
      <c r="E35" s="428">
        <f t="shared" si="0"/>
        <v>0.2623797372403267</v>
      </c>
      <c r="F35" s="428">
        <f t="shared" si="1"/>
        <v>0.2623797372403267</v>
      </c>
      <c r="G35" s="424">
        <f>D35-'[10]Novembris'!D35</f>
        <v>53126</v>
      </c>
      <c r="H35" s="434" t="s">
        <v>259</v>
      </c>
      <c r="I35" s="126">
        <f>ROUND(B35/1000,0)+1</f>
        <v>1077</v>
      </c>
      <c r="J35" s="126">
        <f>ROUND(C35/1000,0)+1</f>
        <v>1077</v>
      </c>
      <c r="K35" s="126">
        <f>ROUND(D35/1000,0)</f>
        <v>282</v>
      </c>
      <c r="L35" s="72">
        <f t="shared" si="3"/>
        <v>26.18384401114206</v>
      </c>
      <c r="M35" s="72">
        <f t="shared" si="2"/>
        <v>26.18384401114206</v>
      </c>
      <c r="N35" s="126">
        <f>K35-'[10]Novembris'!K35</f>
        <v>52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76" customFormat="1" ht="12.75">
      <c r="A36" s="431" t="s">
        <v>564</v>
      </c>
      <c r="B36" s="432">
        <f>SUM(B37:B38)</f>
        <v>219000</v>
      </c>
      <c r="C36" s="432">
        <f>SUM(C37:C38)</f>
        <v>219000</v>
      </c>
      <c r="D36" s="432">
        <f>SUM(D37:D38)</f>
        <v>218493</v>
      </c>
      <c r="E36" s="428">
        <f t="shared" si="0"/>
        <v>0.9976849315068493</v>
      </c>
      <c r="F36" s="428">
        <f t="shared" si="1"/>
        <v>0.9976849315068493</v>
      </c>
      <c r="G36" s="424">
        <f>D36-'[10]Novembris'!D36</f>
        <v>103594</v>
      </c>
      <c r="H36" s="431" t="s">
        <v>564</v>
      </c>
      <c r="I36" s="432">
        <f>SUM(I37:I38)</f>
        <v>219</v>
      </c>
      <c r="J36" s="432">
        <f>SUM(J37:J38)</f>
        <v>219</v>
      </c>
      <c r="K36" s="432">
        <f>SUM(K37:K38)</f>
        <v>218</v>
      </c>
      <c r="L36" s="433">
        <f t="shared" si="3"/>
        <v>99.54337899543378</v>
      </c>
      <c r="M36" s="433">
        <f t="shared" si="2"/>
        <v>99.54337899543378</v>
      </c>
      <c r="N36" s="432">
        <f>K36-'[10]Novembris'!K36</f>
        <v>103</v>
      </c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</row>
    <row r="37" spans="1:104" s="54" customFormat="1" ht="12.75">
      <c r="A37" s="434" t="s">
        <v>258</v>
      </c>
      <c r="B37" s="126">
        <v>39000</v>
      </c>
      <c r="C37" s="126">
        <v>39000</v>
      </c>
      <c r="D37" s="126">
        <v>38493</v>
      </c>
      <c r="E37" s="428">
        <f t="shared" si="0"/>
        <v>0.987</v>
      </c>
      <c r="F37" s="428">
        <f t="shared" si="1"/>
        <v>0.987</v>
      </c>
      <c r="G37" s="424">
        <f>D37-'[10]Novembris'!D37</f>
        <v>13227</v>
      </c>
      <c r="H37" s="434" t="s">
        <v>258</v>
      </c>
      <c r="I37" s="126">
        <f aca="true" t="shared" si="9" ref="I37:K38">ROUND(B37/1000,0)</f>
        <v>39</v>
      </c>
      <c r="J37" s="126">
        <f>ROUND(C37/1000,0)</f>
        <v>39</v>
      </c>
      <c r="K37" s="126">
        <f t="shared" si="9"/>
        <v>38</v>
      </c>
      <c r="L37" s="72">
        <f t="shared" si="3"/>
        <v>97.43589743589743</v>
      </c>
      <c r="M37" s="72">
        <f t="shared" si="2"/>
        <v>97.43589743589743</v>
      </c>
      <c r="N37" s="126">
        <f>K37-'[10]Novembris'!K37</f>
        <v>13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54" customFormat="1" ht="12.75">
      <c r="A38" s="434" t="s">
        <v>259</v>
      </c>
      <c r="B38" s="126">
        <v>180000</v>
      </c>
      <c r="C38" s="126">
        <v>180000</v>
      </c>
      <c r="D38" s="126">
        <v>180000</v>
      </c>
      <c r="E38" s="428">
        <f t="shared" si="0"/>
        <v>1</v>
      </c>
      <c r="F38" s="428">
        <f t="shared" si="1"/>
        <v>1</v>
      </c>
      <c r="G38" s="424">
        <f>D38-'[10]Novembris'!D38</f>
        <v>90367</v>
      </c>
      <c r="H38" s="434" t="s">
        <v>259</v>
      </c>
      <c r="I38" s="126">
        <f t="shared" si="9"/>
        <v>180</v>
      </c>
      <c r="J38" s="126">
        <f t="shared" si="9"/>
        <v>180</v>
      </c>
      <c r="K38" s="126">
        <f t="shared" si="9"/>
        <v>180</v>
      </c>
      <c r="L38" s="72">
        <f t="shared" si="3"/>
        <v>100</v>
      </c>
      <c r="M38" s="72">
        <f t="shared" si="2"/>
        <v>100</v>
      </c>
      <c r="N38" s="126">
        <f>K38-'[10]Novembris'!K38</f>
        <v>90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60" customFormat="1" ht="12.75">
      <c r="A39" s="67" t="s">
        <v>270</v>
      </c>
      <c r="B39" s="429">
        <f>B40+B43</f>
        <v>883574</v>
      </c>
      <c r="C39" s="429">
        <f>C40+C43</f>
        <v>883574</v>
      </c>
      <c r="D39" s="429">
        <f>D40+D43</f>
        <v>307112</v>
      </c>
      <c r="E39" s="435">
        <f t="shared" si="0"/>
        <v>0.3475792633101472</v>
      </c>
      <c r="F39" s="435">
        <f t="shared" si="1"/>
        <v>0.3475792633101472</v>
      </c>
      <c r="G39" s="424">
        <f>D39-'[10]Novembris'!D39</f>
        <v>686</v>
      </c>
      <c r="H39" s="67" t="s">
        <v>270</v>
      </c>
      <c r="I39" s="429">
        <f>I40+I43</f>
        <v>884</v>
      </c>
      <c r="J39" s="429">
        <f>J40+J43</f>
        <v>884</v>
      </c>
      <c r="K39" s="429">
        <f>K40+K43</f>
        <v>307</v>
      </c>
      <c r="L39" s="52">
        <f t="shared" si="3"/>
        <v>34.72850678733032</v>
      </c>
      <c r="M39" s="52">
        <f t="shared" si="2"/>
        <v>34.72850678733032</v>
      </c>
      <c r="N39" s="429">
        <f>K39-'[10]Novembris'!K39</f>
        <v>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4" s="176" customFormat="1" ht="12.75">
      <c r="A40" s="431" t="s">
        <v>563</v>
      </c>
      <c r="B40" s="432">
        <f>SUM(B41:B42)</f>
        <v>838784</v>
      </c>
      <c r="C40" s="432">
        <f>SUM(C41:C42)</f>
        <v>838784</v>
      </c>
      <c r="D40" s="432">
        <f>SUM(D41:D42)</f>
        <v>262322</v>
      </c>
      <c r="E40" s="428">
        <f t="shared" si="0"/>
        <v>0.3127408248130627</v>
      </c>
      <c r="F40" s="428">
        <f t="shared" si="1"/>
        <v>0.3127408248130627</v>
      </c>
      <c r="G40" s="424">
        <f>D40-'[10]Novembris'!D40</f>
        <v>0</v>
      </c>
      <c r="H40" s="431" t="s">
        <v>563</v>
      </c>
      <c r="I40" s="432">
        <f>SUM(I41:I42)</f>
        <v>839</v>
      </c>
      <c r="J40" s="432">
        <f>SUM(J41:J42)</f>
        <v>839</v>
      </c>
      <c r="K40" s="432">
        <f>SUM(K41:K42)</f>
        <v>262</v>
      </c>
      <c r="L40" s="433">
        <f t="shared" si="3"/>
        <v>31.227651966626937</v>
      </c>
      <c r="M40" s="433">
        <f t="shared" si="2"/>
        <v>31.227651966626937</v>
      </c>
      <c r="N40" s="432">
        <f>K40-'[10]Novembris'!K40</f>
        <v>0</v>
      </c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</row>
    <row r="41" spans="1:104" s="54" customFormat="1" ht="12.75">
      <c r="A41" s="434" t="s">
        <v>258</v>
      </c>
      <c r="B41" s="126">
        <v>391784</v>
      </c>
      <c r="C41" s="126">
        <v>391784</v>
      </c>
      <c r="D41" s="126">
        <v>262322</v>
      </c>
      <c r="E41" s="428">
        <f t="shared" si="0"/>
        <v>0.6695577154758745</v>
      </c>
      <c r="F41" s="428">
        <f t="shared" si="1"/>
        <v>0.6695577154758745</v>
      </c>
      <c r="G41" s="424">
        <f>D41-'[10]Novembris'!D41</f>
        <v>0</v>
      </c>
      <c r="H41" s="434" t="s">
        <v>258</v>
      </c>
      <c r="I41" s="126">
        <f aca="true" t="shared" si="10" ref="I41:K42">ROUND(B41/1000,0)</f>
        <v>392</v>
      </c>
      <c r="J41" s="126">
        <f t="shared" si="10"/>
        <v>392</v>
      </c>
      <c r="K41" s="126">
        <f t="shared" si="10"/>
        <v>262</v>
      </c>
      <c r="L41" s="72">
        <f t="shared" si="3"/>
        <v>66.83673469387756</v>
      </c>
      <c r="M41" s="72">
        <f t="shared" si="2"/>
        <v>66.83673469387756</v>
      </c>
      <c r="N41" s="126">
        <f>K41-'[10]Novembris'!K41</f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54" customFormat="1" ht="12.75">
      <c r="A42" s="434" t="s">
        <v>259</v>
      </c>
      <c r="B42" s="126">
        <v>447000</v>
      </c>
      <c r="C42" s="126">
        <v>447000</v>
      </c>
      <c r="D42" s="126"/>
      <c r="E42" s="428">
        <f t="shared" si="0"/>
        <v>0</v>
      </c>
      <c r="F42" s="428">
        <f t="shared" si="1"/>
        <v>0</v>
      </c>
      <c r="G42" s="424">
        <f>D42-'[10]Novembris'!D42</f>
        <v>0</v>
      </c>
      <c r="H42" s="434" t="s">
        <v>259</v>
      </c>
      <c r="I42" s="126">
        <f t="shared" si="10"/>
        <v>447</v>
      </c>
      <c r="J42" s="126">
        <f t="shared" si="10"/>
        <v>447</v>
      </c>
      <c r="K42" s="126">
        <f t="shared" si="10"/>
        <v>0</v>
      </c>
      <c r="L42" s="72">
        <f t="shared" si="3"/>
        <v>0</v>
      </c>
      <c r="M42" s="72">
        <f t="shared" si="2"/>
        <v>0</v>
      </c>
      <c r="N42" s="126">
        <f>K42-'[10]Novembris'!K42</f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76" customFormat="1" ht="12.75">
      <c r="A43" s="431" t="s">
        <v>564</v>
      </c>
      <c r="B43" s="432">
        <f>SUM(B44:B45)</f>
        <v>44790</v>
      </c>
      <c r="C43" s="432">
        <f>SUM(C44:C45)</f>
        <v>44790</v>
      </c>
      <c r="D43" s="432">
        <f>SUM(D44:D45)</f>
        <v>44790</v>
      </c>
      <c r="E43" s="428">
        <f t="shared" si="0"/>
        <v>1</v>
      </c>
      <c r="F43" s="428">
        <f t="shared" si="1"/>
        <v>1</v>
      </c>
      <c r="G43" s="424">
        <f>D43-'[10]Novembris'!D43</f>
        <v>686</v>
      </c>
      <c r="H43" s="431" t="s">
        <v>564</v>
      </c>
      <c r="I43" s="432">
        <f>SUM(I44:I45)</f>
        <v>45</v>
      </c>
      <c r="J43" s="432">
        <f>SUM(J44:J45)</f>
        <v>45</v>
      </c>
      <c r="K43" s="432">
        <f>SUM(K44:K45)</f>
        <v>45</v>
      </c>
      <c r="L43" s="433">
        <f t="shared" si="3"/>
        <v>100</v>
      </c>
      <c r="M43" s="433">
        <f t="shared" si="2"/>
        <v>100</v>
      </c>
      <c r="N43" s="432">
        <f>K43-'[10]Novembris'!K43</f>
        <v>1</v>
      </c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</row>
    <row r="44" spans="1:104" s="54" customFormat="1" ht="12.75">
      <c r="A44" s="434" t="s">
        <v>258</v>
      </c>
      <c r="B44" s="126">
        <v>44790</v>
      </c>
      <c r="C44" s="126">
        <v>44790</v>
      </c>
      <c r="D44" s="126">
        <v>44790</v>
      </c>
      <c r="E44" s="428">
        <f t="shared" si="0"/>
        <v>1</v>
      </c>
      <c r="F44" s="428">
        <f t="shared" si="1"/>
        <v>1</v>
      </c>
      <c r="G44" s="424">
        <f>D44-'[10]Novembris'!D44</f>
        <v>686</v>
      </c>
      <c r="H44" s="434" t="s">
        <v>258</v>
      </c>
      <c r="I44" s="126">
        <f aca="true" t="shared" si="11" ref="I44:K45">ROUND(B44/1000,0)</f>
        <v>45</v>
      </c>
      <c r="J44" s="126">
        <f t="shared" si="11"/>
        <v>45</v>
      </c>
      <c r="K44" s="126">
        <f t="shared" si="11"/>
        <v>45</v>
      </c>
      <c r="L44" s="72">
        <f t="shared" si="3"/>
        <v>100</v>
      </c>
      <c r="M44" s="72">
        <f t="shared" si="2"/>
        <v>100</v>
      </c>
      <c r="N44" s="126">
        <f>K44-'[10]Novembris'!K44</f>
        <v>1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54" customFormat="1" ht="12.75" hidden="1">
      <c r="A45" s="434" t="s">
        <v>259</v>
      </c>
      <c r="B45" s="126"/>
      <c r="C45" s="126"/>
      <c r="D45" s="126"/>
      <c r="E45" s="428" t="str">
        <f t="shared" si="0"/>
        <v> </v>
      </c>
      <c r="F45" s="428" t="str">
        <f t="shared" si="1"/>
        <v> </v>
      </c>
      <c r="G45" s="424">
        <f>D45-'[10]Novembris'!D45</f>
        <v>0</v>
      </c>
      <c r="H45" s="434" t="s">
        <v>259</v>
      </c>
      <c r="I45" s="126">
        <f t="shared" si="11"/>
        <v>0</v>
      </c>
      <c r="J45" s="126">
        <f t="shared" si="11"/>
        <v>0</v>
      </c>
      <c r="K45" s="126">
        <f t="shared" si="11"/>
        <v>0</v>
      </c>
      <c r="L45" s="72" t="e">
        <f t="shared" si="3"/>
        <v>#VALUE!</v>
      </c>
      <c r="M45" s="72"/>
      <c r="N45" s="126">
        <f>K45-'[10]Novembris'!K45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60" customFormat="1" ht="12.75" customHeight="1">
      <c r="A46" s="53" t="s">
        <v>271</v>
      </c>
      <c r="B46" s="429">
        <f>B47+B50</f>
        <v>3710570</v>
      </c>
      <c r="C46" s="429">
        <f>C47+C50</f>
        <v>3679530</v>
      </c>
      <c r="D46" s="429">
        <f>D47+D50</f>
        <v>2028956</v>
      </c>
      <c r="E46" s="435">
        <f t="shared" si="0"/>
        <v>0.5468043993240931</v>
      </c>
      <c r="F46" s="435">
        <f t="shared" si="1"/>
        <v>0.5514171646922297</v>
      </c>
      <c r="G46" s="424">
        <f>D46-'[10]Novembris'!D46</f>
        <v>321307</v>
      </c>
      <c r="H46" s="53" t="s">
        <v>271</v>
      </c>
      <c r="I46" s="429">
        <f>I47+I50</f>
        <v>3710</v>
      </c>
      <c r="J46" s="429">
        <f>J47+J50</f>
        <v>3679</v>
      </c>
      <c r="K46" s="429">
        <f>K47+K50</f>
        <v>2029</v>
      </c>
      <c r="L46" s="52">
        <f t="shared" si="3"/>
        <v>54.690026954177895</v>
      </c>
      <c r="M46" s="52">
        <f t="shared" si="2"/>
        <v>55.15085621092688</v>
      </c>
      <c r="N46" s="429">
        <f>K46-'[10]Novembris'!K46</f>
        <v>322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4" s="176" customFormat="1" ht="12.75" customHeight="1">
      <c r="A47" s="431" t="s">
        <v>563</v>
      </c>
      <c r="B47" s="432">
        <f>SUM(B48:B49)</f>
        <v>2123168</v>
      </c>
      <c r="C47" s="432">
        <f>SUM(C48:C49)</f>
        <v>2123168</v>
      </c>
      <c r="D47" s="432">
        <f>SUM(D48:D49)</f>
        <v>575156</v>
      </c>
      <c r="E47" s="428">
        <f t="shared" si="0"/>
        <v>0.2708951905831286</v>
      </c>
      <c r="F47" s="428">
        <f t="shared" si="1"/>
        <v>0.2708951905831286</v>
      </c>
      <c r="G47" s="424">
        <f>D47-'[10]Novembris'!D47</f>
        <v>83662</v>
      </c>
      <c r="H47" s="431" t="s">
        <v>563</v>
      </c>
      <c r="I47" s="432">
        <f>I48+I49</f>
        <v>2123</v>
      </c>
      <c r="J47" s="432">
        <f>J48+J49</f>
        <v>2123</v>
      </c>
      <c r="K47" s="432">
        <f>K48+K49</f>
        <v>575</v>
      </c>
      <c r="L47" s="433">
        <f t="shared" si="3"/>
        <v>27.084314649081488</v>
      </c>
      <c r="M47" s="433">
        <f t="shared" si="2"/>
        <v>27.084314649081488</v>
      </c>
      <c r="N47" s="432">
        <f>K47-'[10]Novembris'!K47</f>
        <v>84</v>
      </c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</row>
    <row r="48" spans="1:104" s="54" customFormat="1" ht="12.75">
      <c r="A48" s="434" t="s">
        <v>258</v>
      </c>
      <c r="B48" s="126">
        <v>2087205</v>
      </c>
      <c r="C48" s="126">
        <v>2087205</v>
      </c>
      <c r="D48" s="126">
        <v>571342</v>
      </c>
      <c r="E48" s="428">
        <f t="shared" si="0"/>
        <v>0.27373545003964633</v>
      </c>
      <c r="F48" s="428">
        <f t="shared" si="1"/>
        <v>0.27373545003964633</v>
      </c>
      <c r="G48" s="424">
        <f>D48-'[10]Novembris'!D48</f>
        <v>83662</v>
      </c>
      <c r="H48" s="434" t="s">
        <v>258</v>
      </c>
      <c r="I48" s="126">
        <f aca="true" t="shared" si="12" ref="I48:K49">ROUND(B48/1000,0)</f>
        <v>2087</v>
      </c>
      <c r="J48" s="126">
        <f t="shared" si="12"/>
        <v>2087</v>
      </c>
      <c r="K48" s="126">
        <f>ROUND(D48/1000,0)</f>
        <v>571</v>
      </c>
      <c r="L48" s="72">
        <f t="shared" si="3"/>
        <v>27.359846669861042</v>
      </c>
      <c r="M48" s="72">
        <f t="shared" si="2"/>
        <v>27.359846669861042</v>
      </c>
      <c r="N48" s="126">
        <f>K48-'[10]Novembris'!K48</f>
        <v>84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54" customFormat="1" ht="12.75">
      <c r="A49" s="434" t="s">
        <v>259</v>
      </c>
      <c r="B49" s="126">
        <v>35963</v>
      </c>
      <c r="C49" s="126">
        <v>35963</v>
      </c>
      <c r="D49" s="126">
        <v>3814</v>
      </c>
      <c r="E49" s="428">
        <f t="shared" si="0"/>
        <v>0.10605344381725662</v>
      </c>
      <c r="F49" s="428">
        <f t="shared" si="1"/>
        <v>0.10605344381725662</v>
      </c>
      <c r="G49" s="424">
        <f>D49-'[10]Novembris'!D49</f>
        <v>0</v>
      </c>
      <c r="H49" s="434" t="s">
        <v>259</v>
      </c>
      <c r="I49" s="126">
        <f t="shared" si="12"/>
        <v>36</v>
      </c>
      <c r="J49" s="126">
        <f t="shared" si="12"/>
        <v>36</v>
      </c>
      <c r="K49" s="126">
        <f t="shared" si="12"/>
        <v>4</v>
      </c>
      <c r="L49" s="72">
        <f t="shared" si="3"/>
        <v>11.11111111111111</v>
      </c>
      <c r="M49" s="72">
        <f t="shared" si="2"/>
        <v>11.11111111111111</v>
      </c>
      <c r="N49" s="126">
        <f>K49-'[10]Novembris'!K49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415" customFormat="1" ht="12.75">
      <c r="A50" s="431" t="s">
        <v>564</v>
      </c>
      <c r="B50" s="432">
        <f>B51</f>
        <v>1587402</v>
      </c>
      <c r="C50" s="432">
        <f>C51</f>
        <v>1556362</v>
      </c>
      <c r="D50" s="432">
        <f>D51</f>
        <v>1453800</v>
      </c>
      <c r="E50" s="428">
        <f t="shared" si="0"/>
        <v>0.9158360642105781</v>
      </c>
      <c r="F50" s="428">
        <f t="shared" si="1"/>
        <v>0.9341014494057295</v>
      </c>
      <c r="G50" s="424">
        <f>D50-'[10]Novembris'!D50</f>
        <v>237645</v>
      </c>
      <c r="H50" s="431" t="s">
        <v>564</v>
      </c>
      <c r="I50" s="432">
        <f>I51</f>
        <v>1587</v>
      </c>
      <c r="J50" s="432">
        <f>J51</f>
        <v>1556</v>
      </c>
      <c r="K50" s="432">
        <f>K51</f>
        <v>1454</v>
      </c>
      <c r="L50" s="433">
        <f t="shared" si="3"/>
        <v>91.61940768746062</v>
      </c>
      <c r="M50" s="433">
        <f t="shared" si="2"/>
        <v>93.44473007712082</v>
      </c>
      <c r="N50" s="432">
        <f>K50-'[10]Novembris'!K50</f>
        <v>238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</row>
    <row r="51" spans="1:104" s="75" customFormat="1" ht="12.75">
      <c r="A51" s="434" t="s">
        <v>258</v>
      </c>
      <c r="B51" s="126">
        <v>1587402</v>
      </c>
      <c r="C51" s="126">
        <v>1556362</v>
      </c>
      <c r="D51" s="126">
        <v>1453800</v>
      </c>
      <c r="E51" s="428">
        <f t="shared" si="0"/>
        <v>0.9158360642105781</v>
      </c>
      <c r="F51" s="428">
        <f t="shared" si="1"/>
        <v>0.9341014494057295</v>
      </c>
      <c r="G51" s="424">
        <f>D51-'[10]Novembris'!D51</f>
        <v>237645</v>
      </c>
      <c r="H51" s="434" t="s">
        <v>258</v>
      </c>
      <c r="I51" s="126">
        <f>ROUND(B51/1000,0)</f>
        <v>1587</v>
      </c>
      <c r="J51" s="126">
        <f>ROUND(C51/1000,0)</f>
        <v>1556</v>
      </c>
      <c r="K51" s="126">
        <f>ROUND(D51/1000,0)</f>
        <v>1454</v>
      </c>
      <c r="L51" s="72">
        <f t="shared" si="3"/>
        <v>91.61940768746062</v>
      </c>
      <c r="M51" s="72">
        <f t="shared" si="2"/>
        <v>93.44473007712082</v>
      </c>
      <c r="N51" s="126">
        <f>K51-'[10]Novembris'!K51</f>
        <v>238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4" s="2" customFormat="1" ht="12.75">
      <c r="A52" s="67" t="s">
        <v>272</v>
      </c>
      <c r="B52" s="436">
        <f>B53+B56</f>
        <v>1529700</v>
      </c>
      <c r="C52" s="436">
        <f>C53+C56</f>
        <v>1529700</v>
      </c>
      <c r="D52" s="436">
        <f>D53+D56</f>
        <v>642728</v>
      </c>
      <c r="E52" s="435">
        <f t="shared" si="0"/>
        <v>0.42016604562986204</v>
      </c>
      <c r="F52" s="435">
        <f t="shared" si="1"/>
        <v>0.42016604562986204</v>
      </c>
      <c r="G52" s="424">
        <f>D52-'[10]Novembris'!D52</f>
        <v>50268</v>
      </c>
      <c r="H52" s="67" t="s">
        <v>272</v>
      </c>
      <c r="I52" s="429">
        <f>I53+I56</f>
        <v>1530</v>
      </c>
      <c r="J52" s="429">
        <f>J53+J56</f>
        <v>1530</v>
      </c>
      <c r="K52" s="429">
        <f>K53+K56</f>
        <v>643</v>
      </c>
      <c r="L52" s="52">
        <f t="shared" si="3"/>
        <v>42.02614379084967</v>
      </c>
      <c r="M52" s="52">
        <f t="shared" si="2"/>
        <v>42.02614379084967</v>
      </c>
      <c r="N52" s="429">
        <f>K52-'[10]Novembris'!K52</f>
        <v>50</v>
      </c>
    </row>
    <row r="53" spans="1:14" s="81" customFormat="1" ht="12.75">
      <c r="A53" s="431" t="s">
        <v>563</v>
      </c>
      <c r="B53" s="432">
        <f>SUM(B54:B55)</f>
        <v>1352700</v>
      </c>
      <c r="C53" s="432">
        <f>SUM(C54:C55)</f>
        <v>1352700</v>
      </c>
      <c r="D53" s="432">
        <f>SUM(D54:D55)</f>
        <v>466838</v>
      </c>
      <c r="E53" s="428">
        <f t="shared" si="0"/>
        <v>0.3451156945368522</v>
      </c>
      <c r="F53" s="428">
        <f t="shared" si="1"/>
        <v>0.3451156945368522</v>
      </c>
      <c r="G53" s="424">
        <f>D53-'[10]Novembris'!D53</f>
        <v>10305</v>
      </c>
      <c r="H53" s="431" t="s">
        <v>563</v>
      </c>
      <c r="I53" s="432">
        <f>SUM(I54:I55)</f>
        <v>1353</v>
      </c>
      <c r="J53" s="432">
        <f>SUM(J54:J55)</f>
        <v>1353</v>
      </c>
      <c r="K53" s="432">
        <f>SUM(K54:K55)</f>
        <v>467</v>
      </c>
      <c r="L53" s="433">
        <f t="shared" si="3"/>
        <v>34.51589061345159</v>
      </c>
      <c r="M53" s="433">
        <f t="shared" si="2"/>
        <v>34.51589061345159</v>
      </c>
      <c r="N53" s="432">
        <f>K53-'[10]Novembris'!K53</f>
        <v>10</v>
      </c>
    </row>
    <row r="54" spans="1:14" ht="12.75">
      <c r="A54" s="434" t="s">
        <v>258</v>
      </c>
      <c r="B54" s="126">
        <v>719787</v>
      </c>
      <c r="C54" s="126">
        <v>719787</v>
      </c>
      <c r="D54" s="126">
        <v>466838</v>
      </c>
      <c r="E54" s="428">
        <f t="shared" si="0"/>
        <v>0.6485779820974816</v>
      </c>
      <c r="F54" s="428">
        <f t="shared" si="1"/>
        <v>0.6485779820974816</v>
      </c>
      <c r="G54" s="424">
        <f>D54-'[10]Novembris'!D54</f>
        <v>10305</v>
      </c>
      <c r="H54" s="434" t="s">
        <v>258</v>
      </c>
      <c r="I54" s="126">
        <f aca="true" t="shared" si="13" ref="I54:K55">ROUND(B54/1000,0)</f>
        <v>720</v>
      </c>
      <c r="J54" s="126">
        <f t="shared" si="13"/>
        <v>720</v>
      </c>
      <c r="K54" s="126">
        <f>ROUND(D54/1000,0)</f>
        <v>467</v>
      </c>
      <c r="L54" s="72">
        <f t="shared" si="3"/>
        <v>64.86111111111111</v>
      </c>
      <c r="M54" s="72">
        <f t="shared" si="2"/>
        <v>64.86111111111111</v>
      </c>
      <c r="N54" s="126">
        <f>K54-'[10]Novembris'!K54</f>
        <v>10</v>
      </c>
    </row>
    <row r="55" spans="1:14" ht="12.75">
      <c r="A55" s="434" t="s">
        <v>259</v>
      </c>
      <c r="B55" s="126">
        <v>632913</v>
      </c>
      <c r="C55" s="126">
        <v>632913</v>
      </c>
      <c r="D55" s="126"/>
      <c r="E55" s="428">
        <f t="shared" si="0"/>
        <v>0</v>
      </c>
      <c r="F55" s="428">
        <f t="shared" si="1"/>
        <v>0</v>
      </c>
      <c r="G55" s="424">
        <f>D55-'[10]Novembris'!D55</f>
        <v>0</v>
      </c>
      <c r="H55" s="434" t="s">
        <v>259</v>
      </c>
      <c r="I55" s="126">
        <f t="shared" si="13"/>
        <v>633</v>
      </c>
      <c r="J55" s="126">
        <f>ROUND(C55/1000,0)</f>
        <v>633</v>
      </c>
      <c r="K55" s="126">
        <f t="shared" si="13"/>
        <v>0</v>
      </c>
      <c r="L55" s="72">
        <f t="shared" si="3"/>
        <v>0</v>
      </c>
      <c r="M55" s="72">
        <f t="shared" si="2"/>
        <v>0</v>
      </c>
      <c r="N55" s="126">
        <f>K55-'[10]Novembris'!K55</f>
        <v>0</v>
      </c>
    </row>
    <row r="56" spans="1:14" s="81" customFormat="1" ht="12.75">
      <c r="A56" s="431" t="s">
        <v>564</v>
      </c>
      <c r="B56" s="432">
        <f>SUM(B57:B58)</f>
        <v>177000</v>
      </c>
      <c r="C56" s="432">
        <f>SUM(C57:C58)</f>
        <v>177000</v>
      </c>
      <c r="D56" s="432">
        <f>SUM(D57:D58)</f>
        <v>175890</v>
      </c>
      <c r="E56" s="428">
        <f t="shared" si="0"/>
        <v>0.9937288135593221</v>
      </c>
      <c r="F56" s="428">
        <f t="shared" si="1"/>
        <v>0.9937288135593221</v>
      </c>
      <c r="G56" s="424">
        <f>D56-'[10]Novembris'!D56</f>
        <v>39963</v>
      </c>
      <c r="H56" s="431" t="s">
        <v>564</v>
      </c>
      <c r="I56" s="432">
        <f>SUM(I57:I58)</f>
        <v>177</v>
      </c>
      <c r="J56" s="432">
        <f>SUM(J57:J58)</f>
        <v>177</v>
      </c>
      <c r="K56" s="432">
        <f>SUM(K57:K58)</f>
        <v>176</v>
      </c>
      <c r="L56" s="433">
        <f t="shared" si="3"/>
        <v>99.43502824858757</v>
      </c>
      <c r="M56" s="433">
        <f t="shared" si="2"/>
        <v>99.43502824858757</v>
      </c>
      <c r="N56" s="432">
        <f>K56-'[10]Novembris'!K56</f>
        <v>40</v>
      </c>
    </row>
    <row r="57" spans="1:14" ht="12.75">
      <c r="A57" s="434" t="s">
        <v>258</v>
      </c>
      <c r="B57" s="126">
        <v>73000</v>
      </c>
      <c r="C57" s="126">
        <v>73000</v>
      </c>
      <c r="D57" s="126">
        <v>71937</v>
      </c>
      <c r="E57" s="428">
        <f t="shared" si="0"/>
        <v>0.9854383561643836</v>
      </c>
      <c r="F57" s="428">
        <f t="shared" si="1"/>
        <v>0.9854383561643836</v>
      </c>
      <c r="G57" s="424">
        <f>D57-'[10]Novembris'!D57</f>
        <v>33206</v>
      </c>
      <c r="H57" s="434" t="s">
        <v>258</v>
      </c>
      <c r="I57" s="126">
        <f aca="true" t="shared" si="14" ref="I57:K58">ROUND(B57/1000,0)</f>
        <v>73</v>
      </c>
      <c r="J57" s="126">
        <f t="shared" si="14"/>
        <v>73</v>
      </c>
      <c r="K57" s="126">
        <f t="shared" si="14"/>
        <v>72</v>
      </c>
      <c r="L57" s="72">
        <f t="shared" si="3"/>
        <v>98.63013698630137</v>
      </c>
      <c r="M57" s="72">
        <f t="shared" si="2"/>
        <v>98.63013698630137</v>
      </c>
      <c r="N57" s="126">
        <f>K57-'[10]Novembris'!K57</f>
        <v>33</v>
      </c>
    </row>
    <row r="58" spans="1:14" ht="12.75">
      <c r="A58" s="434" t="s">
        <v>259</v>
      </c>
      <c r="B58" s="126">
        <v>104000</v>
      </c>
      <c r="C58" s="126">
        <v>104000</v>
      </c>
      <c r="D58" s="126">
        <v>103953</v>
      </c>
      <c r="E58" s="428">
        <f t="shared" si="0"/>
        <v>0.9995480769230769</v>
      </c>
      <c r="F58" s="428">
        <f t="shared" si="1"/>
        <v>0.9995480769230769</v>
      </c>
      <c r="G58" s="424">
        <f>D58-'[10]Novembris'!D58</f>
        <v>6757</v>
      </c>
      <c r="H58" s="434" t="s">
        <v>259</v>
      </c>
      <c r="I58" s="126">
        <f t="shared" si="14"/>
        <v>104</v>
      </c>
      <c r="J58" s="126">
        <f t="shared" si="14"/>
        <v>104</v>
      </c>
      <c r="K58" s="126">
        <f t="shared" si="14"/>
        <v>104</v>
      </c>
      <c r="L58" s="72">
        <f t="shared" si="3"/>
        <v>100</v>
      </c>
      <c r="M58" s="72">
        <f t="shared" si="2"/>
        <v>100</v>
      </c>
      <c r="N58" s="126">
        <f>K58-'[10]Novembris'!K58</f>
        <v>7</v>
      </c>
    </row>
    <row r="59" spans="1:14" s="2" customFormat="1" ht="12.75" customHeight="1">
      <c r="A59" s="67" t="s">
        <v>273</v>
      </c>
      <c r="B59" s="436">
        <f>B60+B63</f>
        <v>5059039</v>
      </c>
      <c r="C59" s="436">
        <f>C60+C63</f>
        <v>5059039</v>
      </c>
      <c r="D59" s="436">
        <f>D60+D63</f>
        <v>4647576</v>
      </c>
      <c r="E59" s="435">
        <f t="shared" si="0"/>
        <v>0.9186677548838821</v>
      </c>
      <c r="F59" s="435">
        <f t="shared" si="1"/>
        <v>0.9186677548838821</v>
      </c>
      <c r="G59" s="424">
        <f>D59-'[10]Novembris'!D59</f>
        <v>3063816</v>
      </c>
      <c r="H59" s="67" t="s">
        <v>273</v>
      </c>
      <c r="I59" s="429">
        <f>I60+I63</f>
        <v>5059</v>
      </c>
      <c r="J59" s="429">
        <f>J60+J63</f>
        <v>5059</v>
      </c>
      <c r="K59" s="429">
        <f>K60+K63</f>
        <v>4647</v>
      </c>
      <c r="L59" s="52">
        <f t="shared" si="3"/>
        <v>91.85609804309152</v>
      </c>
      <c r="M59" s="52">
        <f t="shared" si="2"/>
        <v>91.85609804309152</v>
      </c>
      <c r="N59" s="429">
        <f>K59-'[10]Novembris'!K59</f>
        <v>3063</v>
      </c>
    </row>
    <row r="60" spans="1:14" s="81" customFormat="1" ht="12.75" customHeight="1">
      <c r="A60" s="431" t="s">
        <v>563</v>
      </c>
      <c r="B60" s="432">
        <f>SUM(B61:B62)</f>
        <v>4059039</v>
      </c>
      <c r="C60" s="432">
        <f>SUM(C61:C62)</f>
        <v>4059039</v>
      </c>
      <c r="D60" s="432">
        <f>SUM(D61:D62)</f>
        <v>3647576</v>
      </c>
      <c r="E60" s="428">
        <f t="shared" si="0"/>
        <v>0.8986304393724721</v>
      </c>
      <c r="F60" s="428">
        <f t="shared" si="1"/>
        <v>0.8986304393724721</v>
      </c>
      <c r="G60" s="424">
        <f>D60-'[10]Novembris'!D60</f>
        <v>2628693</v>
      </c>
      <c r="H60" s="431" t="s">
        <v>563</v>
      </c>
      <c r="I60" s="432">
        <f>I61+I62</f>
        <v>4059</v>
      </c>
      <c r="J60" s="432">
        <f>J61+J62</f>
        <v>4059</v>
      </c>
      <c r="K60" s="432">
        <f>K61+K62</f>
        <v>3647</v>
      </c>
      <c r="L60" s="433">
        <f t="shared" si="3"/>
        <v>89.84971667898498</v>
      </c>
      <c r="M60" s="433">
        <f t="shared" si="2"/>
        <v>89.84971667898498</v>
      </c>
      <c r="N60" s="432">
        <f>K60-'[10]Novembris'!K60</f>
        <v>2628</v>
      </c>
    </row>
    <row r="61" spans="1:14" ht="12.75">
      <c r="A61" s="434" t="s">
        <v>258</v>
      </c>
      <c r="B61" s="126">
        <v>602466</v>
      </c>
      <c r="C61" s="126">
        <v>602466</v>
      </c>
      <c r="D61" s="126">
        <v>354606</v>
      </c>
      <c r="E61" s="428">
        <f t="shared" si="0"/>
        <v>0.5885908914361972</v>
      </c>
      <c r="F61" s="428">
        <f t="shared" si="1"/>
        <v>0.5885908914361972</v>
      </c>
      <c r="G61" s="424">
        <f>D61-'[10]Novembris'!D61</f>
        <v>71278</v>
      </c>
      <c r="H61" s="434" t="s">
        <v>258</v>
      </c>
      <c r="I61" s="126">
        <f aca="true" t="shared" si="15" ref="I61:K62">ROUND(B61/1000,0)</f>
        <v>602</v>
      </c>
      <c r="J61" s="126">
        <f t="shared" si="15"/>
        <v>602</v>
      </c>
      <c r="K61" s="126">
        <f>ROUND(D61/1000,0)-1</f>
        <v>354</v>
      </c>
      <c r="L61" s="433">
        <f t="shared" si="3"/>
        <v>58.80398671096345</v>
      </c>
      <c r="M61" s="433">
        <f t="shared" si="2"/>
        <v>58.80398671096345</v>
      </c>
      <c r="N61" s="126">
        <f>K61-'[10]Novembris'!K61</f>
        <v>71</v>
      </c>
    </row>
    <row r="62" spans="1:14" ht="12.75">
      <c r="A62" s="434" t="s">
        <v>259</v>
      </c>
      <c r="B62" s="126">
        <v>3456573</v>
      </c>
      <c r="C62" s="126">
        <v>3456573</v>
      </c>
      <c r="D62" s="126">
        <v>3292970</v>
      </c>
      <c r="E62" s="428">
        <f t="shared" si="0"/>
        <v>0.9526690163928261</v>
      </c>
      <c r="F62" s="428">
        <f t="shared" si="1"/>
        <v>0.9526690163928261</v>
      </c>
      <c r="G62" s="424">
        <f>D62-'[10]Novembris'!D62</f>
        <v>2557415</v>
      </c>
      <c r="H62" s="434" t="s">
        <v>259</v>
      </c>
      <c r="I62" s="126">
        <f t="shared" si="15"/>
        <v>3457</v>
      </c>
      <c r="J62" s="126">
        <f t="shared" si="15"/>
        <v>3457</v>
      </c>
      <c r="K62" s="126">
        <f t="shared" si="15"/>
        <v>3293</v>
      </c>
      <c r="L62" s="72">
        <f t="shared" si="3"/>
        <v>95.25600231414522</v>
      </c>
      <c r="M62" s="72">
        <f t="shared" si="2"/>
        <v>95.25600231414522</v>
      </c>
      <c r="N62" s="126">
        <f>K62-'[10]Novembris'!K62</f>
        <v>2557</v>
      </c>
    </row>
    <row r="63" spans="1:14" s="81" customFormat="1" ht="12.75">
      <c r="A63" s="431" t="s">
        <v>564</v>
      </c>
      <c r="B63" s="432">
        <f>B64</f>
        <v>1000000</v>
      </c>
      <c r="C63" s="432">
        <f>C64</f>
        <v>1000000</v>
      </c>
      <c r="D63" s="432">
        <f>D64</f>
        <v>1000000</v>
      </c>
      <c r="E63" s="428">
        <f t="shared" si="0"/>
        <v>1</v>
      </c>
      <c r="F63" s="428">
        <f t="shared" si="1"/>
        <v>1</v>
      </c>
      <c r="G63" s="424">
        <f>D63-'[10]Novembris'!D63</f>
        <v>435123</v>
      </c>
      <c r="H63" s="431" t="s">
        <v>564</v>
      </c>
      <c r="I63" s="432">
        <f>I64</f>
        <v>1000</v>
      </c>
      <c r="J63" s="432">
        <f>J64</f>
        <v>1000</v>
      </c>
      <c r="K63" s="432">
        <f>K64</f>
        <v>1000</v>
      </c>
      <c r="L63" s="433">
        <f t="shared" si="3"/>
        <v>100</v>
      </c>
      <c r="M63" s="433">
        <f t="shared" si="2"/>
        <v>100</v>
      </c>
      <c r="N63" s="432">
        <f>K63-'[10]Novembris'!K63</f>
        <v>435</v>
      </c>
    </row>
    <row r="64" spans="1:14" ht="12.75">
      <c r="A64" s="434" t="s">
        <v>259</v>
      </c>
      <c r="B64" s="126">
        <v>1000000</v>
      </c>
      <c r="C64" s="126">
        <v>1000000</v>
      </c>
      <c r="D64" s="126">
        <v>1000000</v>
      </c>
      <c r="E64" s="428">
        <f t="shared" si="0"/>
        <v>1</v>
      </c>
      <c r="F64" s="428">
        <f t="shared" si="1"/>
        <v>1</v>
      </c>
      <c r="G64" s="424">
        <f>D64-'[10]Novembris'!D64</f>
        <v>435123</v>
      </c>
      <c r="H64" s="434" t="s">
        <v>259</v>
      </c>
      <c r="I64" s="126">
        <f>ROUND(B64/1000,0)</f>
        <v>1000</v>
      </c>
      <c r="J64" s="126">
        <f>ROUND(C64/1000,0)</f>
        <v>1000</v>
      </c>
      <c r="K64" s="126">
        <f>ROUND(D64/1000,0)</f>
        <v>1000</v>
      </c>
      <c r="L64" s="72">
        <f t="shared" si="3"/>
        <v>100</v>
      </c>
      <c r="M64" s="72">
        <f t="shared" si="2"/>
        <v>100</v>
      </c>
      <c r="N64" s="126">
        <f>K64-'[10]Novembris'!K64</f>
        <v>435</v>
      </c>
    </row>
    <row r="65" spans="1:14" s="2" customFormat="1" ht="12.75">
      <c r="A65" s="67" t="s">
        <v>274</v>
      </c>
      <c r="B65" s="436">
        <f>B66+B69</f>
        <v>446390</v>
      </c>
      <c r="C65" s="436">
        <f>C66+C69</f>
        <v>446390</v>
      </c>
      <c r="D65" s="436">
        <f>D66+D69</f>
        <v>337223</v>
      </c>
      <c r="E65" s="435">
        <f t="shared" si="0"/>
        <v>0.7554447904298931</v>
      </c>
      <c r="F65" s="435">
        <f t="shared" si="1"/>
        <v>0.7554447904298931</v>
      </c>
      <c r="G65" s="424">
        <f>D65-'[10]Novembris'!D65</f>
        <v>150184</v>
      </c>
      <c r="H65" s="67" t="s">
        <v>274</v>
      </c>
      <c r="I65" s="429">
        <f>I66+I69</f>
        <v>446</v>
      </c>
      <c r="J65" s="429">
        <f>J66+J69</f>
        <v>446</v>
      </c>
      <c r="K65" s="429">
        <f>K66+K69</f>
        <v>337</v>
      </c>
      <c r="L65" s="52">
        <f t="shared" si="3"/>
        <v>75.56053811659193</v>
      </c>
      <c r="M65" s="52">
        <f t="shared" si="2"/>
        <v>75.56053811659193</v>
      </c>
      <c r="N65" s="429">
        <f>K65-'[10]Novembris'!K65</f>
        <v>150</v>
      </c>
    </row>
    <row r="66" spans="1:14" s="81" customFormat="1" ht="12.75">
      <c r="A66" s="431" t="s">
        <v>563</v>
      </c>
      <c r="B66" s="432">
        <f>SUM(B67:B68)</f>
        <v>164250</v>
      </c>
      <c r="C66" s="432">
        <f>SUM(C67:C68)</f>
        <v>164250</v>
      </c>
      <c r="D66" s="432">
        <f>SUM(D67:D68)</f>
        <v>55083</v>
      </c>
      <c r="E66" s="428">
        <f t="shared" si="0"/>
        <v>0.3353607305936073</v>
      </c>
      <c r="F66" s="428">
        <f t="shared" si="1"/>
        <v>0.3353607305936073</v>
      </c>
      <c r="G66" s="424">
        <f>D66-'[10]Novembris'!D66</f>
        <v>55083</v>
      </c>
      <c r="H66" s="431" t="s">
        <v>563</v>
      </c>
      <c r="I66" s="432">
        <f>SUM(I67:I68)</f>
        <v>164</v>
      </c>
      <c r="J66" s="432">
        <f>SUM(J67:J68)</f>
        <v>164</v>
      </c>
      <c r="K66" s="432">
        <f>SUM(K67:K68)</f>
        <v>55</v>
      </c>
      <c r="L66" s="433">
        <f t="shared" si="3"/>
        <v>33.53658536585366</v>
      </c>
      <c r="M66" s="433">
        <f t="shared" si="2"/>
        <v>33.53658536585366</v>
      </c>
      <c r="N66" s="432">
        <f>K66-'[10]Novembris'!K66</f>
        <v>55</v>
      </c>
    </row>
    <row r="67" spans="1:14" ht="12.75">
      <c r="A67" s="434" t="s">
        <v>258</v>
      </c>
      <c r="B67" s="126">
        <v>36750</v>
      </c>
      <c r="C67" s="126">
        <v>36750</v>
      </c>
      <c r="D67" s="126">
        <v>37967</v>
      </c>
      <c r="E67" s="428">
        <f t="shared" si="0"/>
        <v>1.0331156462585034</v>
      </c>
      <c r="F67" s="428">
        <f t="shared" si="1"/>
        <v>1.0331156462585034</v>
      </c>
      <c r="G67" s="424">
        <f>D67-'[10]Novembris'!D67</f>
        <v>37967</v>
      </c>
      <c r="H67" s="434" t="s">
        <v>258</v>
      </c>
      <c r="I67" s="126">
        <f aca="true" t="shared" si="16" ref="I67:K68">ROUND(B67/1000,0)</f>
        <v>37</v>
      </c>
      <c r="J67" s="126">
        <f t="shared" si="16"/>
        <v>37</v>
      </c>
      <c r="K67" s="126">
        <f t="shared" si="16"/>
        <v>38</v>
      </c>
      <c r="L67" s="72">
        <f t="shared" si="3"/>
        <v>102.7027027027027</v>
      </c>
      <c r="M67" s="72">
        <f t="shared" si="2"/>
        <v>102.7027027027027</v>
      </c>
      <c r="N67" s="126">
        <f>K67-'[10]Novembris'!K67</f>
        <v>38</v>
      </c>
    </row>
    <row r="68" spans="1:14" ht="12.75">
      <c r="A68" s="434" t="s">
        <v>259</v>
      </c>
      <c r="B68" s="126">
        <v>127500</v>
      </c>
      <c r="C68" s="126">
        <v>127500</v>
      </c>
      <c r="D68" s="126">
        <v>17116</v>
      </c>
      <c r="E68" s="428">
        <f t="shared" si="0"/>
        <v>0.13424313725490197</v>
      </c>
      <c r="F68" s="428">
        <f t="shared" si="1"/>
        <v>0.13424313725490197</v>
      </c>
      <c r="G68" s="424">
        <f>D68-'[10]Novembris'!D68</f>
        <v>17116</v>
      </c>
      <c r="H68" s="434" t="s">
        <v>259</v>
      </c>
      <c r="I68" s="126">
        <f>ROUND(B68/1000,0)-1</f>
        <v>127</v>
      </c>
      <c r="J68" s="126">
        <f>ROUND(C68/1000,0)-1</f>
        <v>127</v>
      </c>
      <c r="K68" s="126">
        <f t="shared" si="16"/>
        <v>17</v>
      </c>
      <c r="L68" s="72">
        <f t="shared" si="3"/>
        <v>13.385826771653544</v>
      </c>
      <c r="M68" s="72">
        <f t="shared" si="2"/>
        <v>13.385826771653544</v>
      </c>
      <c r="N68" s="126">
        <f>K68-'[10]Novembris'!K68</f>
        <v>17</v>
      </c>
    </row>
    <row r="69" spans="1:14" s="81" customFormat="1" ht="12.75">
      <c r="A69" s="431" t="s">
        <v>564</v>
      </c>
      <c r="B69" s="432">
        <f>SUM(B70:B71)</f>
        <v>282140</v>
      </c>
      <c r="C69" s="432">
        <f>SUM(C70:C71)</f>
        <v>282140</v>
      </c>
      <c r="D69" s="432">
        <f>SUM(D70:D71)</f>
        <v>282140</v>
      </c>
      <c r="E69" s="428">
        <f t="shared" si="0"/>
        <v>1</v>
      </c>
      <c r="F69" s="428">
        <f t="shared" si="1"/>
        <v>1</v>
      </c>
      <c r="G69" s="424">
        <f>D69-'[10]Novembris'!D69</f>
        <v>95101</v>
      </c>
      <c r="H69" s="431" t="s">
        <v>564</v>
      </c>
      <c r="I69" s="432">
        <f>SUM(I70:I71)</f>
        <v>282</v>
      </c>
      <c r="J69" s="432">
        <f>SUM(J70:J71)</f>
        <v>282</v>
      </c>
      <c r="K69" s="432">
        <f>SUM(K70:K71)</f>
        <v>282</v>
      </c>
      <c r="L69" s="433">
        <f t="shared" si="3"/>
        <v>100</v>
      </c>
      <c r="M69" s="433">
        <f t="shared" si="2"/>
        <v>100</v>
      </c>
      <c r="N69" s="432">
        <f>K69-'[10]Novembris'!K69</f>
        <v>95</v>
      </c>
    </row>
    <row r="70" spans="1:14" ht="12.75">
      <c r="A70" s="434" t="s">
        <v>258</v>
      </c>
      <c r="B70" s="126">
        <v>176470</v>
      </c>
      <c r="C70" s="126">
        <v>176470</v>
      </c>
      <c r="D70" s="126">
        <v>176470</v>
      </c>
      <c r="E70" s="428">
        <f t="shared" si="0"/>
        <v>1</v>
      </c>
      <c r="F70" s="428">
        <f t="shared" si="1"/>
        <v>1</v>
      </c>
      <c r="G70" s="424">
        <f>D70-'[10]Novembris'!D70</f>
        <v>23710</v>
      </c>
      <c r="H70" s="434" t="s">
        <v>258</v>
      </c>
      <c r="I70" s="126">
        <f aca="true" t="shared" si="17" ref="I70:K71">ROUND(B70/1000,0)</f>
        <v>176</v>
      </c>
      <c r="J70" s="126">
        <f t="shared" si="17"/>
        <v>176</v>
      </c>
      <c r="K70" s="126">
        <f t="shared" si="17"/>
        <v>176</v>
      </c>
      <c r="L70" s="72">
        <f t="shared" si="3"/>
        <v>100</v>
      </c>
      <c r="M70" s="72">
        <f t="shared" si="2"/>
        <v>100</v>
      </c>
      <c r="N70" s="126">
        <f>K70-'[10]Novembris'!K70</f>
        <v>23</v>
      </c>
    </row>
    <row r="71" spans="1:14" ht="12.75">
      <c r="A71" s="434" t="s">
        <v>259</v>
      </c>
      <c r="B71" s="126">
        <v>105670</v>
      </c>
      <c r="C71" s="126">
        <v>105670</v>
      </c>
      <c r="D71" s="126">
        <v>105670</v>
      </c>
      <c r="E71" s="428">
        <f t="shared" si="0"/>
        <v>1</v>
      </c>
      <c r="F71" s="428">
        <f t="shared" si="1"/>
        <v>1</v>
      </c>
      <c r="G71" s="424">
        <f>D71-'[10]Novembris'!D71</f>
        <v>71391</v>
      </c>
      <c r="H71" s="434" t="s">
        <v>259</v>
      </c>
      <c r="I71" s="126">
        <f t="shared" si="17"/>
        <v>106</v>
      </c>
      <c r="J71" s="126">
        <f>ROUND(C71/1000,0)</f>
        <v>106</v>
      </c>
      <c r="K71" s="126">
        <f t="shared" si="17"/>
        <v>106</v>
      </c>
      <c r="L71" s="72">
        <f t="shared" si="3"/>
        <v>100</v>
      </c>
      <c r="M71" s="72">
        <f t="shared" si="2"/>
        <v>100</v>
      </c>
      <c r="N71" s="126">
        <f>K71-'[10]Novembris'!K71</f>
        <v>72</v>
      </c>
    </row>
    <row r="72" spans="1:14" s="2" customFormat="1" ht="12.75">
      <c r="A72" s="67" t="s">
        <v>565</v>
      </c>
      <c r="B72" s="436">
        <f>B73+B76</f>
        <v>1588101</v>
      </c>
      <c r="C72" s="436">
        <f>C73+C76</f>
        <v>1588101</v>
      </c>
      <c r="D72" s="436">
        <f>D73+D76</f>
        <v>494202</v>
      </c>
      <c r="E72" s="435">
        <f aca="true" t="shared" si="18" ref="E72:E105">IF(ISERROR(D72/B72)," ",(D72/B72))</f>
        <v>0.31119053511080214</v>
      </c>
      <c r="F72" s="435">
        <f t="shared" si="1"/>
        <v>0.31119053511080214</v>
      </c>
      <c r="G72" s="424">
        <f>D72-'[10]Novembris'!D72</f>
        <v>85899</v>
      </c>
      <c r="H72" s="67" t="s">
        <v>565</v>
      </c>
      <c r="I72" s="429">
        <f>I73+I76</f>
        <v>1588</v>
      </c>
      <c r="J72" s="429">
        <f>J73+J76</f>
        <v>1588</v>
      </c>
      <c r="K72" s="429">
        <f>K73+K76</f>
        <v>495</v>
      </c>
      <c r="L72" s="52">
        <f t="shared" si="3"/>
        <v>31.171284634760703</v>
      </c>
      <c r="M72" s="52">
        <f t="shared" si="2"/>
        <v>31.171284634760703</v>
      </c>
      <c r="N72" s="429">
        <f>K72-'[10]Novembris'!K72</f>
        <v>86</v>
      </c>
    </row>
    <row r="73" spans="1:14" s="81" customFormat="1" ht="12.75">
      <c r="A73" s="431" t="s">
        <v>563</v>
      </c>
      <c r="B73" s="432">
        <f>SUM(B74:B75)</f>
        <v>1207401</v>
      </c>
      <c r="C73" s="432">
        <f>SUM(C74:C75)</f>
        <v>1207401</v>
      </c>
      <c r="D73" s="432">
        <f>SUM(D74:D75)</f>
        <v>113502</v>
      </c>
      <c r="E73" s="428">
        <f t="shared" si="18"/>
        <v>0.09400522278845222</v>
      </c>
      <c r="F73" s="428">
        <f t="shared" si="1"/>
        <v>0.09400522278845222</v>
      </c>
      <c r="G73" s="424">
        <f>D73-'[10]Novembris'!D73</f>
        <v>25997</v>
      </c>
      <c r="H73" s="431" t="s">
        <v>563</v>
      </c>
      <c r="I73" s="432">
        <f>SUM(I74:I75)</f>
        <v>1207</v>
      </c>
      <c r="J73" s="432">
        <f>SUM(J74:J75)</f>
        <v>1207</v>
      </c>
      <c r="K73" s="432">
        <f>SUM(K74:K75)</f>
        <v>114</v>
      </c>
      <c r="L73" s="433">
        <f t="shared" si="3"/>
        <v>9.444904722452362</v>
      </c>
      <c r="M73" s="433">
        <f t="shared" si="2"/>
        <v>9.444904722452362</v>
      </c>
      <c r="N73" s="432">
        <f>K73-'[10]Novembris'!K73</f>
        <v>26</v>
      </c>
    </row>
    <row r="74" spans="1:14" ht="12.75">
      <c r="A74" s="434" t="s">
        <v>258</v>
      </c>
      <c r="B74" s="126">
        <v>743343</v>
      </c>
      <c r="C74" s="126">
        <v>743343</v>
      </c>
      <c r="D74" s="126">
        <v>90756</v>
      </c>
      <c r="E74" s="428">
        <f t="shared" si="18"/>
        <v>0.1220916858031891</v>
      </c>
      <c r="F74" s="428">
        <f t="shared" si="1"/>
        <v>0.1220916858031891</v>
      </c>
      <c r="G74" s="424">
        <f>D74-'[10]Novembris'!D74</f>
        <v>29761</v>
      </c>
      <c r="H74" s="434" t="s">
        <v>258</v>
      </c>
      <c r="I74" s="126">
        <f aca="true" t="shared" si="19" ref="I74:K75">ROUND(B74/1000,0)</f>
        <v>743</v>
      </c>
      <c r="J74" s="126">
        <f>ROUND(C74/1000,0)</f>
        <v>743</v>
      </c>
      <c r="K74" s="126">
        <f t="shared" si="19"/>
        <v>91</v>
      </c>
      <c r="L74" s="72">
        <f aca="true" t="shared" si="20" ref="L74:L105">IF(ISERROR(ROUND(K74,0)/ROUND(I74,0))," ",(ROUND(K74,)/ROUND(I74,)))*100</f>
        <v>12.24764468371467</v>
      </c>
      <c r="M74" s="72">
        <f t="shared" si="2"/>
        <v>12.24764468371467</v>
      </c>
      <c r="N74" s="126">
        <f>K74-'[10]Novembris'!K74</f>
        <v>30</v>
      </c>
    </row>
    <row r="75" spans="1:14" ht="12.75">
      <c r="A75" s="434" t="s">
        <v>259</v>
      </c>
      <c r="B75" s="126">
        <v>464058</v>
      </c>
      <c r="C75" s="126">
        <v>464058</v>
      </c>
      <c r="D75" s="126">
        <v>22746</v>
      </c>
      <c r="E75" s="428">
        <f t="shared" si="18"/>
        <v>0.049015424796038425</v>
      </c>
      <c r="F75" s="428">
        <f t="shared" si="1"/>
        <v>0.049015424796038425</v>
      </c>
      <c r="G75" s="424">
        <f>D75-'[10]Novembris'!D75</f>
        <v>-3764</v>
      </c>
      <c r="H75" s="434" t="s">
        <v>259</v>
      </c>
      <c r="I75" s="126">
        <f t="shared" si="19"/>
        <v>464</v>
      </c>
      <c r="J75" s="126">
        <f t="shared" si="19"/>
        <v>464</v>
      </c>
      <c r="K75" s="126">
        <f t="shared" si="19"/>
        <v>23</v>
      </c>
      <c r="L75" s="72">
        <f t="shared" si="20"/>
        <v>4.956896551724138</v>
      </c>
      <c r="M75" s="72">
        <f t="shared" si="2"/>
        <v>4.956896551724138</v>
      </c>
      <c r="N75" s="126">
        <f>K75-'[10]Novembris'!K75</f>
        <v>-4</v>
      </c>
    </row>
    <row r="76" spans="1:14" s="81" customFormat="1" ht="12.75">
      <c r="A76" s="431" t="s">
        <v>564</v>
      </c>
      <c r="B76" s="432">
        <f>SUM(B77:B78)</f>
        <v>380700</v>
      </c>
      <c r="C76" s="432">
        <f>SUM(C77:C78)</f>
        <v>380700</v>
      </c>
      <c r="D76" s="432">
        <f>SUM(D77:D78)</f>
        <v>380700</v>
      </c>
      <c r="E76" s="428">
        <f t="shared" si="18"/>
        <v>1</v>
      </c>
      <c r="F76" s="428">
        <f t="shared" si="1"/>
        <v>1</v>
      </c>
      <c r="G76" s="424">
        <f>D76-'[10]Novembris'!D76</f>
        <v>59902</v>
      </c>
      <c r="H76" s="431" t="s">
        <v>564</v>
      </c>
      <c r="I76" s="432">
        <f>SUM(I77:I78)</f>
        <v>381</v>
      </c>
      <c r="J76" s="432">
        <f>SUM(J77:J78)</f>
        <v>381</v>
      </c>
      <c r="K76" s="432">
        <f>SUM(K77:K78)</f>
        <v>381</v>
      </c>
      <c r="L76" s="433">
        <f t="shared" si="20"/>
        <v>100</v>
      </c>
      <c r="M76" s="433">
        <f t="shared" si="2"/>
        <v>100</v>
      </c>
      <c r="N76" s="432">
        <f>K76-'[10]Novembris'!K76</f>
        <v>60</v>
      </c>
    </row>
    <row r="77" spans="1:14" ht="12.75">
      <c r="A77" s="434" t="s">
        <v>258</v>
      </c>
      <c r="B77" s="126">
        <v>30700</v>
      </c>
      <c r="C77" s="126">
        <v>30700</v>
      </c>
      <c r="D77" s="126">
        <v>30700</v>
      </c>
      <c r="E77" s="428">
        <f t="shared" si="18"/>
        <v>1</v>
      </c>
      <c r="F77" s="428">
        <f t="shared" si="1"/>
        <v>1</v>
      </c>
      <c r="G77" s="424">
        <f>D77-'[10]Novembris'!D77</f>
        <v>2427</v>
      </c>
      <c r="H77" s="434" t="s">
        <v>258</v>
      </c>
      <c r="I77" s="126">
        <f aca="true" t="shared" si="21" ref="I77:K78">ROUND(B77/1000,0)</f>
        <v>31</v>
      </c>
      <c r="J77" s="126">
        <f t="shared" si="21"/>
        <v>31</v>
      </c>
      <c r="K77" s="126">
        <f t="shared" si="21"/>
        <v>31</v>
      </c>
      <c r="L77" s="72">
        <f t="shared" si="20"/>
        <v>100</v>
      </c>
      <c r="M77" s="72">
        <f t="shared" si="2"/>
        <v>100</v>
      </c>
      <c r="N77" s="126">
        <f>K77-'[10]Novembris'!K77</f>
        <v>3</v>
      </c>
    </row>
    <row r="78" spans="1:14" ht="12.75">
      <c r="A78" s="434" t="s">
        <v>259</v>
      </c>
      <c r="B78" s="126">
        <v>350000</v>
      </c>
      <c r="C78" s="126">
        <v>350000</v>
      </c>
      <c r="D78" s="126">
        <v>350000</v>
      </c>
      <c r="E78" s="428">
        <f t="shared" si="18"/>
        <v>1</v>
      </c>
      <c r="F78" s="428">
        <f t="shared" si="1"/>
        <v>1</v>
      </c>
      <c r="G78" s="424">
        <f>D78-'[10]Novembris'!D78</f>
        <v>57475</v>
      </c>
      <c r="H78" s="434" t="s">
        <v>259</v>
      </c>
      <c r="I78" s="126">
        <f t="shared" si="21"/>
        <v>350</v>
      </c>
      <c r="J78" s="126">
        <f t="shared" si="21"/>
        <v>350</v>
      </c>
      <c r="K78" s="126">
        <f t="shared" si="21"/>
        <v>350</v>
      </c>
      <c r="L78" s="72">
        <f t="shared" si="20"/>
        <v>100</v>
      </c>
      <c r="M78" s="72">
        <f t="shared" si="2"/>
        <v>100</v>
      </c>
      <c r="N78" s="126">
        <f>K78-'[10]Novembris'!K78</f>
        <v>57</v>
      </c>
    </row>
    <row r="79" spans="1:14" s="2" customFormat="1" ht="24">
      <c r="A79" s="53" t="s">
        <v>566</v>
      </c>
      <c r="B79" s="436">
        <f>B80+B83</f>
        <v>6643000</v>
      </c>
      <c r="C79" s="436">
        <f>C80+C83</f>
        <v>6643000</v>
      </c>
      <c r="D79" s="436">
        <f>D80+D83</f>
        <v>4174749</v>
      </c>
      <c r="E79" s="435">
        <f t="shared" si="18"/>
        <v>0.6284433237994882</v>
      </c>
      <c r="F79" s="435">
        <f t="shared" si="1"/>
        <v>0.6284433237994882</v>
      </c>
      <c r="G79" s="424">
        <f>D79-'[10]Novembris'!D79</f>
        <v>1365233</v>
      </c>
      <c r="H79" s="53" t="s">
        <v>566</v>
      </c>
      <c r="I79" s="429">
        <f>I80+I83</f>
        <v>6643</v>
      </c>
      <c r="J79" s="429">
        <f>J80+J83</f>
        <v>6643</v>
      </c>
      <c r="K79" s="429">
        <f>K80+K83</f>
        <v>4174</v>
      </c>
      <c r="L79" s="52">
        <f t="shared" si="20"/>
        <v>62.833057353605305</v>
      </c>
      <c r="M79" s="52">
        <f t="shared" si="2"/>
        <v>62.833057353605305</v>
      </c>
      <c r="N79" s="429">
        <f>K79-'[10]Novembris'!K79</f>
        <v>1365</v>
      </c>
    </row>
    <row r="80" spans="1:14" s="81" customFormat="1" ht="12.75">
      <c r="A80" s="431" t="s">
        <v>563</v>
      </c>
      <c r="B80" s="432">
        <f>SUM(B81:B82)</f>
        <v>6594400</v>
      </c>
      <c r="C80" s="432">
        <f>SUM(C81:C82)</f>
        <v>6594400</v>
      </c>
      <c r="D80" s="432">
        <f>SUM(D81:D82)</f>
        <v>4126177</v>
      </c>
      <c r="E80" s="428">
        <f t="shared" si="18"/>
        <v>0.6257092381414534</v>
      </c>
      <c r="F80" s="428">
        <f t="shared" si="1"/>
        <v>0.6257092381414534</v>
      </c>
      <c r="G80" s="424">
        <f>D80-'[10]Novembris'!D80</f>
        <v>1340940</v>
      </c>
      <c r="H80" s="431" t="s">
        <v>563</v>
      </c>
      <c r="I80" s="432">
        <f>SUM(I81:I82)</f>
        <v>6594</v>
      </c>
      <c r="J80" s="432">
        <f>SUM(J81:J82)</f>
        <v>6594</v>
      </c>
      <c r="K80" s="432">
        <f>SUM(K81:K82)</f>
        <v>4126</v>
      </c>
      <c r="L80" s="433">
        <f t="shared" si="20"/>
        <v>62.572035183500155</v>
      </c>
      <c r="M80" s="433">
        <f t="shared" si="2"/>
        <v>62.572035183500155</v>
      </c>
      <c r="N80" s="432">
        <f>K80-'[10]Novembris'!K80</f>
        <v>1341</v>
      </c>
    </row>
    <row r="81" spans="1:14" ht="12.75">
      <c r="A81" s="434" t="s">
        <v>258</v>
      </c>
      <c r="B81" s="126">
        <v>1335726</v>
      </c>
      <c r="C81" s="126">
        <v>1335726</v>
      </c>
      <c r="D81" s="126">
        <v>1363259</v>
      </c>
      <c r="E81" s="428">
        <f t="shared" si="18"/>
        <v>1.0206127604014597</v>
      </c>
      <c r="F81" s="428">
        <f aca="true" t="shared" si="22" ref="F81:F105">IF(ISERROR(D81/C81)," ",(D81/C81))</f>
        <v>1.0206127604014597</v>
      </c>
      <c r="G81" s="424">
        <f>D81-'[10]Novembris'!D81</f>
        <v>254488</v>
      </c>
      <c r="H81" s="434" t="s">
        <v>258</v>
      </c>
      <c r="I81" s="126">
        <f>ROUND(B81/1000,0)</f>
        <v>1336</v>
      </c>
      <c r="J81" s="126">
        <f>ROUND(C81/1000,0)</f>
        <v>1336</v>
      </c>
      <c r="K81" s="126">
        <f>ROUND(D81/1000,0)</f>
        <v>1363</v>
      </c>
      <c r="L81" s="72">
        <f t="shared" si="20"/>
        <v>102.02095808383234</v>
      </c>
      <c r="M81" s="72">
        <f aca="true" t="shared" si="23" ref="M81:M105">IF(ISERROR(ROUND(K81,0)/ROUND(J81,0))," ",(ROUND(K81,)/ROUND(J81,)))*100</f>
        <v>102.02095808383234</v>
      </c>
      <c r="N81" s="126">
        <f>K81-'[10]Novembris'!K81</f>
        <v>254</v>
      </c>
    </row>
    <row r="82" spans="1:14" ht="12.75">
      <c r="A82" s="437" t="s">
        <v>259</v>
      </c>
      <c r="B82" s="126">
        <v>5258674</v>
      </c>
      <c r="C82" s="126">
        <v>5258674</v>
      </c>
      <c r="D82" s="126">
        <v>2762918</v>
      </c>
      <c r="E82" s="428">
        <f t="shared" si="18"/>
        <v>0.5254020310062955</v>
      </c>
      <c r="F82" s="428">
        <f t="shared" si="22"/>
        <v>0.5254020310062955</v>
      </c>
      <c r="G82" s="424">
        <f>D82-'[10]Novembris'!D82</f>
        <v>1086452</v>
      </c>
      <c r="H82" s="437" t="s">
        <v>259</v>
      </c>
      <c r="I82" s="126">
        <f>ROUND(B82/1000,0)-1</f>
        <v>5258</v>
      </c>
      <c r="J82" s="126">
        <f>ROUND(C82/1000,0)-1</f>
        <v>5258</v>
      </c>
      <c r="K82" s="126">
        <f>ROUND(D82/1000,0)</f>
        <v>2763</v>
      </c>
      <c r="L82" s="72">
        <f t="shared" si="20"/>
        <v>52.54849752757702</v>
      </c>
      <c r="M82" s="72">
        <f t="shared" si="23"/>
        <v>52.54849752757702</v>
      </c>
      <c r="N82" s="126">
        <f>K82-'[10]Novembris'!K82</f>
        <v>1087</v>
      </c>
    </row>
    <row r="83" spans="1:14" s="81" customFormat="1" ht="12.75">
      <c r="A83" s="431" t="s">
        <v>564</v>
      </c>
      <c r="B83" s="432">
        <f>SUM(B84:B85)</f>
        <v>48600</v>
      </c>
      <c r="C83" s="432">
        <f>SUM(C84:C85)</f>
        <v>48600</v>
      </c>
      <c r="D83" s="432">
        <f>SUM(D84:D85)</f>
        <v>48572</v>
      </c>
      <c r="E83" s="428">
        <f t="shared" si="18"/>
        <v>0.9994238683127572</v>
      </c>
      <c r="F83" s="428">
        <f t="shared" si="22"/>
        <v>0.9994238683127572</v>
      </c>
      <c r="G83" s="424">
        <f>D83-'[10]Novembris'!D83</f>
        <v>24293</v>
      </c>
      <c r="H83" s="431" t="s">
        <v>564</v>
      </c>
      <c r="I83" s="432">
        <f>SUM(I84:I85)</f>
        <v>49</v>
      </c>
      <c r="J83" s="432">
        <f>SUM(J84:J85)</f>
        <v>49</v>
      </c>
      <c r="K83" s="432">
        <f>SUM(K84:K85)</f>
        <v>48</v>
      </c>
      <c r="L83" s="433">
        <f t="shared" si="20"/>
        <v>97.95918367346938</v>
      </c>
      <c r="M83" s="433">
        <f t="shared" si="23"/>
        <v>97.95918367346938</v>
      </c>
      <c r="N83" s="432">
        <f>K83-'[10]Novembris'!K83</f>
        <v>24</v>
      </c>
    </row>
    <row r="84" spans="1:14" ht="12.75">
      <c r="A84" s="434" t="s">
        <v>258</v>
      </c>
      <c r="B84" s="126">
        <v>48600</v>
      </c>
      <c r="C84" s="126">
        <v>48600</v>
      </c>
      <c r="D84" s="126">
        <v>48572</v>
      </c>
      <c r="E84" s="428">
        <f t="shared" si="18"/>
        <v>0.9994238683127572</v>
      </c>
      <c r="F84" s="428">
        <f t="shared" si="22"/>
        <v>0.9994238683127572</v>
      </c>
      <c r="G84" s="424">
        <f>D84-'[10]Novembris'!D84</f>
        <v>24293</v>
      </c>
      <c r="H84" s="434" t="s">
        <v>258</v>
      </c>
      <c r="I84" s="126">
        <f aca="true" t="shared" si="24" ref="I84:K85">ROUND(B84/1000,0)</f>
        <v>49</v>
      </c>
      <c r="J84" s="126">
        <f t="shared" si="24"/>
        <v>49</v>
      </c>
      <c r="K84" s="126">
        <f>ROUND(D84/1000,0)-1</f>
        <v>48</v>
      </c>
      <c r="L84" s="72">
        <f t="shared" si="20"/>
        <v>97.95918367346938</v>
      </c>
      <c r="M84" s="72">
        <f t="shared" si="23"/>
        <v>97.95918367346938</v>
      </c>
      <c r="N84" s="126">
        <f>K84-'[10]Novembris'!K84</f>
        <v>24</v>
      </c>
    </row>
    <row r="85" spans="1:14" ht="12.75" hidden="1">
      <c r="A85" s="434" t="s">
        <v>259</v>
      </c>
      <c r="B85" s="126"/>
      <c r="C85" s="126"/>
      <c r="D85" s="126"/>
      <c r="E85" s="428" t="str">
        <f t="shared" si="18"/>
        <v> </v>
      </c>
      <c r="F85" s="428" t="str">
        <f t="shared" si="22"/>
        <v> </v>
      </c>
      <c r="G85" s="424">
        <f>D85-'[10]Novembris'!D85</f>
        <v>0</v>
      </c>
      <c r="H85" s="434" t="s">
        <v>259</v>
      </c>
      <c r="I85" s="126">
        <f t="shared" si="24"/>
        <v>0</v>
      </c>
      <c r="J85" s="126">
        <f t="shared" si="24"/>
        <v>0</v>
      </c>
      <c r="K85" s="126">
        <f t="shared" si="24"/>
        <v>0</v>
      </c>
      <c r="L85" s="72" t="e">
        <f t="shared" si="20"/>
        <v>#VALUE!</v>
      </c>
      <c r="M85" s="72" t="e">
        <f t="shared" si="23"/>
        <v>#VALUE!</v>
      </c>
      <c r="N85" s="126">
        <f>K85-'[10]Novembris'!K85</f>
        <v>0</v>
      </c>
    </row>
    <row r="86" spans="1:14" s="2" customFormat="1" ht="36">
      <c r="A86" s="438" t="s">
        <v>288</v>
      </c>
      <c r="B86" s="436">
        <f>B87+B89</f>
        <v>2180697</v>
      </c>
      <c r="C86" s="436">
        <f>C87+C89</f>
        <v>2180697</v>
      </c>
      <c r="D86" s="436">
        <f>D87+D89</f>
        <v>673461</v>
      </c>
      <c r="E86" s="435">
        <f t="shared" si="18"/>
        <v>0.30882832415507516</v>
      </c>
      <c r="F86" s="435">
        <f t="shared" si="22"/>
        <v>0.30882832415507516</v>
      </c>
      <c r="G86" s="424">
        <f>D86-'[10]Novembris'!D86</f>
        <v>53439</v>
      </c>
      <c r="H86" s="438" t="s">
        <v>288</v>
      </c>
      <c r="I86" s="429">
        <f>I87+I89</f>
        <v>2180</v>
      </c>
      <c r="J86" s="429">
        <f>J87+J89</f>
        <v>2180</v>
      </c>
      <c r="K86" s="429">
        <f>K87+K89</f>
        <v>674</v>
      </c>
      <c r="L86" s="52">
        <f t="shared" si="20"/>
        <v>30.91743119266055</v>
      </c>
      <c r="M86" s="52">
        <f t="shared" si="23"/>
        <v>30.91743119266055</v>
      </c>
      <c r="N86" s="429">
        <f>K86-'[10]Novembris'!K86</f>
        <v>53</v>
      </c>
    </row>
    <row r="87" spans="1:14" s="81" customFormat="1" ht="12.75">
      <c r="A87" s="431" t="s">
        <v>563</v>
      </c>
      <c r="B87" s="432">
        <f>SUM(B88:B88)</f>
        <v>2052099</v>
      </c>
      <c r="C87" s="432">
        <f>SUM(C88:C88)</f>
        <v>2052099</v>
      </c>
      <c r="D87" s="432">
        <f>SUM(D88:D88)</f>
        <v>544863</v>
      </c>
      <c r="E87" s="428">
        <f t="shared" si="18"/>
        <v>0.2655149678451186</v>
      </c>
      <c r="F87" s="428">
        <f t="shared" si="22"/>
        <v>0.2655149678451186</v>
      </c>
      <c r="G87" s="424">
        <f>D87-'[10]Novembris'!D87</f>
        <v>36359</v>
      </c>
      <c r="H87" s="431" t="s">
        <v>563</v>
      </c>
      <c r="I87" s="432">
        <f>I88</f>
        <v>2052</v>
      </c>
      <c r="J87" s="432">
        <f>J88</f>
        <v>2052</v>
      </c>
      <c r="K87" s="432">
        <f>K88</f>
        <v>545</v>
      </c>
      <c r="L87" s="433">
        <f t="shared" si="20"/>
        <v>26.55945419103314</v>
      </c>
      <c r="M87" s="433">
        <f t="shared" si="23"/>
        <v>26.55945419103314</v>
      </c>
      <c r="N87" s="432">
        <f>K87-'[10]Novembris'!K87</f>
        <v>36</v>
      </c>
    </row>
    <row r="88" spans="1:14" ht="12.75">
      <c r="A88" s="434" t="s">
        <v>258</v>
      </c>
      <c r="B88" s="126">
        <v>2052099</v>
      </c>
      <c r="C88" s="126">
        <v>2052099</v>
      </c>
      <c r="D88" s="126">
        <v>544863</v>
      </c>
      <c r="E88" s="428">
        <f t="shared" si="18"/>
        <v>0.2655149678451186</v>
      </c>
      <c r="F88" s="428">
        <f t="shared" si="22"/>
        <v>0.2655149678451186</v>
      </c>
      <c r="G88" s="424">
        <f>D88-'[10]Novembris'!D88</f>
        <v>36359</v>
      </c>
      <c r="H88" s="434" t="s">
        <v>258</v>
      </c>
      <c r="I88" s="126">
        <f>ROUND(B88/1000,0)</f>
        <v>2052</v>
      </c>
      <c r="J88" s="126">
        <f>ROUND(C88/1000,0)</f>
        <v>2052</v>
      </c>
      <c r="K88" s="126">
        <f>ROUND(D88/1000,0)</f>
        <v>545</v>
      </c>
      <c r="L88" s="72">
        <f t="shared" si="20"/>
        <v>26.55945419103314</v>
      </c>
      <c r="M88" s="72">
        <f t="shared" si="23"/>
        <v>26.55945419103314</v>
      </c>
      <c r="N88" s="126">
        <f>K88-'[10]Novembris'!K88</f>
        <v>36</v>
      </c>
    </row>
    <row r="89" spans="1:14" s="81" customFormat="1" ht="12.75">
      <c r="A89" s="431" t="s">
        <v>564</v>
      </c>
      <c r="B89" s="432">
        <f>B90</f>
        <v>128598</v>
      </c>
      <c r="C89" s="432">
        <f>C90</f>
        <v>128598</v>
      </c>
      <c r="D89" s="432">
        <f>D90</f>
        <v>128598</v>
      </c>
      <c r="E89" s="428">
        <f t="shared" si="18"/>
        <v>1</v>
      </c>
      <c r="F89" s="428">
        <f t="shared" si="22"/>
        <v>1</v>
      </c>
      <c r="G89" s="424">
        <f>D89-'[10]Novembris'!D89</f>
        <v>17080</v>
      </c>
      <c r="H89" s="431" t="s">
        <v>564</v>
      </c>
      <c r="I89" s="432">
        <f>I90</f>
        <v>128</v>
      </c>
      <c r="J89" s="432">
        <f>J90</f>
        <v>128</v>
      </c>
      <c r="K89" s="432">
        <f>K90</f>
        <v>129</v>
      </c>
      <c r="L89" s="433">
        <f t="shared" si="20"/>
        <v>100.78125</v>
      </c>
      <c r="M89" s="433">
        <f t="shared" si="23"/>
        <v>100.78125</v>
      </c>
      <c r="N89" s="432">
        <f>K89-'[10]Novembris'!K89</f>
        <v>17</v>
      </c>
    </row>
    <row r="90" spans="1:14" ht="12.75">
      <c r="A90" s="434" t="s">
        <v>258</v>
      </c>
      <c r="B90" s="126">
        <v>128598</v>
      </c>
      <c r="C90" s="126">
        <v>128598</v>
      </c>
      <c r="D90" s="126">
        <v>128598</v>
      </c>
      <c r="E90" s="428">
        <f t="shared" si="18"/>
        <v>1</v>
      </c>
      <c r="F90" s="428">
        <f t="shared" si="22"/>
        <v>1</v>
      </c>
      <c r="G90" s="424">
        <f>D90-'[10]Novembris'!D90</f>
        <v>17080</v>
      </c>
      <c r="H90" s="434" t="s">
        <v>258</v>
      </c>
      <c r="I90" s="126">
        <f>ROUND(B90/1000,0)-1</f>
        <v>128</v>
      </c>
      <c r="J90" s="126">
        <f>ROUND(C90/1000,0)-1</f>
        <v>128</v>
      </c>
      <c r="K90" s="126">
        <f>ROUND(D90/1000,0)</f>
        <v>129</v>
      </c>
      <c r="L90" s="72">
        <f t="shared" si="20"/>
        <v>100.78125</v>
      </c>
      <c r="M90" s="72">
        <f t="shared" si="23"/>
        <v>100.78125</v>
      </c>
      <c r="N90" s="126">
        <f>K90-'[10]Novembris'!K90</f>
        <v>17</v>
      </c>
    </row>
    <row r="91" spans="1:14" s="2" customFormat="1" ht="24">
      <c r="A91" s="438" t="s">
        <v>567</v>
      </c>
      <c r="B91" s="429">
        <f aca="true" t="shared" si="25" ref="B91:D92">B92</f>
        <v>2140000</v>
      </c>
      <c r="C91" s="429">
        <f t="shared" si="25"/>
        <v>2140000</v>
      </c>
      <c r="D91" s="429">
        <f t="shared" si="25"/>
        <v>686041</v>
      </c>
      <c r="E91" s="435">
        <f t="shared" si="18"/>
        <v>0.3205799065420561</v>
      </c>
      <c r="F91" s="435">
        <f t="shared" si="22"/>
        <v>0.3205799065420561</v>
      </c>
      <c r="G91" s="424">
        <f>D91-'[10]Novembris'!D91</f>
        <v>121823</v>
      </c>
      <c r="H91" s="438" t="s">
        <v>567</v>
      </c>
      <c r="I91" s="429">
        <f aca="true" t="shared" si="26" ref="I91:K92">I92</f>
        <v>2140</v>
      </c>
      <c r="J91" s="429">
        <f t="shared" si="26"/>
        <v>2140</v>
      </c>
      <c r="K91" s="429">
        <f t="shared" si="26"/>
        <v>686</v>
      </c>
      <c r="L91" s="52">
        <f t="shared" si="20"/>
        <v>32.05607476635514</v>
      </c>
      <c r="M91" s="52">
        <f t="shared" si="23"/>
        <v>32.05607476635514</v>
      </c>
      <c r="N91" s="429">
        <f>K91-'[10]Novembris'!K91</f>
        <v>122</v>
      </c>
    </row>
    <row r="92" spans="1:14" s="81" customFormat="1" ht="12.75">
      <c r="A92" s="431" t="s">
        <v>563</v>
      </c>
      <c r="B92" s="432">
        <f t="shared" si="25"/>
        <v>2140000</v>
      </c>
      <c r="C92" s="432">
        <f t="shared" si="25"/>
        <v>2140000</v>
      </c>
      <c r="D92" s="432">
        <f t="shared" si="25"/>
        <v>686041</v>
      </c>
      <c r="E92" s="428">
        <f t="shared" si="18"/>
        <v>0.3205799065420561</v>
      </c>
      <c r="F92" s="428">
        <f t="shared" si="22"/>
        <v>0.3205799065420561</v>
      </c>
      <c r="G92" s="424">
        <f>D92-'[10]Novembris'!D92</f>
        <v>121823</v>
      </c>
      <c r="H92" s="431" t="s">
        <v>563</v>
      </c>
      <c r="I92" s="432">
        <f t="shared" si="26"/>
        <v>2140</v>
      </c>
      <c r="J92" s="432">
        <f t="shared" si="26"/>
        <v>2140</v>
      </c>
      <c r="K92" s="432">
        <f t="shared" si="26"/>
        <v>686</v>
      </c>
      <c r="L92" s="433">
        <f t="shared" si="20"/>
        <v>32.05607476635514</v>
      </c>
      <c r="M92" s="433">
        <f t="shared" si="23"/>
        <v>32.05607476635514</v>
      </c>
      <c r="N92" s="432">
        <f>K92-'[10]Novembris'!K92</f>
        <v>122</v>
      </c>
    </row>
    <row r="93" spans="1:14" ht="12.75">
      <c r="A93" s="434" t="s">
        <v>258</v>
      </c>
      <c r="B93" s="126">
        <v>2140000</v>
      </c>
      <c r="C93" s="126">
        <v>2140000</v>
      </c>
      <c r="D93" s="126">
        <v>686041</v>
      </c>
      <c r="E93" s="428">
        <f t="shared" si="18"/>
        <v>0.3205799065420561</v>
      </c>
      <c r="F93" s="428">
        <f t="shared" si="22"/>
        <v>0.3205799065420561</v>
      </c>
      <c r="G93" s="424">
        <f>D93-'[10]Novembris'!D93</f>
        <v>121823</v>
      </c>
      <c r="H93" s="434" t="s">
        <v>258</v>
      </c>
      <c r="I93" s="126">
        <f>ROUND(B93/1000,0)</f>
        <v>2140</v>
      </c>
      <c r="J93" s="126">
        <f>ROUND(C93/1000,0)</f>
        <v>2140</v>
      </c>
      <c r="K93" s="126">
        <f>ROUND(D93/1000,0)</f>
        <v>686</v>
      </c>
      <c r="L93" s="72">
        <f t="shared" si="20"/>
        <v>32.05607476635514</v>
      </c>
      <c r="M93" s="72">
        <f t="shared" si="23"/>
        <v>32.05607476635514</v>
      </c>
      <c r="N93" s="126">
        <f>K93-'[10]Novembris'!K93</f>
        <v>122</v>
      </c>
    </row>
    <row r="94" spans="1:104" ht="38.25">
      <c r="A94" s="423" t="s">
        <v>568</v>
      </c>
      <c r="B94" s="439">
        <f>B95+B98</f>
        <v>3357093</v>
      </c>
      <c r="C94" s="439">
        <f>C95+C98</f>
        <v>3357093</v>
      </c>
      <c r="D94" s="439">
        <f>D95+D98</f>
        <v>2240634</v>
      </c>
      <c r="E94" s="425">
        <f t="shared" si="18"/>
        <v>0.6674328057042209</v>
      </c>
      <c r="F94" s="425">
        <f t="shared" si="22"/>
        <v>0.6674328057042209</v>
      </c>
      <c r="G94" s="424">
        <f>D94-'[10]Novembris'!D94</f>
        <v>350291</v>
      </c>
      <c r="H94" s="423" t="s">
        <v>568</v>
      </c>
      <c r="I94" s="173">
        <f>I95+I98</f>
        <v>3357</v>
      </c>
      <c r="J94" s="173">
        <f>J95+J98</f>
        <v>3357</v>
      </c>
      <c r="K94" s="173">
        <f>K95+K98</f>
        <v>2241</v>
      </c>
      <c r="L94" s="168">
        <f t="shared" si="20"/>
        <v>66.75603217158177</v>
      </c>
      <c r="M94" s="168">
        <f t="shared" si="23"/>
        <v>66.75603217158177</v>
      </c>
      <c r="N94" s="173">
        <f>K94-'[10]Novembris'!K94</f>
        <v>351</v>
      </c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</row>
    <row r="95" spans="1:104" s="83" customFormat="1" ht="15" customHeight="1">
      <c r="A95" s="426" t="s">
        <v>467</v>
      </c>
      <c r="B95" s="424">
        <f>B96+B97</f>
        <v>2109853</v>
      </c>
      <c r="C95" s="424">
        <f>C96+C97</f>
        <v>2109853</v>
      </c>
      <c r="D95" s="424">
        <f>D96+D97</f>
        <v>1099000</v>
      </c>
      <c r="E95" s="425">
        <f t="shared" si="18"/>
        <v>0.5208893700177216</v>
      </c>
      <c r="F95" s="425">
        <f t="shared" si="22"/>
        <v>0.5208893700177216</v>
      </c>
      <c r="G95" s="424">
        <f>D95-'[10]Novembris'!D95</f>
        <v>-34877</v>
      </c>
      <c r="H95" s="426" t="s">
        <v>467</v>
      </c>
      <c r="I95" s="440">
        <f>I96+I97</f>
        <v>2110</v>
      </c>
      <c r="J95" s="440">
        <f>J96+J97</f>
        <v>2110</v>
      </c>
      <c r="K95" s="440">
        <f>K96+K97</f>
        <v>1099</v>
      </c>
      <c r="L95" s="168">
        <f t="shared" si="20"/>
        <v>52.08530805687204</v>
      </c>
      <c r="M95" s="168">
        <f t="shared" si="23"/>
        <v>52.08530805687204</v>
      </c>
      <c r="N95" s="440">
        <f>K95-'[10]Novembris'!K95</f>
        <v>-35</v>
      </c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</row>
    <row r="96" spans="1:14" ht="12.75">
      <c r="A96" s="217" t="s">
        <v>258</v>
      </c>
      <c r="B96" s="436">
        <f aca="true" t="shared" si="27" ref="B96:D97">B102</f>
        <v>149864</v>
      </c>
      <c r="C96" s="436">
        <f t="shared" si="27"/>
        <v>149864</v>
      </c>
      <c r="D96" s="436">
        <f t="shared" si="27"/>
        <v>29150</v>
      </c>
      <c r="E96" s="425">
        <f t="shared" si="18"/>
        <v>0.19450968878449795</v>
      </c>
      <c r="F96" s="425">
        <f t="shared" si="22"/>
        <v>0.19450968878449795</v>
      </c>
      <c r="G96" s="424">
        <f>D96-'[10]Novembris'!D96</f>
        <v>29150</v>
      </c>
      <c r="H96" s="217" t="s">
        <v>258</v>
      </c>
      <c r="I96" s="429">
        <f aca="true" t="shared" si="28" ref="I96:K97">I102</f>
        <v>150</v>
      </c>
      <c r="J96" s="429">
        <f t="shared" si="28"/>
        <v>150</v>
      </c>
      <c r="K96" s="429">
        <f t="shared" si="28"/>
        <v>29</v>
      </c>
      <c r="L96" s="168">
        <f t="shared" si="20"/>
        <v>19.333333333333332</v>
      </c>
      <c r="M96" s="168">
        <f t="shared" si="23"/>
        <v>19.333333333333332</v>
      </c>
      <c r="N96" s="429">
        <f>K96-'[10]Novembris'!K96</f>
        <v>29</v>
      </c>
    </row>
    <row r="97" spans="1:14" ht="12.75">
      <c r="A97" s="217" t="s">
        <v>259</v>
      </c>
      <c r="B97" s="436">
        <f t="shared" si="27"/>
        <v>1959989</v>
      </c>
      <c r="C97" s="436">
        <f t="shared" si="27"/>
        <v>1959989</v>
      </c>
      <c r="D97" s="436">
        <f t="shared" si="27"/>
        <v>1069850</v>
      </c>
      <c r="E97" s="428">
        <f t="shared" si="18"/>
        <v>0.5458449001499498</v>
      </c>
      <c r="F97" s="428">
        <f t="shared" si="22"/>
        <v>0.5458449001499498</v>
      </c>
      <c r="G97" s="424">
        <f>D97-'[10]Novembris'!D97</f>
        <v>-64027</v>
      </c>
      <c r="H97" s="217" t="s">
        <v>259</v>
      </c>
      <c r="I97" s="429">
        <f t="shared" si="28"/>
        <v>1960</v>
      </c>
      <c r="J97" s="67">
        <f t="shared" si="28"/>
        <v>1960</v>
      </c>
      <c r="K97" s="429">
        <f t="shared" si="28"/>
        <v>1070</v>
      </c>
      <c r="L97" s="52">
        <f t="shared" si="20"/>
        <v>54.59183673469388</v>
      </c>
      <c r="M97" s="52">
        <f t="shared" si="23"/>
        <v>54.59183673469388</v>
      </c>
      <c r="N97" s="429">
        <f>K97-'[10]Novembris'!K97</f>
        <v>-64</v>
      </c>
    </row>
    <row r="98" spans="1:104" s="83" customFormat="1" ht="15" customHeight="1">
      <c r="A98" s="426" t="s">
        <v>569</v>
      </c>
      <c r="B98" s="424">
        <f>B99</f>
        <v>1247240</v>
      </c>
      <c r="C98" s="424">
        <f>C99</f>
        <v>1247240</v>
      </c>
      <c r="D98" s="424">
        <f>D99</f>
        <v>1141634</v>
      </c>
      <c r="E98" s="425">
        <f t="shared" si="18"/>
        <v>0.9153282447644399</v>
      </c>
      <c r="F98" s="425">
        <f t="shared" si="22"/>
        <v>0.9153282447644399</v>
      </c>
      <c r="G98" s="424">
        <f>D98-'[10]Novembris'!D98</f>
        <v>385168</v>
      </c>
      <c r="H98" s="426" t="s">
        <v>569</v>
      </c>
      <c r="I98" s="173">
        <f>I99</f>
        <v>1247</v>
      </c>
      <c r="J98" s="173">
        <f>J99</f>
        <v>1247</v>
      </c>
      <c r="K98" s="173">
        <f>K99</f>
        <v>1142</v>
      </c>
      <c r="L98" s="168">
        <f t="shared" si="20"/>
        <v>91.57979149959904</v>
      </c>
      <c r="M98" s="168">
        <f t="shared" si="23"/>
        <v>91.57979149959904</v>
      </c>
      <c r="N98" s="173">
        <f>K98-'[10]Novembris'!K98</f>
        <v>386</v>
      </c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</row>
    <row r="99" spans="1:14" ht="12.75">
      <c r="A99" s="217" t="s">
        <v>259</v>
      </c>
      <c r="B99" s="436">
        <f>B105</f>
        <v>1247240</v>
      </c>
      <c r="C99" s="436">
        <f>C105</f>
        <v>1247240</v>
      </c>
      <c r="D99" s="436">
        <f>D105</f>
        <v>1141634</v>
      </c>
      <c r="E99" s="428">
        <f t="shared" si="18"/>
        <v>0.9153282447644399</v>
      </c>
      <c r="F99" s="428">
        <f t="shared" si="22"/>
        <v>0.9153282447644399</v>
      </c>
      <c r="G99" s="424">
        <f>D99-'[10]Novembris'!D99</f>
        <v>385168</v>
      </c>
      <c r="H99" s="217" t="s">
        <v>259</v>
      </c>
      <c r="I99" s="429">
        <f>I105</f>
        <v>1247</v>
      </c>
      <c r="J99" s="429">
        <f>J105</f>
        <v>1247</v>
      </c>
      <c r="K99" s="429">
        <f>K105</f>
        <v>1142</v>
      </c>
      <c r="L99" s="52">
        <f t="shared" si="20"/>
        <v>91.57979149959904</v>
      </c>
      <c r="M99" s="52">
        <f t="shared" si="23"/>
        <v>91.57979149959904</v>
      </c>
      <c r="N99" s="429">
        <f>K99-'[10]Novembris'!K99</f>
        <v>386</v>
      </c>
    </row>
    <row r="100" spans="1:14" s="2" customFormat="1" ht="12.75">
      <c r="A100" s="438" t="s">
        <v>273</v>
      </c>
      <c r="B100" s="429">
        <f>B101+B104</f>
        <v>3357093</v>
      </c>
      <c r="C100" s="429">
        <f>C101+C104</f>
        <v>3357093</v>
      </c>
      <c r="D100" s="429">
        <f>D101+D104</f>
        <v>2240634</v>
      </c>
      <c r="E100" s="435">
        <f t="shared" si="18"/>
        <v>0.6674328057042209</v>
      </c>
      <c r="F100" s="435">
        <f t="shared" si="22"/>
        <v>0.6674328057042209</v>
      </c>
      <c r="G100" s="424">
        <f>D100-'[10]Novembris'!D100</f>
        <v>350291</v>
      </c>
      <c r="H100" s="438" t="s">
        <v>273</v>
      </c>
      <c r="I100" s="429">
        <f>I101+I104</f>
        <v>3357</v>
      </c>
      <c r="J100" s="429">
        <f>J101+J104</f>
        <v>3357</v>
      </c>
      <c r="K100" s="429">
        <f>K101+K104</f>
        <v>2241</v>
      </c>
      <c r="L100" s="52">
        <f t="shared" si="20"/>
        <v>66.75603217158177</v>
      </c>
      <c r="M100" s="52">
        <f t="shared" si="23"/>
        <v>66.75603217158177</v>
      </c>
      <c r="N100" s="429">
        <f>K100-'[10]Novembris'!K100</f>
        <v>351</v>
      </c>
    </row>
    <row r="101" spans="1:14" s="81" customFormat="1" ht="12.75">
      <c r="A101" s="431" t="s">
        <v>563</v>
      </c>
      <c r="B101" s="432">
        <f>B102+B103</f>
        <v>2109853</v>
      </c>
      <c r="C101" s="432">
        <f>C102+C103</f>
        <v>2109853</v>
      </c>
      <c r="D101" s="432">
        <f>D102+D103</f>
        <v>1099000</v>
      </c>
      <c r="E101" s="428">
        <f t="shared" si="18"/>
        <v>0.5208893700177216</v>
      </c>
      <c r="F101" s="428">
        <f t="shared" si="22"/>
        <v>0.5208893700177216</v>
      </c>
      <c r="G101" s="424">
        <f>D101-'[10]Novembris'!D101</f>
        <v>-34877</v>
      </c>
      <c r="H101" s="431" t="s">
        <v>563</v>
      </c>
      <c r="I101" s="432">
        <f>I103+I102</f>
        <v>2110</v>
      </c>
      <c r="J101" s="432">
        <f>J103+J102</f>
        <v>2110</v>
      </c>
      <c r="K101" s="432">
        <f>K103+K102</f>
        <v>1099</v>
      </c>
      <c r="L101" s="433">
        <f t="shared" si="20"/>
        <v>52.08530805687204</v>
      </c>
      <c r="M101" s="433">
        <f t="shared" si="23"/>
        <v>52.08530805687204</v>
      </c>
      <c r="N101" s="432">
        <f>K101-'[10]Novembris'!K101</f>
        <v>-35</v>
      </c>
    </row>
    <row r="102" spans="1:14" ht="12.75">
      <c r="A102" s="434" t="s">
        <v>258</v>
      </c>
      <c r="B102" s="126">
        <v>149864</v>
      </c>
      <c r="C102" s="126">
        <v>149864</v>
      </c>
      <c r="D102" s="126">
        <v>29150</v>
      </c>
      <c r="E102" s="428">
        <f t="shared" si="18"/>
        <v>0.19450968878449795</v>
      </c>
      <c r="F102" s="428"/>
      <c r="G102" s="424">
        <f>D102-'[10]Novembris'!D102</f>
        <v>29150</v>
      </c>
      <c r="H102" s="434" t="s">
        <v>258</v>
      </c>
      <c r="I102" s="126">
        <f aca="true" t="shared" si="29" ref="I102:K103">ROUND(B102/1000,0)</f>
        <v>150</v>
      </c>
      <c r="J102" s="126">
        <f t="shared" si="29"/>
        <v>150</v>
      </c>
      <c r="K102" s="126">
        <f t="shared" si="29"/>
        <v>29</v>
      </c>
      <c r="L102" s="72">
        <f t="shared" si="20"/>
        <v>19.333333333333332</v>
      </c>
      <c r="M102" s="72">
        <f t="shared" si="23"/>
        <v>19.333333333333332</v>
      </c>
      <c r="N102" s="126">
        <f>K102-'[10]Novembris'!K102</f>
        <v>29</v>
      </c>
    </row>
    <row r="103" spans="1:104" s="54" customFormat="1" ht="12.75">
      <c r="A103" s="434" t="s">
        <v>259</v>
      </c>
      <c r="B103" s="126">
        <v>1959989</v>
      </c>
      <c r="C103" s="126">
        <v>1959989</v>
      </c>
      <c r="D103" s="126">
        <v>1069850</v>
      </c>
      <c r="E103" s="428">
        <f t="shared" si="18"/>
        <v>0.5458449001499498</v>
      </c>
      <c r="F103" s="428">
        <f t="shared" si="22"/>
        <v>0.5458449001499498</v>
      </c>
      <c r="G103" s="424">
        <f>D103-'[10]Novembris'!D103</f>
        <v>-64027</v>
      </c>
      <c r="H103" s="434" t="s">
        <v>259</v>
      </c>
      <c r="I103" s="126">
        <f t="shared" si="29"/>
        <v>1960</v>
      </c>
      <c r="J103" s="126">
        <f t="shared" si="29"/>
        <v>1960</v>
      </c>
      <c r="K103" s="126">
        <f t="shared" si="29"/>
        <v>1070</v>
      </c>
      <c r="L103" s="72">
        <f t="shared" si="20"/>
        <v>54.59183673469388</v>
      </c>
      <c r="M103" s="72">
        <f t="shared" si="23"/>
        <v>54.59183673469388</v>
      </c>
      <c r="N103" s="126">
        <f>K103-'[10]Novembris'!K103</f>
        <v>-64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</row>
    <row r="104" spans="1:14" s="81" customFormat="1" ht="12.75">
      <c r="A104" s="431" t="s">
        <v>570</v>
      </c>
      <c r="B104" s="432">
        <f>B105</f>
        <v>1247240</v>
      </c>
      <c r="C104" s="432">
        <f>C105</f>
        <v>1247240</v>
      </c>
      <c r="D104" s="432">
        <f>D105</f>
        <v>1141634</v>
      </c>
      <c r="E104" s="428">
        <f t="shared" si="18"/>
        <v>0.9153282447644399</v>
      </c>
      <c r="F104" s="428">
        <f t="shared" si="22"/>
        <v>0.9153282447644399</v>
      </c>
      <c r="G104" s="424">
        <f>D104-'[10]Novembris'!D104</f>
        <v>385168</v>
      </c>
      <c r="H104" s="431" t="s">
        <v>570</v>
      </c>
      <c r="I104" s="432">
        <f>I105</f>
        <v>1247</v>
      </c>
      <c r="J104" s="432">
        <f>J105</f>
        <v>1247</v>
      </c>
      <c r="K104" s="432">
        <f>K105</f>
        <v>1142</v>
      </c>
      <c r="L104" s="433">
        <f t="shared" si="20"/>
        <v>91.57979149959904</v>
      </c>
      <c r="M104" s="433">
        <f t="shared" si="23"/>
        <v>91.57979149959904</v>
      </c>
      <c r="N104" s="432">
        <f>K104-'[10]Novembris'!K104</f>
        <v>386</v>
      </c>
    </row>
    <row r="105" spans="1:104" s="54" customFormat="1" ht="12.75">
      <c r="A105" s="434" t="s">
        <v>259</v>
      </c>
      <c r="B105" s="126">
        <v>1247240</v>
      </c>
      <c r="C105" s="126">
        <v>1247240</v>
      </c>
      <c r="D105" s="126">
        <v>1141634</v>
      </c>
      <c r="E105" s="428">
        <f t="shared" si="18"/>
        <v>0.9153282447644399</v>
      </c>
      <c r="F105" s="428">
        <f t="shared" si="22"/>
        <v>0.9153282447644399</v>
      </c>
      <c r="G105" s="424">
        <f>D105-'[10]Novembris'!D105</f>
        <v>385168</v>
      </c>
      <c r="H105" s="434" t="s">
        <v>259</v>
      </c>
      <c r="I105" s="126">
        <f>ROUND(B105/1000,0)</f>
        <v>1247</v>
      </c>
      <c r="J105" s="126">
        <f>ROUND(C105/1000,0)</f>
        <v>1247</v>
      </c>
      <c r="K105" s="126">
        <f>ROUND(D105/1000,0)</f>
        <v>1142</v>
      </c>
      <c r="L105" s="72">
        <f t="shared" si="20"/>
        <v>91.57979149959904</v>
      </c>
      <c r="M105" s="72">
        <f t="shared" si="23"/>
        <v>91.57979149959904</v>
      </c>
      <c r="N105" s="126">
        <f>K105-'[10]Novembris'!K105</f>
        <v>386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</row>
    <row r="106" spans="7:14" ht="12.75">
      <c r="G106" s="2"/>
      <c r="H106" s="2"/>
      <c r="I106" s="2"/>
      <c r="J106" s="2"/>
      <c r="K106" s="2"/>
      <c r="L106" s="2"/>
      <c r="M106" s="2"/>
      <c r="N106" s="2"/>
    </row>
    <row r="107" spans="7:14" ht="12.75"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421"/>
      <c r="B108" s="441"/>
      <c r="C108" s="442"/>
      <c r="D108" s="443"/>
      <c r="E108" s="443"/>
      <c r="F108" s="444"/>
      <c r="G108" s="2"/>
      <c r="H108" s="421"/>
      <c r="I108" s="441"/>
      <c r="J108" s="442"/>
      <c r="K108" s="443"/>
      <c r="L108" s="443"/>
      <c r="M108" s="444"/>
      <c r="N108" s="2"/>
    </row>
    <row r="110" spans="1:14" ht="12.75">
      <c r="A110" s="2"/>
      <c r="B110" s="445"/>
      <c r="C110" s="128"/>
      <c r="D110" s="128"/>
      <c r="E110" s="446"/>
      <c r="F110" s="447"/>
      <c r="G110" s="2"/>
      <c r="H110" s="2"/>
      <c r="M110" s="444"/>
      <c r="N110" s="2"/>
    </row>
    <row r="111" spans="1:14" ht="12.75">
      <c r="A111" s="2"/>
      <c r="B111" s="445"/>
      <c r="C111" s="128"/>
      <c r="D111" s="128"/>
      <c r="E111" s="446"/>
      <c r="F111" s="447"/>
      <c r="G111" s="2"/>
      <c r="H111" s="2"/>
      <c r="I111" s="445"/>
      <c r="J111" s="128"/>
      <c r="K111" s="128"/>
      <c r="L111" s="446"/>
      <c r="M111" s="447"/>
      <c r="N111" s="2"/>
    </row>
    <row r="112" spans="1:14" ht="12.75">
      <c r="A112" s="39"/>
      <c r="B112" s="127"/>
      <c r="C112" s="128"/>
      <c r="D112" s="448"/>
      <c r="E112" s="449"/>
      <c r="F112" s="450"/>
      <c r="G112" s="2"/>
      <c r="H112" s="643" t="s">
        <v>571</v>
      </c>
      <c r="I112" s="643"/>
      <c r="J112" s="643"/>
      <c r="K112" s="643"/>
      <c r="L112" s="643"/>
      <c r="M112" s="643"/>
      <c r="N112" s="643"/>
    </row>
    <row r="114" spans="7:14" ht="12.75">
      <c r="G114" s="2"/>
      <c r="H114" s="2"/>
      <c r="I114" s="2"/>
      <c r="J114" s="2"/>
      <c r="K114" s="2"/>
      <c r="L114" s="2"/>
      <c r="M114" s="2"/>
      <c r="N114" s="2"/>
    </row>
    <row r="115" spans="7:14" ht="12.75">
      <c r="G115" s="2"/>
      <c r="H115" s="2"/>
      <c r="I115" s="2"/>
      <c r="J115" s="2"/>
      <c r="K115" s="2"/>
      <c r="L115" s="2"/>
      <c r="M115" s="2"/>
      <c r="N115" s="2"/>
    </row>
    <row r="116" spans="7:14" ht="12.75">
      <c r="G116" s="2"/>
      <c r="H116" s="2"/>
      <c r="I116" s="2"/>
      <c r="J116" s="2"/>
      <c r="K116" s="2"/>
      <c r="L116" s="2"/>
      <c r="M116" s="2"/>
      <c r="N116" s="2"/>
    </row>
    <row r="117" spans="7:14" ht="12.75">
      <c r="G117" s="2"/>
      <c r="H117" s="2"/>
      <c r="I117" s="2"/>
      <c r="J117" s="2"/>
      <c r="K117" s="2"/>
      <c r="L117" s="2"/>
      <c r="M117" s="2"/>
      <c r="N117" s="2"/>
    </row>
    <row r="118" spans="7:14" ht="12.75">
      <c r="G118" s="2"/>
      <c r="I118" s="2"/>
      <c r="J118" s="2"/>
      <c r="K118" s="2"/>
      <c r="L118" s="2"/>
      <c r="M118" s="2"/>
      <c r="N118" s="2"/>
    </row>
    <row r="119" spans="7:14" ht="12.75">
      <c r="G119" s="2"/>
      <c r="I119" s="2"/>
      <c r="J119" s="2"/>
      <c r="K119" s="2"/>
      <c r="L119" s="2"/>
      <c r="M119" s="2"/>
      <c r="N119" s="2"/>
    </row>
    <row r="120" spans="7:14" ht="12.75">
      <c r="G120" s="2"/>
      <c r="H120" s="2"/>
      <c r="I120" s="2"/>
      <c r="J120" s="2"/>
      <c r="K120" s="2"/>
      <c r="L120" s="2"/>
      <c r="M120" s="2"/>
      <c r="N120" s="2"/>
    </row>
    <row r="121" spans="7:14" ht="12.75">
      <c r="G121" s="2"/>
      <c r="H121" s="2"/>
      <c r="I121" s="2"/>
      <c r="J121" s="2"/>
      <c r="K121" s="2"/>
      <c r="L121" s="2"/>
      <c r="M121" s="2"/>
      <c r="N121" s="2"/>
    </row>
    <row r="122" spans="7:14" ht="12.75">
      <c r="G122" s="2"/>
      <c r="H122" s="2"/>
      <c r="I122" s="2"/>
      <c r="J122" s="2"/>
      <c r="K122" s="2"/>
      <c r="L122" s="2"/>
      <c r="M122" s="2"/>
      <c r="N122" s="2"/>
    </row>
    <row r="123" spans="7:14" ht="12.75">
      <c r="G123" s="2"/>
      <c r="I123" s="2"/>
      <c r="J123" s="2"/>
      <c r="K123" s="2"/>
      <c r="L123" s="2"/>
      <c r="M123" s="2"/>
      <c r="N123" s="2"/>
    </row>
    <row r="124" spans="7:14" ht="12.75">
      <c r="G124" s="2"/>
      <c r="I124" s="2"/>
      <c r="J124" s="2"/>
      <c r="K124" s="2"/>
      <c r="L124" s="2"/>
      <c r="M124" s="2"/>
      <c r="N124" s="2"/>
    </row>
    <row r="125" spans="7:14" ht="12.75">
      <c r="G125" s="2"/>
      <c r="I125" s="2"/>
      <c r="J125" s="2"/>
      <c r="K125" s="2"/>
      <c r="L125" s="2"/>
      <c r="M125" s="2"/>
      <c r="N125" s="2"/>
    </row>
    <row r="126" spans="7:14" ht="12.75">
      <c r="G126" s="2"/>
      <c r="I126" s="2"/>
      <c r="J126" s="2"/>
      <c r="K126" s="2"/>
      <c r="L126" s="2"/>
      <c r="M126" s="2"/>
      <c r="N126" s="2"/>
    </row>
    <row r="127" spans="7:14" ht="12.75">
      <c r="G127" s="2"/>
      <c r="H127" s="2"/>
      <c r="I127" s="2"/>
      <c r="J127" s="2"/>
      <c r="K127" s="2"/>
      <c r="L127" s="2"/>
      <c r="M127" s="2"/>
      <c r="N127" s="2"/>
    </row>
    <row r="128" spans="7:14" ht="12.75">
      <c r="G128" s="2"/>
      <c r="H128" s="2" t="s">
        <v>178</v>
      </c>
      <c r="I128" s="2"/>
      <c r="J128" s="2"/>
      <c r="K128" s="2"/>
      <c r="L128" s="2"/>
      <c r="M128" s="2"/>
      <c r="N128" s="2"/>
    </row>
    <row r="129" spans="7:14" ht="12.75">
      <c r="G129" s="2"/>
      <c r="H129" s="2" t="s">
        <v>572</v>
      </c>
      <c r="I129" s="2"/>
      <c r="J129" s="2"/>
      <c r="K129" s="2"/>
      <c r="L129" s="2"/>
      <c r="M129" s="2"/>
      <c r="N129" s="2"/>
    </row>
    <row r="130" spans="7:14" ht="12.75">
      <c r="G130" s="2"/>
      <c r="H130" s="2"/>
      <c r="I130" s="2"/>
      <c r="J130" s="2"/>
      <c r="K130" s="2"/>
      <c r="L130" s="2"/>
      <c r="M130" s="2"/>
      <c r="N130" s="2"/>
    </row>
    <row r="131" spans="7:14" ht="12.75">
      <c r="G131" s="2"/>
      <c r="H131" s="2"/>
      <c r="I131" s="2"/>
      <c r="J131" s="2"/>
      <c r="K131" s="2"/>
      <c r="L131" s="2"/>
      <c r="M131" s="2"/>
      <c r="N131" s="2"/>
    </row>
    <row r="132" spans="7:14" ht="12.75">
      <c r="G132" s="2"/>
      <c r="H132" s="2"/>
      <c r="I132" s="2"/>
      <c r="J132" s="2"/>
      <c r="K132" s="2"/>
      <c r="L132" s="2"/>
      <c r="M132" s="2"/>
      <c r="N132" s="2"/>
    </row>
    <row r="133" spans="7:14" ht="12.75">
      <c r="G133" s="2"/>
      <c r="I133" s="2"/>
      <c r="J133" s="2"/>
      <c r="K133" s="2"/>
      <c r="L133" s="2"/>
      <c r="M133" s="2"/>
      <c r="N133" s="2"/>
    </row>
    <row r="134" spans="7:14" ht="12.75">
      <c r="G134" s="2"/>
      <c r="I134" s="2"/>
      <c r="J134" s="2"/>
      <c r="K134" s="2"/>
      <c r="L134" s="2"/>
      <c r="M134" s="2"/>
      <c r="N134" s="2"/>
    </row>
    <row r="135" spans="7:14" ht="12.75">
      <c r="G135" s="2"/>
      <c r="H135" s="2"/>
      <c r="I135" s="2"/>
      <c r="J135" s="2"/>
      <c r="K135" s="2"/>
      <c r="L135" s="2"/>
      <c r="M135" s="2"/>
      <c r="N135" s="2"/>
    </row>
    <row r="136" spans="7:14" ht="12.75">
      <c r="G136" s="2"/>
      <c r="H136" s="2"/>
      <c r="I136" s="2"/>
      <c r="J136" s="2"/>
      <c r="K136" s="2"/>
      <c r="L136" s="2"/>
      <c r="M136" s="2"/>
      <c r="N136" s="2"/>
    </row>
    <row r="137" spans="7:14" ht="12.75">
      <c r="G137" s="2"/>
      <c r="H137" s="2"/>
      <c r="I137" s="2"/>
      <c r="J137" s="2"/>
      <c r="K137" s="2"/>
      <c r="L137" s="2"/>
      <c r="M137" s="2"/>
      <c r="N137" s="2"/>
    </row>
    <row r="138" spans="7:14" ht="12.75">
      <c r="G138" s="2"/>
      <c r="H138" s="2"/>
      <c r="I138" s="2"/>
      <c r="J138" s="2"/>
      <c r="K138" s="2"/>
      <c r="L138" s="2"/>
      <c r="M138" s="2"/>
      <c r="N138" s="2"/>
    </row>
    <row r="139" spans="7:14" ht="12.75">
      <c r="G139" s="2"/>
      <c r="H139" s="2"/>
      <c r="I139" s="2"/>
      <c r="J139" s="2"/>
      <c r="K139" s="2"/>
      <c r="L139" s="2"/>
      <c r="M139" s="2"/>
      <c r="N139" s="2"/>
    </row>
    <row r="140" spans="7:14" ht="12.75">
      <c r="G140" s="2"/>
      <c r="H140" s="2"/>
      <c r="I140" s="2"/>
      <c r="J140" s="2"/>
      <c r="K140" s="2"/>
      <c r="L140" s="2"/>
      <c r="M140" s="2"/>
      <c r="N140" s="2"/>
    </row>
    <row r="141" spans="7:14" ht="12.75">
      <c r="G141" s="2"/>
      <c r="H141" s="2"/>
      <c r="I141" s="2"/>
      <c r="J141" s="2"/>
      <c r="K141" s="2"/>
      <c r="L141" s="2"/>
      <c r="M141" s="2"/>
      <c r="N141" s="2"/>
    </row>
    <row r="142" spans="7:14" ht="12.75">
      <c r="G142" s="2"/>
      <c r="H142" s="2"/>
      <c r="I142" s="2"/>
      <c r="J142" s="2"/>
      <c r="K142" s="2"/>
      <c r="L142" s="2"/>
      <c r="M142" s="2"/>
      <c r="N142" s="2"/>
    </row>
    <row r="143" spans="7:14" ht="12.75">
      <c r="G143" s="2"/>
      <c r="H143" s="2"/>
      <c r="I143" s="2"/>
      <c r="J143" s="2"/>
      <c r="K143" s="2"/>
      <c r="L143" s="2"/>
      <c r="M143" s="2"/>
      <c r="N143" s="2"/>
    </row>
    <row r="144" spans="7:14" ht="12.75">
      <c r="G144" s="2"/>
      <c r="H144" s="2"/>
      <c r="I144" s="2"/>
      <c r="J144" s="2"/>
      <c r="K144" s="2"/>
      <c r="L144" s="2"/>
      <c r="M144" s="2"/>
      <c r="N144" s="2"/>
    </row>
    <row r="145" spans="7:14" ht="12.75">
      <c r="G145" s="2"/>
      <c r="H145" s="2"/>
      <c r="I145" s="2"/>
      <c r="J145" s="2"/>
      <c r="K145" s="2"/>
      <c r="L145" s="2"/>
      <c r="M145" s="2"/>
      <c r="N145" s="2"/>
    </row>
    <row r="146" spans="7:14" ht="12.75">
      <c r="G146" s="2"/>
      <c r="H146" s="2"/>
      <c r="I146" s="2"/>
      <c r="J146" s="2"/>
      <c r="K146" s="2"/>
      <c r="L146" s="2"/>
      <c r="M146" s="2"/>
      <c r="N146" s="2"/>
    </row>
    <row r="147" spans="7:14" ht="12.75">
      <c r="G147" s="2"/>
      <c r="H147" s="2"/>
      <c r="I147" s="2"/>
      <c r="J147" s="2"/>
      <c r="K147" s="2"/>
      <c r="L147" s="2"/>
      <c r="M147" s="2"/>
      <c r="N147" s="2"/>
    </row>
    <row r="148" spans="7:14" ht="12.75">
      <c r="G148" s="2"/>
      <c r="H148" s="2"/>
      <c r="I148" s="2"/>
      <c r="J148" s="2"/>
      <c r="K148" s="2"/>
      <c r="L148" s="2"/>
      <c r="M148" s="2"/>
      <c r="N148" s="2"/>
    </row>
    <row r="149" spans="7:14" ht="12.75">
      <c r="G149" s="2"/>
      <c r="H149" s="2"/>
      <c r="I149" s="2"/>
      <c r="J149" s="2"/>
      <c r="K149" s="2"/>
      <c r="L149" s="2"/>
      <c r="M149" s="2"/>
      <c r="N149" s="2"/>
    </row>
    <row r="150" spans="7:14" ht="12.75">
      <c r="G150" s="2"/>
      <c r="H150" s="2"/>
      <c r="I150" s="2"/>
      <c r="J150" s="2"/>
      <c r="K150" s="2"/>
      <c r="L150" s="2"/>
      <c r="M150" s="2"/>
      <c r="N150" s="2"/>
    </row>
    <row r="151" spans="7:14" ht="12.75">
      <c r="G151" s="2"/>
      <c r="H151" s="2"/>
      <c r="I151" s="2"/>
      <c r="J151" s="2"/>
      <c r="K151" s="2"/>
      <c r="L151" s="2"/>
      <c r="M151" s="2"/>
      <c r="N151" s="2"/>
    </row>
    <row r="152" spans="7:14" ht="12.75">
      <c r="G152" s="2"/>
      <c r="H152" s="2"/>
      <c r="I152" s="2"/>
      <c r="J152" s="2"/>
      <c r="K152" s="2"/>
      <c r="L152" s="2"/>
      <c r="M152" s="2"/>
      <c r="N152" s="2"/>
    </row>
    <row r="153" spans="7:14" ht="12.75">
      <c r="G153" s="2"/>
      <c r="H153" s="2"/>
      <c r="I153" s="2"/>
      <c r="J153" s="2"/>
      <c r="K153" s="2"/>
      <c r="L153" s="2"/>
      <c r="M153" s="2"/>
      <c r="N153" s="2"/>
    </row>
    <row r="154" spans="7:14" ht="12.75">
      <c r="G154" s="2"/>
      <c r="H154" s="2"/>
      <c r="I154" s="2"/>
      <c r="J154" s="2"/>
      <c r="K154" s="2"/>
      <c r="L154" s="2"/>
      <c r="M154" s="2"/>
      <c r="N154" s="2"/>
    </row>
    <row r="155" spans="7:14" ht="12.75">
      <c r="G155" s="2"/>
      <c r="H155" s="2"/>
      <c r="I155" s="2"/>
      <c r="J155" s="2"/>
      <c r="K155" s="2"/>
      <c r="L155" s="2"/>
      <c r="M155" s="2"/>
      <c r="N155" s="2"/>
    </row>
    <row r="156" spans="7:14" ht="12.75">
      <c r="G156" s="2"/>
      <c r="H156" s="2"/>
      <c r="I156" s="2"/>
      <c r="J156" s="2"/>
      <c r="K156" s="2"/>
      <c r="L156" s="2"/>
      <c r="M156" s="2"/>
      <c r="N156" s="2"/>
    </row>
    <row r="157" spans="7:14" ht="12.75">
      <c r="G157" s="2"/>
      <c r="H157" s="2"/>
      <c r="I157" s="2"/>
      <c r="J157" s="2"/>
      <c r="K157" s="2"/>
      <c r="L157" s="2"/>
      <c r="M157" s="2"/>
      <c r="N157" s="2"/>
    </row>
    <row r="158" spans="7:14" ht="12.75">
      <c r="G158" s="2"/>
      <c r="H158" s="2"/>
      <c r="I158" s="2"/>
      <c r="J158" s="2"/>
      <c r="K158" s="2"/>
      <c r="L158" s="2"/>
      <c r="M158" s="2"/>
      <c r="N158" s="2"/>
    </row>
    <row r="159" spans="7:14" ht="12.75">
      <c r="G159" s="2"/>
      <c r="H159" s="2"/>
      <c r="I159" s="2"/>
      <c r="J159" s="2"/>
      <c r="K159" s="2"/>
      <c r="L159" s="2"/>
      <c r="M159" s="2"/>
      <c r="N159" s="2"/>
    </row>
    <row r="160" spans="7:14" ht="12.75">
      <c r="G160" s="2"/>
      <c r="H160" s="2"/>
      <c r="I160" s="2"/>
      <c r="J160" s="2"/>
      <c r="K160" s="2"/>
      <c r="L160" s="2"/>
      <c r="M160" s="2"/>
      <c r="N160" s="2"/>
    </row>
    <row r="161" spans="7:14" ht="12.75">
      <c r="G161" s="2"/>
      <c r="H161" s="2"/>
      <c r="I161" s="2"/>
      <c r="J161" s="2"/>
      <c r="K161" s="2"/>
      <c r="L161" s="2"/>
      <c r="M161" s="2"/>
      <c r="N161" s="2"/>
    </row>
    <row r="162" spans="7:14" ht="12.75">
      <c r="G162" s="2"/>
      <c r="H162" s="2"/>
      <c r="I162" s="2"/>
      <c r="J162" s="2"/>
      <c r="K162" s="2"/>
      <c r="L162" s="2"/>
      <c r="M162" s="2"/>
      <c r="N162" s="2"/>
    </row>
    <row r="163" spans="7:14" ht="12.75">
      <c r="G163" s="2"/>
      <c r="H163" s="2"/>
      <c r="I163" s="2"/>
      <c r="J163" s="2"/>
      <c r="K163" s="2"/>
      <c r="L163" s="2"/>
      <c r="M163" s="2"/>
      <c r="N163" s="2"/>
    </row>
    <row r="164" spans="7:14" ht="12.75">
      <c r="G164" s="2"/>
      <c r="H164" s="2"/>
      <c r="I164" s="2"/>
      <c r="J164" s="2"/>
      <c r="K164" s="2"/>
      <c r="L164" s="2"/>
      <c r="M164" s="2"/>
      <c r="N164" s="2"/>
    </row>
    <row r="165" spans="7:14" ht="12.75">
      <c r="G165" s="2"/>
      <c r="H165" s="2"/>
      <c r="I165" s="2"/>
      <c r="J165" s="2"/>
      <c r="K165" s="2"/>
      <c r="L165" s="2"/>
      <c r="M165" s="2"/>
      <c r="N165" s="2"/>
    </row>
    <row r="166" spans="7:14" ht="12.75">
      <c r="G166" s="2"/>
      <c r="H166" s="2"/>
      <c r="I166" s="2"/>
      <c r="J166" s="2"/>
      <c r="K166" s="2"/>
      <c r="L166" s="2"/>
      <c r="M166" s="2"/>
      <c r="N166" s="2"/>
    </row>
    <row r="167" spans="7:14" ht="12.75">
      <c r="G167" s="2"/>
      <c r="H167" s="2"/>
      <c r="I167" s="2"/>
      <c r="J167" s="2"/>
      <c r="K167" s="2"/>
      <c r="L167" s="2"/>
      <c r="M167" s="2"/>
      <c r="N167" s="2"/>
    </row>
    <row r="168" spans="7:14" ht="12.75">
      <c r="G168" s="2"/>
      <c r="H168" s="2"/>
      <c r="I168" s="2"/>
      <c r="J168" s="2"/>
      <c r="K168" s="2"/>
      <c r="L168" s="2"/>
      <c r="M168" s="2"/>
      <c r="N168" s="2"/>
    </row>
    <row r="169" spans="7:14" ht="12.75">
      <c r="G169" s="2"/>
      <c r="H169" s="2"/>
      <c r="I169" s="2"/>
      <c r="J169" s="2"/>
      <c r="K169" s="2"/>
      <c r="L169" s="2"/>
      <c r="M169" s="2"/>
      <c r="N169" s="2"/>
    </row>
    <row r="170" spans="7:14" ht="12.75">
      <c r="G170" s="2"/>
      <c r="H170" s="2"/>
      <c r="I170" s="2"/>
      <c r="J170" s="2"/>
      <c r="K170" s="2"/>
      <c r="L170" s="2"/>
      <c r="M170" s="2"/>
      <c r="N170" s="2"/>
    </row>
    <row r="171" spans="7:14" ht="12.75">
      <c r="G171" s="2"/>
      <c r="H171" s="2"/>
      <c r="I171" s="2"/>
      <c r="J171" s="2"/>
      <c r="K171" s="2"/>
      <c r="L171" s="2"/>
      <c r="M171" s="2"/>
      <c r="N171" s="2"/>
    </row>
    <row r="172" spans="7:14" ht="12.75">
      <c r="G172" s="2"/>
      <c r="H172" s="2"/>
      <c r="I172" s="2"/>
      <c r="J172" s="2"/>
      <c r="K172" s="2"/>
      <c r="L172" s="2"/>
      <c r="M172" s="2"/>
      <c r="N172" s="2"/>
    </row>
    <row r="173" spans="7:14" ht="12.75">
      <c r="G173" s="2"/>
      <c r="H173" s="2"/>
      <c r="I173" s="2"/>
      <c r="J173" s="2"/>
      <c r="K173" s="2"/>
      <c r="L173" s="2"/>
      <c r="M173" s="2"/>
      <c r="N173" s="2"/>
    </row>
    <row r="174" spans="7:14" ht="12.75">
      <c r="G174" s="2"/>
      <c r="H174" s="2"/>
      <c r="I174" s="2"/>
      <c r="J174" s="2"/>
      <c r="K174" s="2"/>
      <c r="L174" s="2"/>
      <c r="M174" s="2"/>
      <c r="N174" s="2"/>
    </row>
    <row r="175" spans="7:14" ht="12.75">
      <c r="G175" s="2"/>
      <c r="H175" s="2"/>
      <c r="I175" s="2"/>
      <c r="J175" s="2"/>
      <c r="K175" s="2"/>
      <c r="L175" s="2"/>
      <c r="M175" s="2"/>
      <c r="N175" s="2"/>
    </row>
    <row r="176" spans="7:14" ht="12.75">
      <c r="G176" s="2"/>
      <c r="H176" s="2"/>
      <c r="I176" s="2"/>
      <c r="J176" s="2"/>
      <c r="K176" s="2"/>
      <c r="L176" s="2"/>
      <c r="M176" s="2"/>
      <c r="N176" s="2"/>
    </row>
    <row r="177" spans="7:14" ht="12.75">
      <c r="G177" s="2"/>
      <c r="H177" s="2"/>
      <c r="I177" s="2"/>
      <c r="J177" s="2"/>
      <c r="K177" s="2"/>
      <c r="L177" s="2"/>
      <c r="M177" s="2"/>
      <c r="N177" s="2"/>
    </row>
    <row r="178" spans="7:14" ht="12.75">
      <c r="G178" s="2"/>
      <c r="H178" s="2"/>
      <c r="I178" s="2"/>
      <c r="J178" s="2"/>
      <c r="K178" s="2"/>
      <c r="L178" s="2"/>
      <c r="M178" s="2"/>
      <c r="N178" s="2"/>
    </row>
    <row r="179" spans="7:14" ht="12.75">
      <c r="G179" s="2"/>
      <c r="H179" s="2"/>
      <c r="I179" s="2"/>
      <c r="J179" s="2"/>
      <c r="K179" s="2"/>
      <c r="L179" s="2"/>
      <c r="M179" s="2"/>
      <c r="N179" s="2"/>
    </row>
    <row r="180" spans="7:14" ht="12.75">
      <c r="G180" s="2"/>
      <c r="H180" s="2"/>
      <c r="I180" s="2"/>
      <c r="J180" s="2"/>
      <c r="K180" s="2"/>
      <c r="L180" s="2"/>
      <c r="M180" s="2"/>
      <c r="N180" s="2"/>
    </row>
    <row r="181" spans="7:14" ht="12.75">
      <c r="G181" s="2"/>
      <c r="H181" s="2"/>
      <c r="I181" s="2"/>
      <c r="J181" s="2"/>
      <c r="K181" s="2"/>
      <c r="L181" s="2"/>
      <c r="M181" s="2"/>
      <c r="N181" s="2"/>
    </row>
    <row r="182" spans="7:14" ht="12.75">
      <c r="G182" s="2"/>
      <c r="H182" s="2"/>
      <c r="I182" s="2"/>
      <c r="J182" s="2"/>
      <c r="K182" s="2"/>
      <c r="L182" s="2"/>
      <c r="M182" s="2"/>
      <c r="N182" s="2"/>
    </row>
    <row r="183" spans="7:14" ht="12.75">
      <c r="G183" s="2"/>
      <c r="H183" s="2"/>
      <c r="I183" s="2"/>
      <c r="J183" s="2"/>
      <c r="K183" s="2"/>
      <c r="L183" s="2"/>
      <c r="M183" s="2"/>
      <c r="N183" s="2"/>
    </row>
    <row r="184" spans="7:14" ht="12.75">
      <c r="G184" s="2"/>
      <c r="H184" s="2"/>
      <c r="I184" s="2"/>
      <c r="J184" s="2"/>
      <c r="K184" s="2"/>
      <c r="L184" s="2"/>
      <c r="M184" s="2"/>
      <c r="N184" s="2"/>
    </row>
    <row r="185" spans="7:14" ht="12.75">
      <c r="G185" s="2"/>
      <c r="H185" s="2"/>
      <c r="I185" s="2"/>
      <c r="J185" s="2"/>
      <c r="K185" s="2"/>
      <c r="L185" s="2"/>
      <c r="M185" s="2"/>
      <c r="N185" s="2"/>
    </row>
    <row r="186" spans="7:14" ht="12.75">
      <c r="G186" s="2"/>
      <c r="H186" s="2"/>
      <c r="I186" s="2"/>
      <c r="J186" s="2"/>
      <c r="K186" s="2"/>
      <c r="L186" s="2"/>
      <c r="M186" s="2"/>
      <c r="N186" s="2"/>
    </row>
    <row r="187" spans="7:14" ht="12.75">
      <c r="G187" s="2"/>
      <c r="H187" s="2"/>
      <c r="I187" s="2"/>
      <c r="J187" s="2"/>
      <c r="K187" s="2"/>
      <c r="L187" s="2"/>
      <c r="M187" s="2"/>
      <c r="N187" s="2"/>
    </row>
    <row r="188" spans="7:14" ht="12.75">
      <c r="G188" s="2"/>
      <c r="H188" s="2"/>
      <c r="I188" s="2"/>
      <c r="J188" s="2"/>
      <c r="K188" s="2"/>
      <c r="L188" s="2"/>
      <c r="M188" s="2"/>
      <c r="N188" s="2"/>
    </row>
    <row r="189" spans="7:14" ht="12.75">
      <c r="G189" s="2"/>
      <c r="H189" s="2"/>
      <c r="I189" s="2"/>
      <c r="J189" s="2"/>
      <c r="K189" s="2"/>
      <c r="L189" s="2"/>
      <c r="M189" s="2"/>
      <c r="N189" s="2"/>
    </row>
    <row r="190" spans="7:14" ht="12.75">
      <c r="G190" s="2"/>
      <c r="H190" s="2"/>
      <c r="I190" s="2"/>
      <c r="J190" s="2"/>
      <c r="K190" s="2"/>
      <c r="L190" s="2"/>
      <c r="M190" s="2"/>
      <c r="N190" s="2"/>
    </row>
    <row r="191" spans="7:14" ht="12.75">
      <c r="G191" s="2"/>
      <c r="H191" s="2"/>
      <c r="I191" s="2"/>
      <c r="J191" s="2"/>
      <c r="K191" s="2"/>
      <c r="L191" s="2"/>
      <c r="M191" s="2"/>
      <c r="N191" s="2"/>
    </row>
    <row r="192" spans="7:14" ht="12.75">
      <c r="G192" s="2"/>
      <c r="H192" s="2"/>
      <c r="I192" s="2"/>
      <c r="J192" s="2"/>
      <c r="K192" s="2"/>
      <c r="L192" s="2"/>
      <c r="M192" s="2"/>
      <c r="N192" s="2"/>
    </row>
    <row r="193" spans="7:14" ht="12.75">
      <c r="G193" s="2"/>
      <c r="H193" s="2"/>
      <c r="I193" s="2"/>
      <c r="J193" s="2"/>
      <c r="K193" s="2"/>
      <c r="L193" s="2"/>
      <c r="M193" s="2"/>
      <c r="N193" s="2"/>
    </row>
    <row r="194" spans="7:14" ht="12.75">
      <c r="G194" s="2"/>
      <c r="H194" s="2"/>
      <c r="I194" s="2"/>
      <c r="J194" s="2"/>
      <c r="K194" s="2"/>
      <c r="L194" s="2"/>
      <c r="M194" s="2"/>
      <c r="N194" s="2"/>
    </row>
    <row r="195" spans="7:14" ht="12.75">
      <c r="G195" s="2"/>
      <c r="H195" s="2"/>
      <c r="I195" s="2"/>
      <c r="J195" s="2"/>
      <c r="K195" s="2"/>
      <c r="L195" s="2"/>
      <c r="M195" s="2"/>
      <c r="N195" s="2"/>
    </row>
    <row r="196" spans="7:14" ht="12.75"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</sheetData>
  <mergeCells count="1">
    <mergeCell ref="H112:N112"/>
  </mergeCells>
  <printOptions/>
  <pageMargins left="0.75" right="0.19" top="1" bottom="1" header="0.5" footer="0.5"/>
  <pageSetup horizontalDpi="300" verticalDpi="300" orientation="portrait" paperSize="9" r:id="rId1"/>
  <rowBreaks count="2" manualBreakCount="2">
    <brk id="45" max="255" man="1"/>
    <brk id="9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P67"/>
  <sheetViews>
    <sheetView workbookViewId="0" topLeftCell="A1">
      <selection activeCell="A11" sqref="A11:A12"/>
    </sheetView>
  </sheetViews>
  <sheetFormatPr defaultColWidth="9.140625" defaultRowHeight="12.75"/>
  <cols>
    <col min="1" max="1" width="54.00390625" style="455" customWidth="1"/>
    <col min="2" max="2" width="9.8515625" style="455" customWidth="1"/>
    <col min="3" max="3" width="11.00390625" style="455" customWidth="1"/>
    <col min="4" max="4" width="10.421875" style="455" customWidth="1"/>
    <col min="5" max="5" width="10.7109375" style="455" customWidth="1"/>
    <col min="147" max="16384" width="9.140625" style="455" customWidth="1"/>
  </cols>
  <sheetData>
    <row r="1" spans="1:5" ht="12.75">
      <c r="A1" s="32" t="s">
        <v>102</v>
      </c>
      <c r="B1" s="32"/>
      <c r="C1" s="32"/>
      <c r="D1" s="32"/>
      <c r="E1" s="393" t="s">
        <v>573</v>
      </c>
    </row>
    <row r="2" spans="1:5" ht="12.75">
      <c r="A2" s="43"/>
      <c r="B2" s="43"/>
      <c r="C2" s="43"/>
      <c r="D2" s="43"/>
      <c r="E2" s="43"/>
    </row>
    <row r="3" spans="1:5" ht="18">
      <c r="A3" s="164" t="s">
        <v>574</v>
      </c>
      <c r="B3" s="47"/>
      <c r="C3" s="32"/>
      <c r="D3" s="32"/>
      <c r="E3" s="32"/>
    </row>
    <row r="4" spans="1:5" ht="18">
      <c r="A4" s="456" t="s">
        <v>575</v>
      </c>
      <c r="B4" s="47"/>
      <c r="C4" s="32"/>
      <c r="D4" s="32"/>
      <c r="E4" s="32"/>
    </row>
    <row r="5" spans="1:5" ht="18">
      <c r="A5" s="457"/>
      <c r="B5" s="457"/>
      <c r="C5" s="458"/>
      <c r="D5" s="459"/>
      <c r="E5" s="459" t="s">
        <v>560</v>
      </c>
    </row>
    <row r="6" spans="1:5" ht="35.25" customHeight="1">
      <c r="A6" s="5" t="s">
        <v>59</v>
      </c>
      <c r="B6" s="5" t="s">
        <v>576</v>
      </c>
      <c r="C6" s="5" t="s">
        <v>107</v>
      </c>
      <c r="D6" s="5" t="s">
        <v>108</v>
      </c>
      <c r="E6" s="460" t="s">
        <v>306</v>
      </c>
    </row>
    <row r="7" spans="1:146" s="461" customFormat="1" ht="12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5" ht="16.5" customHeight="1">
      <c r="A8" s="70" t="s">
        <v>577</v>
      </c>
      <c r="B8" s="462">
        <f>B16+B20</f>
        <v>443793</v>
      </c>
      <c r="C8" s="462">
        <f>C16+C20</f>
        <v>444152</v>
      </c>
      <c r="D8" s="463">
        <f aca="true" t="shared" si="0" ref="D8:D50">C8/B8*100</f>
        <v>100.08089356974985</v>
      </c>
      <c r="E8" s="462">
        <f>E16+E20</f>
        <v>41626</v>
      </c>
    </row>
    <row r="9" spans="1:5" ht="12.75">
      <c r="A9" s="464" t="s">
        <v>578</v>
      </c>
      <c r="B9" s="462">
        <f>SUM(B10:B13)</f>
        <v>421806</v>
      </c>
      <c r="C9" s="462">
        <f>SUM(C10:C13)</f>
        <v>420857</v>
      </c>
      <c r="D9" s="463">
        <f t="shared" si="0"/>
        <v>99.77501505431407</v>
      </c>
      <c r="E9" s="462">
        <f>SUM(E10:E13)</f>
        <v>38239</v>
      </c>
    </row>
    <row r="10" spans="1:5" ht="12.75">
      <c r="A10" s="464" t="s">
        <v>579</v>
      </c>
      <c r="B10" s="462">
        <v>232411</v>
      </c>
      <c r="C10" s="462">
        <v>232238</v>
      </c>
      <c r="D10" s="463">
        <f t="shared" si="0"/>
        <v>99.92556290364914</v>
      </c>
      <c r="E10" s="462">
        <v>21928</v>
      </c>
    </row>
    <row r="11" spans="1:5" ht="12.75">
      <c r="A11" s="464" t="s">
        <v>580</v>
      </c>
      <c r="B11" s="462">
        <v>18672</v>
      </c>
      <c r="C11" s="462">
        <v>18070</v>
      </c>
      <c r="D11" s="463">
        <f t="shared" si="0"/>
        <v>96.77592116538132</v>
      </c>
      <c r="E11" s="462">
        <v>1623</v>
      </c>
    </row>
    <row r="12" spans="1:5" ht="12.75">
      <c r="A12" s="464" t="s">
        <v>581</v>
      </c>
      <c r="B12" s="462">
        <v>25943</v>
      </c>
      <c r="C12" s="462">
        <v>25677</v>
      </c>
      <c r="D12" s="463">
        <f t="shared" si="0"/>
        <v>98.97467524958563</v>
      </c>
      <c r="E12" s="462">
        <v>1976</v>
      </c>
    </row>
    <row r="13" spans="1:5" ht="12.75">
      <c r="A13" s="464" t="s">
        <v>582</v>
      </c>
      <c r="B13" s="462">
        <v>144780</v>
      </c>
      <c r="C13" s="462">
        <v>144872</v>
      </c>
      <c r="D13" s="463">
        <f t="shared" si="0"/>
        <v>100.06354468849288</v>
      </c>
      <c r="E13" s="462">
        <v>12712</v>
      </c>
    </row>
    <row r="14" spans="1:5" ht="22.5">
      <c r="A14" s="465" t="s">
        <v>583</v>
      </c>
      <c r="B14" s="462">
        <v>8790</v>
      </c>
      <c r="C14" s="462">
        <v>8622</v>
      </c>
      <c r="D14" s="463">
        <f t="shared" si="0"/>
        <v>98.08873720136518</v>
      </c>
      <c r="E14" s="462">
        <v>1002</v>
      </c>
    </row>
    <row r="15" spans="1:5" ht="22.5">
      <c r="A15" s="465" t="s">
        <v>584</v>
      </c>
      <c r="B15" s="462">
        <v>24575</v>
      </c>
      <c r="C15" s="462">
        <v>24575</v>
      </c>
      <c r="D15" s="463">
        <f t="shared" si="0"/>
        <v>100</v>
      </c>
      <c r="E15" s="462">
        <v>2075</v>
      </c>
    </row>
    <row r="16" spans="1:5" ht="16.5" customHeight="1">
      <c r="A16" s="70" t="s">
        <v>585</v>
      </c>
      <c r="B16" s="462">
        <f>B9-B14-B15</f>
        <v>388441</v>
      </c>
      <c r="C16" s="462">
        <f>C9-C14-C15</f>
        <v>387660</v>
      </c>
      <c r="D16" s="463">
        <f t="shared" si="0"/>
        <v>99.79893986474137</v>
      </c>
      <c r="E16" s="462">
        <f>E9-E14-E15</f>
        <v>35162</v>
      </c>
    </row>
    <row r="17" spans="1:5" ht="12.75">
      <c r="A17" s="464" t="s">
        <v>586</v>
      </c>
      <c r="B17" s="462">
        <f>SUM(B18:B19)</f>
        <v>55352</v>
      </c>
      <c r="C17" s="462">
        <f>SUM(C18:C19)</f>
        <v>56492</v>
      </c>
      <c r="D17" s="463">
        <f t="shared" si="0"/>
        <v>102.05954617719324</v>
      </c>
      <c r="E17" s="462">
        <f>SUM(E18:E19)</f>
        <v>6464</v>
      </c>
    </row>
    <row r="18" spans="1:5" ht="12.75">
      <c r="A18" s="464" t="s">
        <v>587</v>
      </c>
      <c r="B18" s="462">
        <v>48738</v>
      </c>
      <c r="C18" s="462">
        <v>50472</v>
      </c>
      <c r="D18" s="463">
        <f t="shared" si="0"/>
        <v>103.55779884279208</v>
      </c>
      <c r="E18" s="462">
        <v>6322</v>
      </c>
    </row>
    <row r="19" spans="1:5" ht="12.75">
      <c r="A19" s="464" t="s">
        <v>588</v>
      </c>
      <c r="B19" s="462">
        <v>6614</v>
      </c>
      <c r="C19" s="462">
        <v>6020</v>
      </c>
      <c r="D19" s="463">
        <f t="shared" si="0"/>
        <v>91.01905049894164</v>
      </c>
      <c r="E19" s="462">
        <v>142</v>
      </c>
    </row>
    <row r="20" spans="1:5" ht="16.5" customHeight="1">
      <c r="A20" s="70" t="s">
        <v>589</v>
      </c>
      <c r="B20" s="462">
        <v>55352</v>
      </c>
      <c r="C20" s="462">
        <v>56492</v>
      </c>
      <c r="D20" s="463">
        <f t="shared" si="0"/>
        <v>102.05954617719324</v>
      </c>
      <c r="E20" s="462">
        <v>6464</v>
      </c>
    </row>
    <row r="21" spans="1:5" ht="28.5" customHeight="1">
      <c r="A21" s="70" t="s">
        <v>590</v>
      </c>
      <c r="B21" s="462">
        <f>SUM(B22:B24)</f>
        <v>440909</v>
      </c>
      <c r="C21" s="462">
        <f>SUM(C22:C24)</f>
        <v>459766</v>
      </c>
      <c r="D21" s="463">
        <f t="shared" si="0"/>
        <v>104.2768462426487</v>
      </c>
      <c r="E21" s="462">
        <f>SUM(E22:E24)</f>
        <v>54224</v>
      </c>
    </row>
    <row r="22" spans="1:5" ht="21" customHeight="1">
      <c r="A22" s="62" t="s">
        <v>591</v>
      </c>
      <c r="B22" s="462">
        <f aca="true" t="shared" si="1" ref="B22:C24">B34+B43</f>
        <v>380400</v>
      </c>
      <c r="C22" s="462">
        <f t="shared" si="1"/>
        <v>368689</v>
      </c>
      <c r="D22" s="463">
        <f t="shared" si="0"/>
        <v>96.9213985278654</v>
      </c>
      <c r="E22" s="462">
        <f>E34+E43</f>
        <v>43777</v>
      </c>
    </row>
    <row r="23" spans="1:5" ht="21" customHeight="1">
      <c r="A23" s="62" t="s">
        <v>592</v>
      </c>
      <c r="B23" s="462">
        <f t="shared" si="1"/>
        <v>41714</v>
      </c>
      <c r="C23" s="462">
        <f t="shared" si="1"/>
        <v>39231</v>
      </c>
      <c r="D23" s="463">
        <f t="shared" si="0"/>
        <v>94.04756196960253</v>
      </c>
      <c r="E23" s="462">
        <f>E35+E44</f>
        <v>4384</v>
      </c>
    </row>
    <row r="24" spans="1:5" ht="21" customHeight="1">
      <c r="A24" s="62" t="s">
        <v>593</v>
      </c>
      <c r="B24" s="462">
        <f t="shared" si="1"/>
        <v>18795</v>
      </c>
      <c r="C24" s="462">
        <f t="shared" si="1"/>
        <v>51846</v>
      </c>
      <c r="D24" s="463">
        <f t="shared" si="0"/>
        <v>275.84996009577014</v>
      </c>
      <c r="E24" s="462">
        <f>E36+E45</f>
        <v>6063</v>
      </c>
    </row>
    <row r="25" spans="1:5" ht="28.5" customHeight="1">
      <c r="A25" s="70" t="s">
        <v>594</v>
      </c>
      <c r="B25" s="462">
        <f>B8-B21</f>
        <v>2884</v>
      </c>
      <c r="C25" s="462">
        <f>C8-C21</f>
        <v>-15614</v>
      </c>
      <c r="D25" s="463">
        <f t="shared" si="0"/>
        <v>-541.4008321775312</v>
      </c>
      <c r="E25" s="462">
        <f>E8-E21</f>
        <v>-12598</v>
      </c>
    </row>
    <row r="26" spans="1:5" ht="16.5" customHeight="1">
      <c r="A26" s="70" t="s">
        <v>595</v>
      </c>
      <c r="B26" s="462">
        <f>B38+B47</f>
        <v>-2749</v>
      </c>
      <c r="C26" s="462">
        <f>C38+C47</f>
        <v>-2552</v>
      </c>
      <c r="D26" s="463">
        <f t="shared" si="0"/>
        <v>92.83375773008366</v>
      </c>
      <c r="E26" s="462">
        <f>E38+E47</f>
        <v>-1405</v>
      </c>
    </row>
    <row r="27" spans="1:5" ht="28.5" customHeight="1">
      <c r="A27" s="70" t="s">
        <v>596</v>
      </c>
      <c r="B27" s="462">
        <f>B21+B26</f>
        <v>438160</v>
      </c>
      <c r="C27" s="462">
        <f>C21+C26</f>
        <v>457214</v>
      </c>
      <c r="D27" s="463">
        <f t="shared" si="0"/>
        <v>104.34863976629542</v>
      </c>
      <c r="E27" s="462">
        <f>E21+E26</f>
        <v>52819</v>
      </c>
    </row>
    <row r="28" spans="1:5" ht="28.5" customHeight="1">
      <c r="A28" s="70" t="s">
        <v>597</v>
      </c>
      <c r="B28" s="462">
        <f>B25-B26</f>
        <v>5633</v>
      </c>
      <c r="C28" s="462">
        <f>C25-C26</f>
        <v>-13062</v>
      </c>
      <c r="D28" s="463">
        <f t="shared" si="0"/>
        <v>-231.8835434049352</v>
      </c>
      <c r="E28" s="462">
        <f>E25-E26</f>
        <v>-11193</v>
      </c>
    </row>
    <row r="29" spans="1:5" ht="16.5" customHeight="1">
      <c r="A29" s="70" t="s">
        <v>598</v>
      </c>
      <c r="B29" s="462">
        <v>415509</v>
      </c>
      <c r="C29" s="462">
        <v>442246</v>
      </c>
      <c r="D29" s="463">
        <f t="shared" si="0"/>
        <v>106.43475833255116</v>
      </c>
      <c r="E29" s="462">
        <v>50702</v>
      </c>
    </row>
    <row r="30" spans="1:5" ht="22.5">
      <c r="A30" s="465" t="s">
        <v>599</v>
      </c>
      <c r="B30" s="462">
        <v>33365</v>
      </c>
      <c r="C30" s="462">
        <v>33197</v>
      </c>
      <c r="D30" s="463">
        <f t="shared" si="0"/>
        <v>99.4964783455717</v>
      </c>
      <c r="E30" s="462">
        <v>3077</v>
      </c>
    </row>
    <row r="31" spans="1:5" ht="16.5" customHeight="1">
      <c r="A31" s="70" t="s">
        <v>600</v>
      </c>
      <c r="B31" s="462">
        <f>B29-B30</f>
        <v>382144</v>
      </c>
      <c r="C31" s="462">
        <f>C29-C30</f>
        <v>409049</v>
      </c>
      <c r="D31" s="463">
        <f t="shared" si="0"/>
        <v>107.0405396918439</v>
      </c>
      <c r="E31" s="462">
        <f>E29-E30</f>
        <v>47625</v>
      </c>
    </row>
    <row r="32" spans="1:5" ht="15.75" customHeight="1">
      <c r="A32" s="61" t="s">
        <v>601</v>
      </c>
      <c r="B32" s="462">
        <v>373168</v>
      </c>
      <c r="C32" s="462">
        <v>367457</v>
      </c>
      <c r="D32" s="463">
        <f t="shared" si="0"/>
        <v>98.469590104189</v>
      </c>
      <c r="E32" s="462">
        <v>42015</v>
      </c>
    </row>
    <row r="33" spans="1:5" ht="22.5">
      <c r="A33" s="465" t="s">
        <v>599</v>
      </c>
      <c r="B33" s="462">
        <v>33365</v>
      </c>
      <c r="C33" s="462">
        <v>33197</v>
      </c>
      <c r="D33" s="463">
        <f t="shared" si="0"/>
        <v>99.4964783455717</v>
      </c>
      <c r="E33" s="462">
        <v>3077</v>
      </c>
    </row>
    <row r="34" spans="1:146" s="466" customFormat="1" ht="12.75">
      <c r="A34" s="61" t="s">
        <v>602</v>
      </c>
      <c r="B34" s="462">
        <f>B32-B33</f>
        <v>339803</v>
      </c>
      <c r="C34" s="462">
        <f>C32-C33</f>
        <v>334260</v>
      </c>
      <c r="D34" s="463">
        <f t="shared" si="0"/>
        <v>98.36876072312486</v>
      </c>
      <c r="E34" s="462">
        <f>E32-E33</f>
        <v>38938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</row>
    <row r="35" spans="1:146" s="466" customFormat="1" ht="12.75">
      <c r="A35" s="61" t="s">
        <v>603</v>
      </c>
      <c r="B35" s="462">
        <v>24488</v>
      </c>
      <c r="C35" s="462">
        <v>23574</v>
      </c>
      <c r="D35" s="463">
        <f t="shared" si="0"/>
        <v>96.26755962103888</v>
      </c>
      <c r="E35" s="462">
        <v>2705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</row>
    <row r="36" spans="1:146" s="466" customFormat="1" ht="12.75">
      <c r="A36" s="462" t="s">
        <v>604</v>
      </c>
      <c r="B36" s="462">
        <v>17853</v>
      </c>
      <c r="C36" s="462">
        <v>51215</v>
      </c>
      <c r="D36" s="463">
        <f t="shared" si="0"/>
        <v>286.8705539685207</v>
      </c>
      <c r="E36" s="462">
        <v>5982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</row>
    <row r="37" spans="1:146" s="467" customFormat="1" ht="28.5" customHeight="1">
      <c r="A37" s="70" t="s">
        <v>605</v>
      </c>
      <c r="B37" s="462">
        <f>B16-B31</f>
        <v>6297</v>
      </c>
      <c r="C37" s="462">
        <f>C16-C31</f>
        <v>-21389</v>
      </c>
      <c r="D37" s="463">
        <f t="shared" si="0"/>
        <v>-339.66968397649674</v>
      </c>
      <c r="E37" s="462">
        <f>E16-E31</f>
        <v>-12463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</row>
    <row r="38" spans="1:5" ht="16.5" customHeight="1">
      <c r="A38" s="70" t="s">
        <v>606</v>
      </c>
      <c r="B38" s="462">
        <f>B39-B40</f>
        <v>-336</v>
      </c>
      <c r="C38" s="462">
        <f>C39-C40</f>
        <v>-197</v>
      </c>
      <c r="D38" s="463">
        <f t="shared" si="0"/>
        <v>58.63095238095239</v>
      </c>
      <c r="E38" s="462">
        <f>E39-E40</f>
        <v>-4</v>
      </c>
    </row>
    <row r="39" spans="1:146" s="467" customFormat="1" ht="15" customHeight="1">
      <c r="A39" s="61" t="s">
        <v>607</v>
      </c>
      <c r="B39" s="462">
        <v>268</v>
      </c>
      <c r="C39" s="462">
        <v>958</v>
      </c>
      <c r="D39" s="463">
        <f t="shared" si="0"/>
        <v>357.46268656716416</v>
      </c>
      <c r="E39" s="462">
        <v>130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</row>
    <row r="40" spans="1:146" s="467" customFormat="1" ht="15" customHeight="1">
      <c r="A40" s="61" t="s">
        <v>608</v>
      </c>
      <c r="B40" s="462">
        <v>604</v>
      </c>
      <c r="C40" s="462">
        <v>1155</v>
      </c>
      <c r="D40" s="463">
        <f t="shared" si="0"/>
        <v>191.2251655629139</v>
      </c>
      <c r="E40" s="462">
        <v>134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</row>
    <row r="41" spans="1:146" s="468" customFormat="1" ht="28.5" customHeight="1">
      <c r="A41" s="70" t="s">
        <v>609</v>
      </c>
      <c r="B41" s="462">
        <f>B37-B38</f>
        <v>6633</v>
      </c>
      <c r="C41" s="462">
        <f>C37-C38</f>
        <v>-21192</v>
      </c>
      <c r="D41" s="463">
        <f t="shared" si="0"/>
        <v>-319.4934418815016</v>
      </c>
      <c r="E41" s="462">
        <f>E37-E38</f>
        <v>-12459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</row>
    <row r="42" spans="1:5" ht="16.5" customHeight="1">
      <c r="A42" s="70" t="s">
        <v>610</v>
      </c>
      <c r="B42" s="462">
        <f>SUM(B43:B45)</f>
        <v>58765</v>
      </c>
      <c r="C42" s="462">
        <f>SUM(C43:C45)</f>
        <v>50717</v>
      </c>
      <c r="D42" s="463">
        <f t="shared" si="0"/>
        <v>86.30477324938313</v>
      </c>
      <c r="E42" s="462">
        <f>SUM(E43:E45)</f>
        <v>6599</v>
      </c>
    </row>
    <row r="43" spans="1:146" s="466" customFormat="1" ht="12.75">
      <c r="A43" s="61" t="s">
        <v>611</v>
      </c>
      <c r="B43" s="462">
        <v>40597</v>
      </c>
      <c r="C43" s="462">
        <v>34429</v>
      </c>
      <c r="D43" s="463">
        <f t="shared" si="0"/>
        <v>84.80675912013203</v>
      </c>
      <c r="E43" s="462">
        <v>4839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</row>
    <row r="44" spans="1:146" s="466" customFormat="1" ht="12.75">
      <c r="A44" s="61" t="s">
        <v>612</v>
      </c>
      <c r="B44" s="462">
        <v>17226</v>
      </c>
      <c r="C44" s="462">
        <v>15657</v>
      </c>
      <c r="D44" s="463">
        <f t="shared" si="0"/>
        <v>90.891675374434</v>
      </c>
      <c r="E44" s="462">
        <v>1679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</row>
    <row r="45" spans="1:146" s="466" customFormat="1" ht="12.75">
      <c r="A45" s="462" t="s">
        <v>613</v>
      </c>
      <c r="B45" s="462">
        <v>942</v>
      </c>
      <c r="C45" s="462">
        <v>631</v>
      </c>
      <c r="D45" s="463">
        <f t="shared" si="0"/>
        <v>66.98513800424628</v>
      </c>
      <c r="E45" s="462">
        <v>81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</row>
    <row r="46" spans="1:146" s="468" customFormat="1" ht="28.5" customHeight="1">
      <c r="A46" s="70" t="s">
        <v>614</v>
      </c>
      <c r="B46" s="462">
        <f>SUM(B20-B42)</f>
        <v>-3413</v>
      </c>
      <c r="C46" s="462">
        <f>SUM(C20-C42)</f>
        <v>5775</v>
      </c>
      <c r="D46" s="463">
        <f t="shared" si="0"/>
        <v>-169.2059771462057</v>
      </c>
      <c r="E46" s="462">
        <f>SUM(E20-E42)</f>
        <v>-135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</row>
    <row r="47" spans="1:5" ht="16.5" customHeight="1">
      <c r="A47" s="70" t="s">
        <v>615</v>
      </c>
      <c r="B47" s="462">
        <f>B48-B49</f>
        <v>-2413</v>
      </c>
      <c r="C47" s="462">
        <f>C48-C49</f>
        <v>-2355</v>
      </c>
      <c r="D47" s="463">
        <f t="shared" si="0"/>
        <v>97.59635308744302</v>
      </c>
      <c r="E47" s="462">
        <f>E48-E49</f>
        <v>-1401</v>
      </c>
    </row>
    <row r="48" spans="1:146" s="467" customFormat="1" ht="15" customHeight="1">
      <c r="A48" s="61" t="s">
        <v>616</v>
      </c>
      <c r="B48" s="462">
        <v>4170</v>
      </c>
      <c r="C48" s="462">
        <v>4145</v>
      </c>
      <c r="D48" s="463">
        <f t="shared" si="0"/>
        <v>99.40047961630695</v>
      </c>
      <c r="E48" s="462">
        <v>35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</row>
    <row r="49" spans="1:146" s="467" customFormat="1" ht="15" customHeight="1">
      <c r="A49" s="61" t="s">
        <v>617</v>
      </c>
      <c r="B49" s="462">
        <v>6583</v>
      </c>
      <c r="C49" s="462">
        <v>6500</v>
      </c>
      <c r="D49" s="463">
        <f t="shared" si="0"/>
        <v>98.73917666717303</v>
      </c>
      <c r="E49" s="462">
        <v>1436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</row>
    <row r="50" spans="1:146" s="467" customFormat="1" ht="28.5" customHeight="1">
      <c r="A50" s="70" t="s">
        <v>618</v>
      </c>
      <c r="B50" s="462">
        <f>SUM(B46-B47)</f>
        <v>-1000</v>
      </c>
      <c r="C50" s="462">
        <f>SUM(C46-C47)</f>
        <v>8130</v>
      </c>
      <c r="D50" s="463">
        <f t="shared" si="0"/>
        <v>-813.0000000000001</v>
      </c>
      <c r="E50" s="462">
        <f>SUM(E46-E47)</f>
        <v>1266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</row>
    <row r="51" spans="1:146" s="43" customFormat="1" ht="12.75">
      <c r="A51" s="469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</row>
    <row r="52" spans="1:146" s="43" customFormat="1" ht="12.75">
      <c r="A52" s="469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</row>
    <row r="53" spans="1:146" s="43" customFormat="1" ht="12.75">
      <c r="A53" s="46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</row>
    <row r="54" spans="1:146" s="43" customFormat="1" ht="12.75">
      <c r="A54" s="469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</row>
    <row r="55" spans="1:146" s="43" customFormat="1" ht="12.75">
      <c r="A55" s="469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</row>
    <row r="56" spans="1:146" s="43" customFormat="1" ht="12.75">
      <c r="A56" s="469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</row>
    <row r="57" spans="1:146" s="43" customFormat="1" ht="12.75">
      <c r="A57" s="77" t="s">
        <v>619</v>
      </c>
      <c r="B57" s="451"/>
      <c r="C57" s="452"/>
      <c r="D57" s="452" t="s">
        <v>620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</row>
    <row r="58" spans="1:146" s="43" customFormat="1" ht="12.75">
      <c r="A58" s="469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</row>
    <row r="59" spans="1:146" s="43" customFormat="1" ht="12.75">
      <c r="A59" s="46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</row>
    <row r="60" spans="1:146" s="43" customFormat="1" ht="12.75">
      <c r="A60" s="469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</row>
    <row r="61" spans="1:146" s="43" customFormat="1" ht="12.75">
      <c r="A61" s="469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</row>
    <row r="62" spans="1:146" s="43" customFormat="1" ht="12.75">
      <c r="A62" s="469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</row>
    <row r="63" spans="1:146" s="43" customFormat="1" ht="12.75">
      <c r="A63" s="469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</row>
    <row r="64" spans="1:146" s="43" customFormat="1" ht="12.75">
      <c r="A64" s="469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</row>
    <row r="65" spans="1:146" s="43" customFormat="1" ht="12.75">
      <c r="A65" s="453" t="s">
        <v>621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</row>
    <row r="66" spans="1:146" s="43" customFormat="1" ht="12.75">
      <c r="A66" s="454" t="s">
        <v>451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</row>
    <row r="67" spans="1:146" s="43" customFormat="1" ht="12.75">
      <c r="A67" s="469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</sheetData>
  <printOptions/>
  <pageMargins left="0.6" right="0.19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M59"/>
  <sheetViews>
    <sheetView workbookViewId="0" topLeftCell="A1">
      <selection activeCell="E62" sqref="E62"/>
    </sheetView>
  </sheetViews>
  <sheetFormatPr defaultColWidth="9.140625" defaultRowHeight="12.75"/>
  <cols>
    <col min="1" max="1" width="37.57421875" style="473" customWidth="1"/>
    <col min="2" max="5" width="12.7109375" style="455" customWidth="1"/>
    <col min="6" max="143" width="7.421875" style="0" customWidth="1"/>
    <col min="144" max="16384" width="7.421875" style="455" customWidth="1"/>
  </cols>
  <sheetData>
    <row r="1" spans="1:5" ht="12.75">
      <c r="A1" s="470" t="s">
        <v>622</v>
      </c>
      <c r="B1" s="470"/>
      <c r="C1" s="32"/>
      <c r="D1" s="32"/>
      <c r="E1" s="32" t="s">
        <v>623</v>
      </c>
    </row>
    <row r="2" spans="1:143" s="32" customFormat="1" ht="12.75">
      <c r="A2" s="470"/>
      <c r="B2" s="470"/>
      <c r="E2" s="3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</row>
    <row r="4" spans="1:143" s="472" customFormat="1" ht="15.75">
      <c r="A4" s="456" t="s">
        <v>624</v>
      </c>
      <c r="B4" s="471"/>
      <c r="C4" s="165"/>
      <c r="D4" s="165"/>
      <c r="E4" s="165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</row>
    <row r="5" spans="1:143" s="472" customFormat="1" ht="15.75">
      <c r="A5" s="456" t="s">
        <v>575</v>
      </c>
      <c r="B5" s="471"/>
      <c r="C5" s="165"/>
      <c r="D5" s="165"/>
      <c r="E5" s="16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</row>
    <row r="6" spans="2:4" ht="12.75">
      <c r="B6" s="474"/>
      <c r="C6" s="474"/>
      <c r="D6" s="474"/>
    </row>
    <row r="7" spans="3:5" ht="12.75" customHeight="1">
      <c r="C7" s="474"/>
      <c r="D7" s="474"/>
      <c r="E7" s="474"/>
    </row>
    <row r="8" spans="1:143" s="39" customFormat="1" ht="12.75" customHeight="1">
      <c r="A8" s="475"/>
      <c r="B8" s="475"/>
      <c r="C8" s="476"/>
      <c r="D8" s="476"/>
      <c r="E8" s="476" t="s">
        <v>105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</row>
    <row r="9" spans="1:143" s="39" customFormat="1" ht="40.5" customHeight="1">
      <c r="A9" s="477" t="s">
        <v>59</v>
      </c>
      <c r="B9" s="460" t="s">
        <v>576</v>
      </c>
      <c r="C9" s="460" t="s">
        <v>107</v>
      </c>
      <c r="D9" s="460" t="s">
        <v>625</v>
      </c>
      <c r="E9" s="460" t="s">
        <v>306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</row>
    <row r="10" spans="1:143" s="39" customFormat="1" ht="12.75">
      <c r="A10" s="478" t="s">
        <v>626</v>
      </c>
      <c r="B10" s="478">
        <v>2</v>
      </c>
      <c r="C10" s="478">
        <v>3</v>
      </c>
      <c r="D10" s="478">
        <v>4</v>
      </c>
      <c r="E10" s="478" t="s">
        <v>627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</row>
    <row r="11" spans="1:143" s="43" customFormat="1" ht="12.75">
      <c r="A11" s="222" t="s">
        <v>628</v>
      </c>
      <c r="B11" s="200">
        <v>421806</v>
      </c>
      <c r="C11" s="200">
        <f>SUM(C12,C29)</f>
        <v>420857</v>
      </c>
      <c r="D11" s="479">
        <f aca="true" t="shared" si="0" ref="D11:D35">C11/B11*100</f>
        <v>99.77501505431407</v>
      </c>
      <c r="E11" s="200">
        <v>38239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</row>
    <row r="12" spans="1:5" ht="25.5">
      <c r="A12" s="480" t="s">
        <v>629</v>
      </c>
      <c r="B12" s="200">
        <v>277026</v>
      </c>
      <c r="C12" s="200">
        <f>SUM(C13,C21,C28)</f>
        <v>275985</v>
      </c>
      <c r="D12" s="479">
        <f t="shared" si="0"/>
        <v>99.6242229971194</v>
      </c>
      <c r="E12" s="200">
        <v>25527</v>
      </c>
    </row>
    <row r="13" spans="1:143" s="43" customFormat="1" ht="12.75">
      <c r="A13" s="481" t="s">
        <v>630</v>
      </c>
      <c r="B13" s="200">
        <v>232411</v>
      </c>
      <c r="C13" s="200">
        <f>SUM(C14,C19)</f>
        <v>232238</v>
      </c>
      <c r="D13" s="479">
        <f t="shared" si="0"/>
        <v>99.92556290364914</v>
      </c>
      <c r="E13" s="200">
        <v>21928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</row>
    <row r="14" spans="1:143" s="43" customFormat="1" ht="12.75">
      <c r="A14" s="482" t="s">
        <v>190</v>
      </c>
      <c r="B14" s="200">
        <v>231242</v>
      </c>
      <c r="C14" s="200">
        <f>SUM(C15:C18)</f>
        <v>231036</v>
      </c>
      <c r="D14" s="479">
        <f t="shared" si="0"/>
        <v>99.91091583708842</v>
      </c>
      <c r="E14" s="200">
        <v>21829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</row>
    <row r="15" spans="1:143" s="39" customFormat="1" ht="12.75">
      <c r="A15" s="483" t="s">
        <v>631</v>
      </c>
      <c r="B15" s="200">
        <v>185932</v>
      </c>
      <c r="C15" s="200">
        <f>185898+1055</f>
        <v>186953</v>
      </c>
      <c r="D15" s="479">
        <f t="shared" si="0"/>
        <v>100.5491254867371</v>
      </c>
      <c r="E15" s="200">
        <v>18020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</row>
    <row r="16" spans="1:143" s="39" customFormat="1" ht="12.75">
      <c r="A16" s="483" t="s">
        <v>632</v>
      </c>
      <c r="B16" s="200">
        <v>35453</v>
      </c>
      <c r="C16" s="200">
        <v>34262</v>
      </c>
      <c r="D16" s="479">
        <f t="shared" si="0"/>
        <v>96.64062279637831</v>
      </c>
      <c r="E16" s="200">
        <v>2432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</row>
    <row r="17" spans="1:143" s="39" customFormat="1" ht="12.75">
      <c r="A17" s="483" t="s">
        <v>633</v>
      </c>
      <c r="B17" s="200">
        <v>8265</v>
      </c>
      <c r="C17" s="200">
        <v>8524</v>
      </c>
      <c r="D17" s="479">
        <f t="shared" si="0"/>
        <v>103.13369630973988</v>
      </c>
      <c r="E17" s="200">
        <v>688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</row>
    <row r="18" spans="1:143" s="39" customFormat="1" ht="12.75">
      <c r="A18" s="483" t="s">
        <v>634</v>
      </c>
      <c r="B18" s="200">
        <v>1592</v>
      </c>
      <c r="C18" s="200">
        <v>1297</v>
      </c>
      <c r="D18" s="479">
        <f t="shared" si="0"/>
        <v>81.46984924623115</v>
      </c>
      <c r="E18" s="200">
        <v>140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</row>
    <row r="19" spans="1:143" s="43" customFormat="1" ht="12.75">
      <c r="A19" s="482" t="s">
        <v>192</v>
      </c>
      <c r="B19" s="200">
        <v>1169</v>
      </c>
      <c r="C19" s="200">
        <v>1202</v>
      </c>
      <c r="D19" s="479">
        <f t="shared" si="0"/>
        <v>102.82292557741658</v>
      </c>
      <c r="E19" s="200">
        <v>99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</row>
    <row r="20" spans="1:5" ht="12.75">
      <c r="A20" s="483" t="s">
        <v>635</v>
      </c>
      <c r="B20" s="200">
        <v>1169</v>
      </c>
      <c r="C20" s="200">
        <v>1202</v>
      </c>
      <c r="D20" s="479">
        <f t="shared" si="0"/>
        <v>102.82292557741658</v>
      </c>
      <c r="E20" s="200">
        <v>99</v>
      </c>
    </row>
    <row r="21" spans="1:143" s="43" customFormat="1" ht="12.75">
      <c r="A21" s="481" t="s">
        <v>636</v>
      </c>
      <c r="B21" s="200">
        <v>18672</v>
      </c>
      <c r="C21" s="200">
        <v>18070</v>
      </c>
      <c r="D21" s="479">
        <f t="shared" si="0"/>
        <v>96.77592116538132</v>
      </c>
      <c r="E21" s="200">
        <v>1623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</row>
    <row r="22" spans="1:5" ht="12.75">
      <c r="A22" s="483" t="s">
        <v>637</v>
      </c>
      <c r="B22" s="200">
        <v>389</v>
      </c>
      <c r="C22" s="200">
        <v>405</v>
      </c>
      <c r="D22" s="479">
        <f t="shared" si="0"/>
        <v>104.11311053984575</v>
      </c>
      <c r="E22" s="200">
        <v>41</v>
      </c>
    </row>
    <row r="23" spans="1:5" ht="12.75">
      <c r="A23" s="483" t="s">
        <v>638</v>
      </c>
      <c r="B23" s="200">
        <v>3708</v>
      </c>
      <c r="C23" s="200">
        <v>3506</v>
      </c>
      <c r="D23" s="479">
        <f t="shared" si="0"/>
        <v>94.55231930960086</v>
      </c>
      <c r="E23" s="200">
        <v>181</v>
      </c>
    </row>
    <row r="24" spans="1:5" ht="12.75">
      <c r="A24" s="483" t="s">
        <v>639</v>
      </c>
      <c r="B24" s="200">
        <v>307</v>
      </c>
      <c r="C24" s="200">
        <v>314</v>
      </c>
      <c r="D24" s="479">
        <f t="shared" si="0"/>
        <v>102.28013029315962</v>
      </c>
      <c r="E24" s="200">
        <v>73</v>
      </c>
    </row>
    <row r="25" spans="1:5" ht="12.75">
      <c r="A25" s="483" t="s">
        <v>640</v>
      </c>
      <c r="B25" s="200">
        <v>13451</v>
      </c>
      <c r="C25" s="200">
        <v>13073</v>
      </c>
      <c r="D25" s="479">
        <f t="shared" si="0"/>
        <v>97.1898000148688</v>
      </c>
      <c r="E25" s="200">
        <v>1200</v>
      </c>
    </row>
    <row r="26" spans="1:5" ht="22.5">
      <c r="A26" s="484" t="s">
        <v>641</v>
      </c>
      <c r="B26" s="200">
        <v>642</v>
      </c>
      <c r="C26" s="200">
        <v>592</v>
      </c>
      <c r="D26" s="479">
        <f t="shared" si="0"/>
        <v>92.21183800623052</v>
      </c>
      <c r="E26" s="200">
        <v>91</v>
      </c>
    </row>
    <row r="27" spans="1:5" ht="12.75">
      <c r="A27" s="483" t="s">
        <v>642</v>
      </c>
      <c r="B27" s="200">
        <v>175</v>
      </c>
      <c r="C27" s="200">
        <v>180</v>
      </c>
      <c r="D27" s="479">
        <f t="shared" si="0"/>
        <v>102.85714285714285</v>
      </c>
      <c r="E27" s="200">
        <v>37</v>
      </c>
    </row>
    <row r="28" spans="1:5" ht="38.25">
      <c r="A28" s="485" t="s">
        <v>643</v>
      </c>
      <c r="B28" s="200">
        <v>25943</v>
      </c>
      <c r="C28" s="200">
        <v>25677</v>
      </c>
      <c r="D28" s="479">
        <f t="shared" si="0"/>
        <v>98.97467524958563</v>
      </c>
      <c r="E28" s="200">
        <v>1976</v>
      </c>
    </row>
    <row r="29" spans="1:5" ht="12.75">
      <c r="A29" s="481" t="s">
        <v>644</v>
      </c>
      <c r="B29" s="200">
        <v>144780</v>
      </c>
      <c r="C29" s="200">
        <v>144872</v>
      </c>
      <c r="D29" s="479">
        <f t="shared" si="0"/>
        <v>100.06354468849288</v>
      </c>
      <c r="E29" s="200">
        <v>12712</v>
      </c>
    </row>
    <row r="30" spans="1:5" ht="12.75">
      <c r="A30" s="486" t="s">
        <v>645</v>
      </c>
      <c r="B30" s="200">
        <v>8790</v>
      </c>
      <c r="C30" s="200">
        <v>8622</v>
      </c>
      <c r="D30" s="479">
        <f t="shared" si="0"/>
        <v>98.08873720136518</v>
      </c>
      <c r="E30" s="200">
        <v>1002</v>
      </c>
    </row>
    <row r="31" spans="1:5" ht="22.5">
      <c r="A31" s="484" t="s">
        <v>646</v>
      </c>
      <c r="B31" s="200">
        <v>6906</v>
      </c>
      <c r="C31" s="200">
        <v>6797</v>
      </c>
      <c r="D31" s="479">
        <f t="shared" si="0"/>
        <v>98.421662322618</v>
      </c>
      <c r="E31" s="200">
        <v>840</v>
      </c>
    </row>
    <row r="32" spans="1:5" ht="22.5">
      <c r="A32" s="484" t="s">
        <v>647</v>
      </c>
      <c r="B32" s="200">
        <v>414</v>
      </c>
      <c r="C32" s="200">
        <v>403</v>
      </c>
      <c r="D32" s="479">
        <f t="shared" si="0"/>
        <v>97.34299516908213</v>
      </c>
      <c r="E32" s="200">
        <v>48</v>
      </c>
    </row>
    <row r="33" spans="1:5" ht="12.75">
      <c r="A33" s="483" t="s">
        <v>648</v>
      </c>
      <c r="B33" s="200">
        <v>1470</v>
      </c>
      <c r="C33" s="200">
        <v>1422</v>
      </c>
      <c r="D33" s="479">
        <f t="shared" si="0"/>
        <v>96.73469387755102</v>
      </c>
      <c r="E33" s="200">
        <v>114</v>
      </c>
    </row>
    <row r="34" spans="1:5" ht="12.75">
      <c r="A34" s="486" t="s">
        <v>649</v>
      </c>
      <c r="B34" s="200">
        <v>102624</v>
      </c>
      <c r="C34" s="200">
        <v>102863</v>
      </c>
      <c r="D34" s="479">
        <f t="shared" si="0"/>
        <v>100.23288899282818</v>
      </c>
      <c r="E34" s="200">
        <v>8712</v>
      </c>
    </row>
    <row r="35" spans="1:5" ht="12.75">
      <c r="A35" s="483" t="s">
        <v>650</v>
      </c>
      <c r="B35" s="200">
        <v>196</v>
      </c>
      <c r="C35" s="200">
        <v>204</v>
      </c>
      <c r="D35" s="479">
        <f t="shared" si="0"/>
        <v>104.08163265306123</v>
      </c>
      <c r="E35" s="200">
        <v>50</v>
      </c>
    </row>
    <row r="36" spans="1:5" ht="12.75">
      <c r="A36" s="483" t="s">
        <v>651</v>
      </c>
      <c r="B36" s="200"/>
      <c r="C36" s="200"/>
      <c r="D36" s="479"/>
      <c r="E36" s="200"/>
    </row>
    <row r="37" spans="1:5" ht="12.75">
      <c r="A37" s="483" t="s">
        <v>652</v>
      </c>
      <c r="B37" s="200">
        <v>102428</v>
      </c>
      <c r="C37" s="200">
        <v>102659</v>
      </c>
      <c r="D37" s="479">
        <f>C37/B37*100</f>
        <v>100.22552427070724</v>
      </c>
      <c r="E37" s="200">
        <v>8662</v>
      </c>
    </row>
    <row r="38" spans="1:5" ht="33.75">
      <c r="A38" s="487" t="s">
        <v>653</v>
      </c>
      <c r="B38" s="200">
        <v>0</v>
      </c>
      <c r="C38" s="200">
        <v>0</v>
      </c>
      <c r="D38" s="479"/>
      <c r="E38" s="200">
        <v>0</v>
      </c>
    </row>
    <row r="39" spans="1:5" ht="22.5">
      <c r="A39" s="488" t="s">
        <v>654</v>
      </c>
      <c r="B39" s="200">
        <v>31478</v>
      </c>
      <c r="C39" s="200">
        <v>31478</v>
      </c>
      <c r="D39" s="479">
        <f>C39/B39*100</f>
        <v>100</v>
      </c>
      <c r="E39" s="200">
        <v>2623</v>
      </c>
    </row>
    <row r="40" spans="1:5" ht="12.75">
      <c r="A40" s="483" t="s">
        <v>650</v>
      </c>
      <c r="B40" s="200">
        <v>31478</v>
      </c>
      <c r="C40" s="200">
        <v>31478</v>
      </c>
      <c r="D40" s="479">
        <f>C40/B40*100</f>
        <v>100</v>
      </c>
      <c r="E40" s="200">
        <v>2623</v>
      </c>
    </row>
    <row r="41" spans="1:5" ht="12.75">
      <c r="A41" s="483" t="s">
        <v>655</v>
      </c>
      <c r="B41" s="200">
        <v>0</v>
      </c>
      <c r="C41" s="200">
        <v>0</v>
      </c>
      <c r="D41" s="479"/>
      <c r="E41" s="200">
        <v>0</v>
      </c>
    </row>
    <row r="42" spans="1:5" ht="22.5">
      <c r="A42" s="484" t="s">
        <v>656</v>
      </c>
      <c r="B42" s="200"/>
      <c r="C42" s="200"/>
      <c r="D42" s="479"/>
      <c r="E42" s="200"/>
    </row>
    <row r="43" spans="1:5" ht="12.75">
      <c r="A43" s="486" t="s">
        <v>657</v>
      </c>
      <c r="B43" s="200">
        <v>1888</v>
      </c>
      <c r="C43" s="200">
        <f>1904+5</f>
        <v>1909</v>
      </c>
      <c r="D43" s="479">
        <f>C43/B43*100</f>
        <v>101.11228813559323</v>
      </c>
      <c r="E43" s="200">
        <f>371+4</f>
        <v>375</v>
      </c>
    </row>
    <row r="44" spans="1:5" ht="12.75">
      <c r="A44" s="489" t="s">
        <v>658</v>
      </c>
      <c r="B44" s="490"/>
      <c r="C44" s="119"/>
      <c r="D44" s="491"/>
      <c r="E44" s="492"/>
    </row>
    <row r="45" spans="1:5" ht="12.75">
      <c r="A45" s="489"/>
      <c r="B45" s="493"/>
      <c r="C45" s="493"/>
      <c r="D45" s="493"/>
      <c r="E45" s="492"/>
    </row>
    <row r="46" spans="1:5" ht="12.75">
      <c r="A46" s="489"/>
      <c r="B46" s="493"/>
      <c r="C46" s="493"/>
      <c r="D46" s="493"/>
      <c r="E46" s="492"/>
    </row>
    <row r="47" spans="1:143" s="2" customFormat="1" ht="15.75" customHeight="1">
      <c r="A47" s="494" t="s">
        <v>659</v>
      </c>
      <c r="B47" s="494"/>
      <c r="C47" s="495"/>
      <c r="D47" s="495"/>
      <c r="E47" s="452" t="s">
        <v>620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</row>
    <row r="48" spans="1:143" s="491" customFormat="1" ht="12.75">
      <c r="A48" s="496"/>
      <c r="B48" s="492"/>
      <c r="C48" s="119"/>
      <c r="D48" s="119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</row>
    <row r="49" spans="1:143" s="2" customFormat="1" ht="15.75" customHeight="1">
      <c r="A49" s="494"/>
      <c r="B49" s="493"/>
      <c r="C49" s="493"/>
      <c r="D49" s="493"/>
      <c r="E49" s="452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</row>
    <row r="50" spans="1:4" ht="12.75">
      <c r="A50" s="493"/>
      <c r="B50" s="493"/>
      <c r="C50" s="493"/>
      <c r="D50" s="493"/>
    </row>
    <row r="51" spans="1:143" s="491" customFormat="1" ht="13.5" customHeight="1">
      <c r="A51" s="497"/>
      <c r="C51" s="498"/>
      <c r="D51" s="455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</row>
    <row r="52" spans="1:4" ht="12.75">
      <c r="A52" s="493"/>
      <c r="B52" s="491"/>
      <c r="C52" s="491"/>
      <c r="D52" s="491"/>
    </row>
    <row r="53" spans="1:143" s="491" customFormat="1" ht="12.75">
      <c r="A53" s="497"/>
      <c r="C53" s="498"/>
      <c r="D53" s="45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</row>
    <row r="54" spans="1:4" ht="13.5" customHeight="1">
      <c r="A54" s="493"/>
      <c r="B54" s="491"/>
      <c r="C54" s="491"/>
      <c r="D54" s="491"/>
    </row>
    <row r="55" spans="1:3" ht="12.75">
      <c r="A55" s="494"/>
      <c r="B55" s="499"/>
      <c r="C55" s="498"/>
    </row>
    <row r="56" spans="1:3" ht="12.75">
      <c r="A56" s="494"/>
      <c r="B56" s="499"/>
      <c r="C56" s="39"/>
    </row>
    <row r="58" spans="1:3" ht="12.75">
      <c r="A58" s="500"/>
      <c r="B58" s="499"/>
      <c r="C58" s="2"/>
    </row>
    <row r="59" spans="1:3" ht="12.75">
      <c r="A59" s="494"/>
      <c r="B59" s="499"/>
      <c r="C59" s="2"/>
    </row>
  </sheetData>
  <printOptions/>
  <pageMargins left="0.75" right="0.19" top="1" bottom="0.23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X48"/>
  <sheetViews>
    <sheetView workbookViewId="0" topLeftCell="A1">
      <selection activeCell="E62" sqref="E62"/>
    </sheetView>
  </sheetViews>
  <sheetFormatPr defaultColWidth="9.140625" defaultRowHeight="12.75"/>
  <cols>
    <col min="1" max="1" width="41.00390625" style="473" customWidth="1"/>
    <col min="2" max="2" width="13.140625" style="513" customWidth="1"/>
    <col min="3" max="5" width="13.140625" style="455" customWidth="1"/>
    <col min="6" max="6" width="11.28125" style="0" customWidth="1"/>
    <col min="129" max="16384" width="9.140625" style="455" customWidth="1"/>
  </cols>
  <sheetData>
    <row r="1" spans="2:5" ht="12.75">
      <c r="B1" s="470"/>
      <c r="C1" s="32"/>
      <c r="D1" s="32"/>
      <c r="E1" s="32" t="s">
        <v>660</v>
      </c>
    </row>
    <row r="2" spans="1:5" ht="12.75">
      <c r="A2" s="470" t="s">
        <v>661</v>
      </c>
      <c r="B2" s="470"/>
      <c r="C2" s="32"/>
      <c r="D2" s="32"/>
      <c r="E2" s="32"/>
    </row>
    <row r="3" spans="1:5" ht="12.75">
      <c r="A3" s="470"/>
      <c r="B3" s="470"/>
      <c r="C3" s="32"/>
      <c r="D3" s="32"/>
      <c r="E3" s="32"/>
    </row>
    <row r="4" spans="1:128" s="39" customFormat="1" ht="12.75">
      <c r="A4" s="501"/>
      <c r="B4" s="501"/>
      <c r="C4" s="78"/>
      <c r="D4" s="78"/>
      <c r="E4" s="7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1:5" ht="15.75">
      <c r="A5" s="456" t="s">
        <v>662</v>
      </c>
      <c r="B5" s="471"/>
      <c r="C5" s="165"/>
      <c r="D5" s="165"/>
      <c r="E5" s="165"/>
    </row>
    <row r="6" spans="1:128" s="472" customFormat="1" ht="15.75">
      <c r="A6" s="456" t="s">
        <v>575</v>
      </c>
      <c r="B6" s="471"/>
      <c r="C6" s="165"/>
      <c r="D6" s="165"/>
      <c r="E6" s="16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</row>
    <row r="7" spans="1:128" s="472" customFormat="1" ht="15">
      <c r="A7" s="473"/>
      <c r="B7" s="502"/>
      <c r="C7" s="474"/>
      <c r="D7" s="474"/>
      <c r="E7" s="474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</row>
    <row r="8" spans="1:5" ht="12.75">
      <c r="A8" s="500"/>
      <c r="B8" s="503"/>
      <c r="C8" s="39"/>
      <c r="D8" s="78" t="s">
        <v>663</v>
      </c>
      <c r="E8" s="78"/>
    </row>
    <row r="9" spans="1:128" s="39" customFormat="1" ht="43.5" customHeight="1">
      <c r="A9" s="460" t="s">
        <v>59</v>
      </c>
      <c r="B9" s="460" t="s">
        <v>576</v>
      </c>
      <c r="C9" s="460" t="s">
        <v>107</v>
      </c>
      <c r="D9" s="460" t="s">
        <v>625</v>
      </c>
      <c r="E9" s="460" t="s">
        <v>306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1:5" ht="12.75">
      <c r="A10" s="478" t="s">
        <v>626</v>
      </c>
      <c r="B10" s="478" t="s">
        <v>664</v>
      </c>
      <c r="C10" s="478" t="s">
        <v>665</v>
      </c>
      <c r="D10" s="478" t="s">
        <v>666</v>
      </c>
      <c r="E10" s="478" t="s">
        <v>627</v>
      </c>
    </row>
    <row r="11" spans="1:5" ht="12.75">
      <c r="A11" s="480" t="s">
        <v>667</v>
      </c>
      <c r="B11" s="200">
        <v>415173</v>
      </c>
      <c r="C11" s="200">
        <v>442049</v>
      </c>
      <c r="D11" s="479">
        <f aca="true" t="shared" si="0" ref="D11:D36">C11/B11*100</f>
        <v>106.47344600925396</v>
      </c>
      <c r="E11" s="200">
        <v>50698</v>
      </c>
    </row>
    <row r="12" spans="1:128" s="43" customFormat="1" ht="12.75">
      <c r="A12" s="504" t="s">
        <v>668</v>
      </c>
      <c r="B12" s="200">
        <v>381557</v>
      </c>
      <c r="C12" s="200">
        <v>408697</v>
      </c>
      <c r="D12" s="479">
        <f t="shared" si="0"/>
        <v>107.1129608420236</v>
      </c>
      <c r="E12" s="200">
        <v>47577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</row>
    <row r="13" spans="1:128" s="2" customFormat="1" ht="12.75">
      <c r="A13" s="484" t="s">
        <v>669</v>
      </c>
      <c r="B13" s="200">
        <v>43930</v>
      </c>
      <c r="C13" s="200">
        <v>46195</v>
      </c>
      <c r="D13" s="479">
        <f t="shared" si="0"/>
        <v>105.15592988845893</v>
      </c>
      <c r="E13" s="200">
        <v>6570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28" s="2" customFormat="1" ht="12.75">
      <c r="A14" s="484" t="s">
        <v>525</v>
      </c>
      <c r="B14" s="200">
        <v>129</v>
      </c>
      <c r="C14" s="200">
        <v>114</v>
      </c>
      <c r="D14" s="479">
        <f t="shared" si="0"/>
        <v>88.37209302325581</v>
      </c>
      <c r="E14" s="200">
        <v>-166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2" customFormat="1" ht="12.75">
      <c r="A15" s="484" t="s">
        <v>526</v>
      </c>
      <c r="B15" s="200">
        <v>6046</v>
      </c>
      <c r="C15" s="200">
        <v>5844</v>
      </c>
      <c r="D15" s="479">
        <f t="shared" si="0"/>
        <v>96.65894806483625</v>
      </c>
      <c r="E15" s="200">
        <v>609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1:128" s="2" customFormat="1" ht="12.75">
      <c r="A16" s="484" t="s">
        <v>527</v>
      </c>
      <c r="B16" s="200">
        <v>199484</v>
      </c>
      <c r="C16" s="200">
        <v>201098</v>
      </c>
      <c r="D16" s="479">
        <f t="shared" si="0"/>
        <v>100.80908744560968</v>
      </c>
      <c r="E16" s="200">
        <v>24526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</row>
    <row r="17" spans="1:128" s="2" customFormat="1" ht="12.75">
      <c r="A17" s="484" t="s">
        <v>528</v>
      </c>
      <c r="B17" s="200">
        <v>5245</v>
      </c>
      <c r="C17" s="200">
        <v>6273</v>
      </c>
      <c r="D17" s="479">
        <f t="shared" si="0"/>
        <v>119.59961868446139</v>
      </c>
      <c r="E17" s="200">
        <v>717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1:128" s="2" customFormat="1" ht="12.75">
      <c r="A18" s="484" t="s">
        <v>529</v>
      </c>
      <c r="B18" s="200">
        <v>34091</v>
      </c>
      <c r="C18" s="200">
        <v>34250</v>
      </c>
      <c r="D18" s="479">
        <f t="shared" si="0"/>
        <v>100.46639875627</v>
      </c>
      <c r="E18" s="200">
        <v>4353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1:128" s="2" customFormat="1" ht="12.75">
      <c r="A19" s="484" t="s">
        <v>530</v>
      </c>
      <c r="B19" s="200">
        <v>52868</v>
      </c>
      <c r="C19" s="200">
        <v>67321</v>
      </c>
      <c r="D19" s="479">
        <f t="shared" si="0"/>
        <v>127.33789816145872</v>
      </c>
      <c r="E19" s="200">
        <v>6479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1:128" s="2" customFormat="1" ht="12.75">
      <c r="A20" s="484" t="s">
        <v>670</v>
      </c>
      <c r="B20" s="200">
        <v>24480</v>
      </c>
      <c r="C20" s="200">
        <v>28471</v>
      </c>
      <c r="D20" s="479">
        <f t="shared" si="0"/>
        <v>116.3031045751634</v>
      </c>
      <c r="E20" s="200">
        <v>2994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1:128" s="2" customFormat="1" ht="12.75">
      <c r="A21" s="484" t="s">
        <v>532</v>
      </c>
      <c r="B21" s="200">
        <v>1715</v>
      </c>
      <c r="C21" s="200">
        <v>1700</v>
      </c>
      <c r="D21" s="479">
        <f t="shared" si="0"/>
        <v>99.12536443148689</v>
      </c>
      <c r="E21" s="200">
        <v>265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</row>
    <row r="22" spans="1:128" s="2" customFormat="1" ht="12.75">
      <c r="A22" s="484" t="s">
        <v>671</v>
      </c>
      <c r="B22" s="200">
        <v>1554</v>
      </c>
      <c r="C22" s="200">
        <v>503</v>
      </c>
      <c r="D22" s="479">
        <f t="shared" si="0"/>
        <v>32.36808236808237</v>
      </c>
      <c r="E22" s="200">
        <v>-657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28" s="2" customFormat="1" ht="22.5">
      <c r="A23" s="484" t="s">
        <v>534</v>
      </c>
      <c r="B23" s="200">
        <v>27</v>
      </c>
      <c r="C23" s="200">
        <v>57</v>
      </c>
      <c r="D23" s="479">
        <f t="shared" si="0"/>
        <v>211.11111111111111</v>
      </c>
      <c r="E23" s="200">
        <v>-2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1:128" s="2" customFormat="1" ht="12.75">
      <c r="A24" s="484" t="s">
        <v>672</v>
      </c>
      <c r="B24" s="60">
        <v>4941</v>
      </c>
      <c r="C24" s="200">
        <v>10772</v>
      </c>
      <c r="D24" s="479">
        <f t="shared" si="0"/>
        <v>218.01254806719288</v>
      </c>
      <c r="E24" s="60">
        <v>1066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28" s="2" customFormat="1" ht="12.75">
      <c r="A25" s="484" t="s">
        <v>536</v>
      </c>
      <c r="B25" s="200">
        <v>1233</v>
      </c>
      <c r="C25" s="200">
        <v>1184</v>
      </c>
      <c r="D25" s="479">
        <f t="shared" si="0"/>
        <v>96.02595296025953</v>
      </c>
      <c r="E25" s="200">
        <v>131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</row>
    <row r="26" spans="1:128" s="2" customFormat="1" ht="12.75">
      <c r="A26" s="484" t="s">
        <v>673</v>
      </c>
      <c r="B26" s="200">
        <v>3133</v>
      </c>
      <c r="C26" s="200">
        <v>2993</v>
      </c>
      <c r="D26" s="479">
        <f t="shared" si="0"/>
        <v>95.531439514842</v>
      </c>
      <c r="E26" s="200">
        <v>130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1:128" s="2" customFormat="1" ht="12.75">
      <c r="A27" s="484" t="s">
        <v>674</v>
      </c>
      <c r="B27" s="200">
        <v>492</v>
      </c>
      <c r="C27" s="200">
        <v>474</v>
      </c>
      <c r="D27" s="479">
        <f t="shared" si="0"/>
        <v>96.34146341463415</v>
      </c>
      <c r="E27" s="200">
        <v>20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1:128" s="2" customFormat="1" ht="12.75">
      <c r="A28" s="484" t="s">
        <v>675</v>
      </c>
      <c r="B28" s="200">
        <v>879</v>
      </c>
      <c r="C28" s="200">
        <v>238</v>
      </c>
      <c r="D28" s="479">
        <f t="shared" si="0"/>
        <v>27.076222980659843</v>
      </c>
      <c r="E28" s="200">
        <v>186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1:128" s="2" customFormat="1" ht="12.75">
      <c r="A29" s="484" t="s">
        <v>676</v>
      </c>
      <c r="B29" s="200">
        <v>1310</v>
      </c>
      <c r="C29" s="200">
        <v>1210</v>
      </c>
      <c r="D29" s="479">
        <f t="shared" si="0"/>
        <v>92.36641221374046</v>
      </c>
      <c r="E29" s="200">
        <v>356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1:128" s="2" customFormat="1" ht="12.75" customHeight="1">
      <c r="A30" s="504" t="s">
        <v>677</v>
      </c>
      <c r="B30" s="200">
        <v>33616</v>
      </c>
      <c r="C30" s="200">
        <v>33352</v>
      </c>
      <c r="D30" s="479">
        <f t="shared" si="0"/>
        <v>99.21465968586386</v>
      </c>
      <c r="E30" s="200">
        <v>3121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1:128" s="2" customFormat="1" ht="12.75">
      <c r="A31" s="505" t="s">
        <v>645</v>
      </c>
      <c r="B31" s="200">
        <v>9041</v>
      </c>
      <c r="C31" s="200">
        <v>8777</v>
      </c>
      <c r="D31" s="479">
        <f t="shared" si="0"/>
        <v>97.07996902997455</v>
      </c>
      <c r="E31" s="200">
        <v>1046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1:128" s="2" customFormat="1" ht="22.5">
      <c r="A32" s="506" t="s">
        <v>678</v>
      </c>
      <c r="B32" s="200">
        <v>7826</v>
      </c>
      <c r="C32" s="200">
        <v>7578</v>
      </c>
      <c r="D32" s="479">
        <f t="shared" si="0"/>
        <v>96.83107590084335</v>
      </c>
      <c r="E32" s="200">
        <v>911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1:128" s="2" customFormat="1" ht="22.5">
      <c r="A33" s="506" t="s">
        <v>679</v>
      </c>
      <c r="B33" s="200">
        <v>565</v>
      </c>
      <c r="C33" s="200">
        <v>559</v>
      </c>
      <c r="D33" s="479">
        <f t="shared" si="0"/>
        <v>98.93805309734513</v>
      </c>
      <c r="E33" s="200">
        <v>71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</row>
    <row r="34" spans="1:128" s="2" customFormat="1" ht="12.75">
      <c r="A34" s="506" t="s">
        <v>648</v>
      </c>
      <c r="B34" s="200">
        <v>650</v>
      </c>
      <c r="C34" s="200">
        <v>640</v>
      </c>
      <c r="D34" s="479">
        <f t="shared" si="0"/>
        <v>98.46153846153847</v>
      </c>
      <c r="E34" s="200">
        <v>64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</row>
    <row r="35" spans="1:128" s="2" customFormat="1" ht="22.5">
      <c r="A35" s="505" t="s">
        <v>680</v>
      </c>
      <c r="B35" s="200">
        <v>24575</v>
      </c>
      <c r="C35" s="200">
        <v>24575</v>
      </c>
      <c r="D35" s="479">
        <f t="shared" si="0"/>
        <v>100</v>
      </c>
      <c r="E35" s="200">
        <v>2075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1:128" s="2" customFormat="1" ht="12.75">
      <c r="A36" s="484" t="s">
        <v>681</v>
      </c>
      <c r="B36" s="200">
        <v>24575</v>
      </c>
      <c r="C36" s="200">
        <v>24575</v>
      </c>
      <c r="D36" s="479">
        <f t="shared" si="0"/>
        <v>100</v>
      </c>
      <c r="E36" s="200">
        <v>2075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</row>
    <row r="37" spans="1:128" s="77" customFormat="1" ht="12.75">
      <c r="A37" s="506" t="s">
        <v>682</v>
      </c>
      <c r="B37" s="112"/>
      <c r="C37" s="112"/>
      <c r="D37" s="507"/>
      <c r="E37" s="50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1:128" s="77" customFormat="1" ht="12.75">
      <c r="A38" s="508"/>
      <c r="B38" s="509"/>
      <c r="C38" s="509"/>
      <c r="D38" s="509"/>
      <c r="E38" s="509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</row>
    <row r="39" spans="1:128" s="2" customFormat="1" ht="12.75">
      <c r="A39" s="39" t="s">
        <v>683</v>
      </c>
      <c r="C39" s="510"/>
      <c r="E39" s="455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</row>
    <row r="40" spans="1:128" s="2" customFormat="1" ht="12.75">
      <c r="A40" s="511"/>
      <c r="B40" s="512"/>
      <c r="C40" s="510"/>
      <c r="D40" s="509"/>
      <c r="E40" s="45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1:128" s="2" customFormat="1" ht="12.75">
      <c r="A41" s="511"/>
      <c r="B41" s="512"/>
      <c r="C41" s="510"/>
      <c r="D41" s="509"/>
      <c r="E41" s="455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1:128" s="2" customFormat="1" ht="12.75">
      <c r="A42" s="494"/>
      <c r="B42" s="510"/>
      <c r="C42" s="509"/>
      <c r="E42" s="455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1:128" s="2" customFormat="1" ht="12.75">
      <c r="A43" s="494" t="s">
        <v>659</v>
      </c>
      <c r="B43" s="494"/>
      <c r="C43" s="495"/>
      <c r="D43" s="495"/>
      <c r="E43" s="452" t="s">
        <v>620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1:128" s="2" customFormat="1" ht="12.75">
      <c r="A44" s="494"/>
      <c r="B44" s="494"/>
      <c r="C44" s="284"/>
      <c r="D44" s="284"/>
      <c r="E44" s="455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1:128" s="2" customFormat="1" ht="12.75">
      <c r="A45" s="494"/>
      <c r="B45" s="510"/>
      <c r="E45" s="45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1:128" s="2" customFormat="1" ht="12.75">
      <c r="A46" s="494"/>
      <c r="B46" s="494"/>
      <c r="C46" s="284"/>
      <c r="D46" s="284"/>
      <c r="E46" s="455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1:128" s="2" customFormat="1" ht="12.75">
      <c r="A47" s="494"/>
      <c r="B47" s="494"/>
      <c r="C47" s="284"/>
      <c r="E47" s="455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</row>
    <row r="48" spans="1:4" ht="12.75">
      <c r="A48" s="494"/>
      <c r="B48" s="473"/>
      <c r="C48" s="499"/>
      <c r="D48" s="284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</sheetData>
  <printOptions/>
  <pageMargins left="0.75" right="0.19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E62" sqref="E62"/>
    </sheetView>
  </sheetViews>
  <sheetFormatPr defaultColWidth="9.140625" defaultRowHeight="12.75"/>
  <cols>
    <col min="1" max="1" width="40.57421875" style="473" customWidth="1"/>
    <col min="2" max="5" width="12.28125" style="455" customWidth="1"/>
    <col min="6" max="16384" width="9.140625" style="455" customWidth="1"/>
  </cols>
  <sheetData>
    <row r="1" spans="2:5" s="39" customFormat="1" ht="12.75">
      <c r="B1" s="32"/>
      <c r="C1" s="32"/>
      <c r="D1" s="32"/>
      <c r="E1" s="32" t="s">
        <v>684</v>
      </c>
    </row>
    <row r="2" spans="1:6" s="43" customFormat="1" ht="12.75">
      <c r="A2" s="470" t="s">
        <v>685</v>
      </c>
      <c r="B2" s="32"/>
      <c r="C2" s="32"/>
      <c r="D2" s="32"/>
      <c r="E2" s="514"/>
      <c r="F2" s="493"/>
    </row>
    <row r="3" spans="1:5" s="39" customFormat="1" ht="11.25">
      <c r="A3" s="500"/>
      <c r="D3" s="78"/>
      <c r="E3" s="78"/>
    </row>
    <row r="4" spans="1:5" s="472" customFormat="1" ht="31.5">
      <c r="A4" s="456" t="s">
        <v>686</v>
      </c>
      <c r="B4" s="165"/>
      <c r="C4" s="165"/>
      <c r="D4" s="165"/>
      <c r="E4" s="165"/>
    </row>
    <row r="5" spans="1:5" s="472" customFormat="1" ht="15.75">
      <c r="A5" s="456" t="s">
        <v>575</v>
      </c>
      <c r="B5" s="165"/>
      <c r="C5" s="165"/>
      <c r="D5" s="165"/>
      <c r="E5" s="165"/>
    </row>
    <row r="6" spans="1:4" ht="15">
      <c r="A6" s="515"/>
      <c r="B6" s="474"/>
      <c r="C6" s="474"/>
      <c r="D6" s="474"/>
    </row>
    <row r="7" spans="1:4" ht="15">
      <c r="A7" s="515"/>
      <c r="B7" s="474"/>
      <c r="C7" s="474"/>
      <c r="D7" s="474"/>
    </row>
    <row r="8" spans="1:5" s="39" customFormat="1" ht="11.25" customHeight="1">
      <c r="A8" s="500"/>
      <c r="C8" s="78" t="s">
        <v>687</v>
      </c>
      <c r="D8" s="78"/>
      <c r="E8" s="78"/>
    </row>
    <row r="9" spans="1:5" s="39" customFormat="1" ht="33.75" customHeight="1">
      <c r="A9" s="460" t="s">
        <v>59</v>
      </c>
      <c r="B9" s="460" t="s">
        <v>576</v>
      </c>
      <c r="C9" s="460" t="s">
        <v>107</v>
      </c>
      <c r="D9" s="460" t="s">
        <v>625</v>
      </c>
      <c r="E9" s="460" t="s">
        <v>306</v>
      </c>
    </row>
    <row r="10" spans="1:5" s="43" customFormat="1" ht="12.75" customHeight="1">
      <c r="A10" s="478" t="s">
        <v>626</v>
      </c>
      <c r="B10" s="478" t="s">
        <v>664</v>
      </c>
      <c r="C10" s="478" t="s">
        <v>665</v>
      </c>
      <c r="D10" s="478" t="s">
        <v>666</v>
      </c>
      <c r="E10" s="478" t="s">
        <v>627</v>
      </c>
    </row>
    <row r="11" spans="1:5" s="43" customFormat="1" ht="12.75" customHeight="1">
      <c r="A11" s="480" t="s">
        <v>309</v>
      </c>
      <c r="B11" s="200">
        <v>421806</v>
      </c>
      <c r="C11" s="200">
        <v>420857</v>
      </c>
      <c r="D11" s="479">
        <f aca="true" t="shared" si="0" ref="D11:D38">C11/B11*100</f>
        <v>99.77501505431407</v>
      </c>
      <c r="E11" s="200">
        <v>38239</v>
      </c>
    </row>
    <row r="12" spans="1:5" s="43" customFormat="1" ht="12.75">
      <c r="A12" s="480" t="s">
        <v>688</v>
      </c>
      <c r="B12" s="200">
        <f>SUM(B13,B31)</f>
        <v>415509</v>
      </c>
      <c r="C12" s="200">
        <f>SUM(C13,C31)</f>
        <v>442246</v>
      </c>
      <c r="D12" s="479">
        <f t="shared" si="0"/>
        <v>106.43475833255116</v>
      </c>
      <c r="E12" s="200">
        <v>50702</v>
      </c>
    </row>
    <row r="13" spans="1:5" s="491" customFormat="1" ht="11.25" customHeight="1">
      <c r="A13" s="504" t="s">
        <v>317</v>
      </c>
      <c r="B13" s="200">
        <v>373168</v>
      </c>
      <c r="C13" s="200">
        <v>367457</v>
      </c>
      <c r="D13" s="479">
        <f t="shared" si="0"/>
        <v>98.469590104189</v>
      </c>
      <c r="E13" s="200">
        <v>42015</v>
      </c>
    </row>
    <row r="14" spans="1:5" s="491" customFormat="1" ht="11.25" customHeight="1">
      <c r="A14" s="516" t="s">
        <v>318</v>
      </c>
      <c r="B14" s="200">
        <v>303486</v>
      </c>
      <c r="C14" s="200">
        <v>298521</v>
      </c>
      <c r="D14" s="479">
        <f t="shared" si="0"/>
        <v>98.36401020145905</v>
      </c>
      <c r="E14" s="200">
        <v>34576</v>
      </c>
    </row>
    <row r="15" spans="1:5" ht="12">
      <c r="A15" s="506" t="s">
        <v>689</v>
      </c>
      <c r="B15" s="200">
        <v>150512</v>
      </c>
      <c r="C15" s="200">
        <v>149813</v>
      </c>
      <c r="D15" s="479">
        <f t="shared" si="0"/>
        <v>99.53558520250877</v>
      </c>
      <c r="E15" s="200">
        <v>17682</v>
      </c>
    </row>
    <row r="16" spans="1:5" ht="10.5" customHeight="1">
      <c r="A16" s="506" t="s">
        <v>690</v>
      </c>
      <c r="B16" s="200">
        <v>40621</v>
      </c>
      <c r="C16" s="200">
        <v>39751</v>
      </c>
      <c r="D16" s="479">
        <f t="shared" si="0"/>
        <v>97.85825065852637</v>
      </c>
      <c r="E16" s="200">
        <v>4731</v>
      </c>
    </row>
    <row r="17" spans="1:5" ht="0.75" customHeight="1" hidden="1">
      <c r="A17" s="506" t="s">
        <v>691</v>
      </c>
      <c r="B17" s="200">
        <v>40621</v>
      </c>
      <c r="C17" s="200">
        <v>39752</v>
      </c>
      <c r="D17" s="479">
        <f t="shared" si="0"/>
        <v>97.86071243937864</v>
      </c>
      <c r="E17" s="200">
        <v>4731</v>
      </c>
    </row>
    <row r="18" spans="1:5" ht="12" hidden="1">
      <c r="A18" s="506" t="s">
        <v>692</v>
      </c>
      <c r="B18" s="200">
        <v>1362</v>
      </c>
      <c r="C18" s="200">
        <v>1298</v>
      </c>
      <c r="D18" s="479">
        <f t="shared" si="0"/>
        <v>95.30102790014683</v>
      </c>
      <c r="E18" s="200">
        <v>89</v>
      </c>
    </row>
    <row r="19" spans="1:5" ht="12" hidden="1">
      <c r="A19" s="506" t="s">
        <v>693</v>
      </c>
      <c r="B19" s="200">
        <v>52737</v>
      </c>
      <c r="C19" s="200">
        <v>50980</v>
      </c>
      <c r="D19" s="479">
        <f t="shared" si="0"/>
        <v>96.66837324838349</v>
      </c>
      <c r="E19" s="200">
        <v>4761</v>
      </c>
    </row>
    <row r="20" spans="1:5" ht="12" hidden="1">
      <c r="A20" s="506" t="s">
        <v>694</v>
      </c>
      <c r="B20" s="200">
        <v>56152</v>
      </c>
      <c r="C20" s="200">
        <v>54647</v>
      </c>
      <c r="D20" s="479">
        <f t="shared" si="0"/>
        <v>97.31977489670894</v>
      </c>
      <c r="E20" s="200">
        <v>7044</v>
      </c>
    </row>
    <row r="21" spans="1:5" ht="12">
      <c r="A21" s="506" t="s">
        <v>695</v>
      </c>
      <c r="B21" s="200">
        <v>112353</v>
      </c>
      <c r="C21" s="200">
        <v>108957</v>
      </c>
      <c r="D21" s="479">
        <f t="shared" si="0"/>
        <v>96.97738378147446</v>
      </c>
      <c r="E21" s="200">
        <v>12163</v>
      </c>
    </row>
    <row r="22" spans="1:5" ht="12">
      <c r="A22" s="517" t="s">
        <v>696</v>
      </c>
      <c r="B22" s="200">
        <v>108889</v>
      </c>
      <c r="C22" s="200">
        <v>105627</v>
      </c>
      <c r="D22" s="479">
        <f t="shared" si="0"/>
        <v>97.0042887711339</v>
      </c>
      <c r="E22" s="200">
        <v>11806</v>
      </c>
    </row>
    <row r="23" spans="1:5" ht="12">
      <c r="A23" s="517" t="s">
        <v>697</v>
      </c>
      <c r="B23" s="200">
        <v>3464</v>
      </c>
      <c r="C23" s="200">
        <v>3330</v>
      </c>
      <c r="D23" s="479">
        <f t="shared" si="0"/>
        <v>96.13163972286374</v>
      </c>
      <c r="E23" s="200">
        <v>357</v>
      </c>
    </row>
    <row r="24" spans="1:5" ht="12">
      <c r="A24" s="516" t="s">
        <v>698</v>
      </c>
      <c r="B24" s="200">
        <v>3821</v>
      </c>
      <c r="C24" s="200">
        <v>3586</v>
      </c>
      <c r="D24" s="479">
        <f t="shared" si="0"/>
        <v>93.84977754514526</v>
      </c>
      <c r="E24" s="200">
        <v>129</v>
      </c>
    </row>
    <row r="25" spans="1:5" ht="12">
      <c r="A25" s="516" t="s">
        <v>328</v>
      </c>
      <c r="B25" s="200">
        <v>65861</v>
      </c>
      <c r="C25" s="200">
        <v>65350</v>
      </c>
      <c r="D25" s="479">
        <f t="shared" si="0"/>
        <v>99.22412353289504</v>
      </c>
      <c r="E25" s="200">
        <v>7310</v>
      </c>
    </row>
    <row r="26" spans="1:5" ht="12">
      <c r="A26" s="506" t="s">
        <v>699</v>
      </c>
      <c r="B26" s="200">
        <v>567</v>
      </c>
      <c r="C26" s="200">
        <v>571</v>
      </c>
      <c r="D26" s="479">
        <f t="shared" si="0"/>
        <v>100.70546737213404</v>
      </c>
      <c r="E26" s="200">
        <v>68</v>
      </c>
    </row>
    <row r="27" spans="1:5" ht="12">
      <c r="A27" s="506" t="s">
        <v>700</v>
      </c>
      <c r="B27" s="200">
        <v>5023</v>
      </c>
      <c r="C27" s="200">
        <v>5018</v>
      </c>
      <c r="D27" s="479">
        <f t="shared" si="0"/>
        <v>99.90045789368904</v>
      </c>
      <c r="E27" s="200">
        <v>513</v>
      </c>
    </row>
    <row r="28" spans="1:5" ht="12">
      <c r="A28" s="506" t="s">
        <v>701</v>
      </c>
      <c r="B28" s="200">
        <v>25846</v>
      </c>
      <c r="C28" s="200">
        <v>25773</v>
      </c>
      <c r="D28" s="479">
        <f t="shared" si="0"/>
        <v>99.71755784260621</v>
      </c>
      <c r="E28" s="200">
        <v>2265</v>
      </c>
    </row>
    <row r="29" spans="1:5" ht="12">
      <c r="A29" s="506" t="s">
        <v>702</v>
      </c>
      <c r="B29" s="200">
        <v>17876</v>
      </c>
      <c r="C29" s="200">
        <v>18031</v>
      </c>
      <c r="D29" s="479">
        <f t="shared" si="0"/>
        <v>100.86708435891698</v>
      </c>
      <c r="E29" s="200">
        <v>2451</v>
      </c>
    </row>
    <row r="30" spans="1:5" ht="12">
      <c r="A30" s="506" t="s">
        <v>703</v>
      </c>
      <c r="B30" s="200">
        <v>16549</v>
      </c>
      <c r="C30" s="200">
        <v>15957</v>
      </c>
      <c r="D30" s="479">
        <f t="shared" si="0"/>
        <v>96.42274457671158</v>
      </c>
      <c r="E30" s="200">
        <v>2013</v>
      </c>
    </row>
    <row r="31" spans="1:5" s="491" customFormat="1" ht="11.25" customHeight="1">
      <c r="A31" s="518" t="s">
        <v>704</v>
      </c>
      <c r="B31" s="200">
        <v>42341</v>
      </c>
      <c r="C31" s="200">
        <v>74789</v>
      </c>
      <c r="D31" s="479">
        <f t="shared" si="0"/>
        <v>176.63494012895302</v>
      </c>
      <c r="E31" s="200">
        <v>8687</v>
      </c>
    </row>
    <row r="32" spans="1:6" s="491" customFormat="1" ht="11.25" customHeight="1">
      <c r="A32" s="506" t="s">
        <v>349</v>
      </c>
      <c r="B32" s="200">
        <v>24488</v>
      </c>
      <c r="C32" s="200">
        <v>23574</v>
      </c>
      <c r="D32" s="479">
        <f t="shared" si="0"/>
        <v>96.26755962103888</v>
      </c>
      <c r="E32" s="200">
        <v>2705</v>
      </c>
      <c r="F32" s="519"/>
    </row>
    <row r="33" spans="1:5" ht="12">
      <c r="A33" s="506" t="s">
        <v>349</v>
      </c>
      <c r="B33" s="200">
        <v>20595</v>
      </c>
      <c r="C33" s="200">
        <v>20253</v>
      </c>
      <c r="D33" s="479">
        <f t="shared" si="0"/>
        <v>98.33940276766205</v>
      </c>
      <c r="E33" s="200">
        <v>2009</v>
      </c>
    </row>
    <row r="34" spans="1:5" ht="12">
      <c r="A34" s="506" t="s">
        <v>705</v>
      </c>
      <c r="B34" s="200">
        <v>23963</v>
      </c>
      <c r="C34" s="200">
        <v>23185</v>
      </c>
      <c r="D34" s="479">
        <f t="shared" si="0"/>
        <v>96.75332804740641</v>
      </c>
      <c r="E34" s="200">
        <v>2932</v>
      </c>
    </row>
    <row r="35" spans="1:5" ht="12">
      <c r="A35" s="506" t="s">
        <v>351</v>
      </c>
      <c r="B35" s="520">
        <v>17853</v>
      </c>
      <c r="C35" s="200">
        <v>51215</v>
      </c>
      <c r="D35" s="479">
        <f t="shared" si="0"/>
        <v>286.8705539685207</v>
      </c>
      <c r="E35" s="200">
        <v>5982</v>
      </c>
    </row>
    <row r="36" spans="1:5" s="491" customFormat="1" ht="11.25" customHeight="1">
      <c r="A36" s="504" t="s">
        <v>706</v>
      </c>
      <c r="B36" s="520">
        <v>-336</v>
      </c>
      <c r="C36" s="520">
        <v>-197</v>
      </c>
      <c r="D36" s="479">
        <f t="shared" si="0"/>
        <v>58.63095238095239</v>
      </c>
      <c r="E36" s="200">
        <v>-4</v>
      </c>
    </row>
    <row r="37" spans="1:5" ht="12.75" customHeight="1">
      <c r="A37" s="506" t="s">
        <v>707</v>
      </c>
      <c r="B37" s="200">
        <v>268</v>
      </c>
      <c r="C37" s="200">
        <v>958</v>
      </c>
      <c r="D37" s="479">
        <f t="shared" si="0"/>
        <v>357.46268656716416</v>
      </c>
      <c r="E37" s="200">
        <v>130</v>
      </c>
    </row>
    <row r="38" spans="1:5" ht="12.75" customHeight="1">
      <c r="A38" s="506" t="s">
        <v>708</v>
      </c>
      <c r="B38" s="200">
        <v>604</v>
      </c>
      <c r="C38" s="200">
        <v>1155</v>
      </c>
      <c r="D38" s="479">
        <f t="shared" si="0"/>
        <v>191.2251655629139</v>
      </c>
      <c r="E38" s="200">
        <v>134</v>
      </c>
    </row>
    <row r="39" spans="1:6" ht="12.75" customHeight="1">
      <c r="A39" s="504" t="s">
        <v>481</v>
      </c>
      <c r="B39" s="200">
        <v>6633</v>
      </c>
      <c r="C39" s="200">
        <v>-21192</v>
      </c>
      <c r="D39" s="479">
        <f>-C39/B39*100</f>
        <v>319.4934418815016</v>
      </c>
      <c r="E39" s="200">
        <v>-12459</v>
      </c>
      <c r="F39" s="510"/>
    </row>
    <row r="40" spans="1:5" s="2" customFormat="1" ht="12">
      <c r="A40" s="521"/>
      <c r="B40" s="510"/>
      <c r="D40" s="510"/>
      <c r="E40" s="510"/>
    </row>
    <row r="41" spans="1:5" s="2" customFormat="1" ht="12">
      <c r="A41" s="496"/>
      <c r="B41" s="510"/>
      <c r="C41" s="510"/>
      <c r="D41" s="510"/>
      <c r="E41" s="510"/>
    </row>
    <row r="42" spans="1:6" ht="12">
      <c r="A42" s="510"/>
      <c r="B42" s="510"/>
      <c r="C42" s="510"/>
      <c r="D42" s="510"/>
      <c r="E42" s="510"/>
      <c r="F42" s="499"/>
    </row>
    <row r="43" spans="1:5" s="2" customFormat="1" ht="12">
      <c r="A43" s="494" t="s">
        <v>659</v>
      </c>
      <c r="B43" s="494"/>
      <c r="C43" s="495"/>
      <c r="D43" s="495"/>
      <c r="E43" s="510" t="s">
        <v>620</v>
      </c>
    </row>
    <row r="44" spans="4:5" s="2" customFormat="1" ht="12">
      <c r="D44" s="510"/>
      <c r="E44" s="510"/>
    </row>
    <row r="45" spans="1:5" s="2" customFormat="1" ht="12">
      <c r="A45" s="510"/>
      <c r="B45" s="284"/>
      <c r="C45" s="284"/>
      <c r="D45" s="510"/>
      <c r="E45" s="510"/>
    </row>
    <row r="46" spans="1:5" s="2" customFormat="1" ht="12">
      <c r="A46" s="510"/>
      <c r="B46" s="284"/>
      <c r="D46" s="510"/>
      <c r="E46" s="510"/>
    </row>
    <row r="47" spans="1:5" ht="12">
      <c r="A47" s="513"/>
      <c r="B47" s="499"/>
      <c r="D47" s="510"/>
      <c r="E47" s="510"/>
    </row>
    <row r="48" spans="4:6" ht="12">
      <c r="D48" s="510"/>
      <c r="E48" s="510"/>
      <c r="F48" s="499"/>
    </row>
    <row r="49" spans="4:5" ht="12">
      <c r="D49" s="510"/>
      <c r="E49" s="510"/>
    </row>
  </sheetData>
  <printOptions/>
  <pageMargins left="0.75" right="0.19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62" sqref="E62"/>
    </sheetView>
  </sheetViews>
  <sheetFormatPr defaultColWidth="9.140625" defaultRowHeight="12.75"/>
  <cols>
    <col min="1" max="1" width="42.7109375" style="455" customWidth="1"/>
    <col min="2" max="5" width="12.28125" style="455" customWidth="1"/>
    <col min="6" max="16384" width="9.140625" style="455" customWidth="1"/>
  </cols>
  <sheetData>
    <row r="1" spans="1:5" s="39" customFormat="1" ht="12.75">
      <c r="A1" s="32" t="s">
        <v>685</v>
      </c>
      <c r="B1" s="32"/>
      <c r="C1" s="32"/>
      <c r="D1" s="32"/>
      <c r="E1" s="32" t="s">
        <v>709</v>
      </c>
    </row>
    <row r="2" spans="1:5" s="39" customFormat="1" ht="12.75">
      <c r="A2" s="32"/>
      <c r="B2" s="32"/>
      <c r="C2" s="32"/>
      <c r="D2" s="32"/>
      <c r="E2" s="32"/>
    </row>
    <row r="4" spans="1:5" s="472" customFormat="1" ht="15.75">
      <c r="A4" s="456" t="s">
        <v>710</v>
      </c>
      <c r="B4" s="165"/>
      <c r="C4" s="165"/>
      <c r="D4" s="165"/>
      <c r="E4" s="165"/>
    </row>
    <row r="5" spans="1:5" ht="15.75">
      <c r="A5" s="456" t="s">
        <v>575</v>
      </c>
      <c r="B5" s="474"/>
      <c r="C5" s="474"/>
      <c r="D5" s="474"/>
      <c r="E5" s="474"/>
    </row>
    <row r="6" spans="1:5" ht="11.25">
      <c r="A6" s="513"/>
      <c r="B6" s="474"/>
      <c r="C6" s="474"/>
      <c r="D6" s="474"/>
      <c r="E6" s="474"/>
    </row>
    <row r="7" spans="1:5" ht="11.25">
      <c r="A7" s="513"/>
      <c r="B7" s="474"/>
      <c r="C7" s="474"/>
      <c r="D7" s="474"/>
      <c r="E7" s="474"/>
    </row>
    <row r="8" spans="4:5" s="39" customFormat="1" ht="11.25">
      <c r="D8" s="78" t="s">
        <v>711</v>
      </c>
      <c r="E8" s="78"/>
    </row>
    <row r="9" spans="1:5" s="43" customFormat="1" ht="30.75" customHeight="1">
      <c r="A9" s="460" t="s">
        <v>59</v>
      </c>
      <c r="B9" s="460" t="s">
        <v>576</v>
      </c>
      <c r="C9" s="460" t="s">
        <v>107</v>
      </c>
      <c r="D9" s="460" t="s">
        <v>625</v>
      </c>
      <c r="E9" s="460" t="s">
        <v>306</v>
      </c>
    </row>
    <row r="10" spans="1:5" s="2" customFormat="1" ht="11.25" customHeight="1">
      <c r="A10" s="88">
        <v>1</v>
      </c>
      <c r="B10" s="522">
        <v>2</v>
      </c>
      <c r="C10" s="522">
        <v>3</v>
      </c>
      <c r="D10" s="523">
        <v>4</v>
      </c>
      <c r="E10" s="523" t="s">
        <v>627</v>
      </c>
    </row>
    <row r="11" spans="1:5" s="2" customFormat="1" ht="12.75">
      <c r="A11" s="524" t="s">
        <v>712</v>
      </c>
      <c r="B11" s="200">
        <v>55352</v>
      </c>
      <c r="C11" s="200">
        <v>56492</v>
      </c>
      <c r="D11" s="463">
        <f aca="true" t="shared" si="0" ref="D11:D24">C11/B11*100</f>
        <v>102.05954617719324</v>
      </c>
      <c r="E11" s="200">
        <v>6464</v>
      </c>
    </row>
    <row r="12" spans="1:5" ht="25.5">
      <c r="A12" s="524" t="s">
        <v>713</v>
      </c>
      <c r="B12" s="200">
        <v>48738</v>
      </c>
      <c r="C12" s="200">
        <v>50472</v>
      </c>
      <c r="D12" s="463">
        <f t="shared" si="0"/>
        <v>103.55779884279208</v>
      </c>
      <c r="E12" s="200">
        <v>6322</v>
      </c>
    </row>
    <row r="13" spans="1:5" ht="12">
      <c r="A13" s="525" t="s">
        <v>714</v>
      </c>
      <c r="B13" s="200">
        <v>14506</v>
      </c>
      <c r="C13" s="200">
        <v>15522</v>
      </c>
      <c r="D13" s="463">
        <f t="shared" si="0"/>
        <v>107.0039983455122</v>
      </c>
      <c r="E13" s="200">
        <v>934</v>
      </c>
    </row>
    <row r="14" spans="1:5" ht="12">
      <c r="A14" s="525" t="s">
        <v>715</v>
      </c>
      <c r="B14" s="200">
        <v>2246</v>
      </c>
      <c r="C14" s="200">
        <v>2357</v>
      </c>
      <c r="D14" s="463">
        <f t="shared" si="0"/>
        <v>104.94211932324131</v>
      </c>
      <c r="E14" s="200">
        <v>173</v>
      </c>
    </row>
    <row r="15" spans="1:5" ht="12">
      <c r="A15" s="525" t="s">
        <v>716</v>
      </c>
      <c r="B15" s="200">
        <v>14915</v>
      </c>
      <c r="C15" s="200">
        <v>14104</v>
      </c>
      <c r="D15" s="463">
        <f t="shared" si="0"/>
        <v>94.56252095206167</v>
      </c>
      <c r="E15" s="200">
        <v>2483</v>
      </c>
    </row>
    <row r="16" spans="1:5" ht="12">
      <c r="A16" s="525" t="s">
        <v>717</v>
      </c>
      <c r="B16" s="200">
        <v>17071</v>
      </c>
      <c r="C16" s="200">
        <v>18489</v>
      </c>
      <c r="D16" s="463">
        <f t="shared" si="0"/>
        <v>108.3064846816238</v>
      </c>
      <c r="E16" s="200">
        <v>2732</v>
      </c>
    </row>
    <row r="17" spans="1:5" ht="25.5">
      <c r="A17" s="526" t="s">
        <v>718</v>
      </c>
      <c r="B17" s="200">
        <v>6614</v>
      </c>
      <c r="C17" s="200">
        <v>6020</v>
      </c>
      <c r="D17" s="463">
        <f t="shared" si="0"/>
        <v>91.01905049894164</v>
      </c>
      <c r="E17" s="200">
        <v>142</v>
      </c>
    </row>
    <row r="18" spans="1:7" s="2" customFormat="1" ht="12.75">
      <c r="A18" s="524" t="s">
        <v>719</v>
      </c>
      <c r="B18" s="200">
        <v>56352</v>
      </c>
      <c r="C18" s="200">
        <v>48362</v>
      </c>
      <c r="D18" s="463">
        <f t="shared" si="0"/>
        <v>85.82126632595116</v>
      </c>
      <c r="E18" s="200">
        <v>5198</v>
      </c>
      <c r="F18" s="455"/>
      <c r="G18" s="455"/>
    </row>
    <row r="19" spans="1:5" ht="25.5">
      <c r="A19" s="526" t="s">
        <v>720</v>
      </c>
      <c r="B19" s="200">
        <v>49954</v>
      </c>
      <c r="C19" s="200">
        <v>43420</v>
      </c>
      <c r="D19" s="463">
        <f t="shared" si="0"/>
        <v>86.91996636905954</v>
      </c>
      <c r="E19" s="200">
        <v>4427</v>
      </c>
    </row>
    <row r="20" spans="1:5" ht="12">
      <c r="A20" s="525" t="s">
        <v>714</v>
      </c>
      <c r="B20" s="200">
        <v>12965</v>
      </c>
      <c r="C20" s="200">
        <v>9895</v>
      </c>
      <c r="D20" s="463">
        <f t="shared" si="0"/>
        <v>76.3208638642499</v>
      </c>
      <c r="E20" s="200">
        <v>-337</v>
      </c>
    </row>
    <row r="21" spans="1:5" ht="12">
      <c r="A21" s="525" t="s">
        <v>715</v>
      </c>
      <c r="B21" s="200">
        <v>2591</v>
      </c>
      <c r="C21" s="200">
        <v>1790</v>
      </c>
      <c r="D21" s="463">
        <f t="shared" si="0"/>
        <v>69.08529525279815</v>
      </c>
      <c r="E21" s="200">
        <v>291</v>
      </c>
    </row>
    <row r="22" spans="1:5" ht="12">
      <c r="A22" s="525" t="s">
        <v>716</v>
      </c>
      <c r="B22" s="200">
        <v>16398</v>
      </c>
      <c r="C22" s="200">
        <v>14280</v>
      </c>
      <c r="D22" s="463">
        <f t="shared" si="0"/>
        <v>87.08379070618368</v>
      </c>
      <c r="E22" s="200">
        <v>3004</v>
      </c>
    </row>
    <row r="23" spans="1:5" ht="12">
      <c r="A23" s="525" t="s">
        <v>717</v>
      </c>
      <c r="B23" s="200">
        <v>18000</v>
      </c>
      <c r="C23" s="200">
        <v>17455</v>
      </c>
      <c r="D23" s="463">
        <f t="shared" si="0"/>
        <v>96.97222222222223</v>
      </c>
      <c r="E23" s="200">
        <v>1469</v>
      </c>
    </row>
    <row r="24" spans="1:5" ht="25.5">
      <c r="A24" s="526" t="s">
        <v>721</v>
      </c>
      <c r="B24" s="200">
        <v>6398</v>
      </c>
      <c r="C24" s="200">
        <v>4942</v>
      </c>
      <c r="D24" s="463">
        <f t="shared" si="0"/>
        <v>77.24288840262582</v>
      </c>
      <c r="E24" s="200">
        <v>771</v>
      </c>
    </row>
    <row r="25" spans="1:5" ht="12.75">
      <c r="A25" s="527"/>
      <c r="B25" s="509"/>
      <c r="C25" s="509"/>
      <c r="D25" s="528"/>
      <c r="E25" s="509"/>
    </row>
    <row r="26" ht="11.25">
      <c r="A26" s="39" t="s">
        <v>722</v>
      </c>
    </row>
    <row r="27" spans="1:5" s="461" customFormat="1" ht="11.25">
      <c r="A27" s="513"/>
      <c r="B27" s="455"/>
      <c r="C27" s="455"/>
      <c r="D27" s="455"/>
      <c r="E27" s="455"/>
    </row>
    <row r="28" spans="1:5" s="2" customFormat="1" ht="12">
      <c r="A28" s="513"/>
      <c r="B28" s="455"/>
      <c r="C28" s="455"/>
      <c r="D28" s="455"/>
      <c r="E28" s="455"/>
    </row>
    <row r="29" spans="1:5" s="2" customFormat="1" ht="12">
      <c r="A29" s="513"/>
      <c r="B29" s="461"/>
      <c r="C29" s="284"/>
      <c r="D29" s="461"/>
      <c r="E29" s="461"/>
    </row>
    <row r="30" spans="1:5" ht="12">
      <c r="A30" s="494"/>
      <c r="E30" s="529"/>
    </row>
    <row r="31" spans="1:5" ht="12">
      <c r="A31" s="494" t="s">
        <v>659</v>
      </c>
      <c r="B31" s="494"/>
      <c r="C31" s="495"/>
      <c r="D31" s="495"/>
      <c r="E31" s="529" t="s">
        <v>620</v>
      </c>
    </row>
    <row r="32" spans="1:5" ht="12">
      <c r="A32" s="494"/>
      <c r="B32" s="494"/>
      <c r="E32" s="529"/>
    </row>
    <row r="33" ht="11.25">
      <c r="A33" s="500"/>
    </row>
    <row r="34" ht="11.25">
      <c r="A34" s="500"/>
    </row>
    <row r="35" s="43" customFormat="1" ht="12" customHeight="1">
      <c r="A35" s="493"/>
    </row>
    <row r="36" s="43" customFormat="1" ht="12" customHeight="1">
      <c r="A36" s="493"/>
    </row>
    <row r="37" ht="12.75">
      <c r="A37" s="493"/>
    </row>
  </sheetData>
  <printOptions/>
  <pageMargins left="0.75" right="0.19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76"/>
  <sheetViews>
    <sheetView workbookViewId="0" topLeftCell="A1">
      <selection activeCell="E62" sqref="E62"/>
    </sheetView>
  </sheetViews>
  <sheetFormatPr defaultColWidth="9.140625" defaultRowHeight="12.75"/>
  <cols>
    <col min="1" max="1" width="39.7109375" style="455" customWidth="1"/>
    <col min="2" max="5" width="12.7109375" style="455" customWidth="1"/>
  </cols>
  <sheetData>
    <row r="1" spans="1:5" ht="12.75">
      <c r="A1" s="32" t="s">
        <v>723</v>
      </c>
      <c r="B1" s="32"/>
      <c r="C1" s="32"/>
      <c r="D1" s="32"/>
      <c r="E1" s="32" t="s">
        <v>724</v>
      </c>
    </row>
    <row r="2" spans="1:5" ht="12.75">
      <c r="A2" s="32"/>
      <c r="B2" s="32"/>
      <c r="C2" s="32"/>
      <c r="D2" s="32"/>
      <c r="E2" s="393"/>
    </row>
    <row r="3" spans="4:5" ht="12.75">
      <c r="D3" s="474"/>
      <c r="E3" s="474"/>
    </row>
    <row r="4" spans="1:5" ht="31.5">
      <c r="A4" s="456" t="s">
        <v>725</v>
      </c>
      <c r="B4" s="474"/>
      <c r="C4" s="474"/>
      <c r="D4" s="474"/>
      <c r="E4" s="474"/>
    </row>
    <row r="5" spans="1:5" ht="15.75">
      <c r="A5" s="456" t="s">
        <v>575</v>
      </c>
      <c r="B5" s="474"/>
      <c r="C5" s="474"/>
      <c r="D5" s="474"/>
      <c r="E5" s="474"/>
    </row>
    <row r="6" spans="1:5" ht="12.75">
      <c r="A6" s="513"/>
      <c r="B6" s="474"/>
      <c r="C6" s="474"/>
      <c r="D6" s="474"/>
      <c r="E6" s="474"/>
    </row>
    <row r="7" spans="1:5" ht="12.75">
      <c r="A7" s="513"/>
      <c r="B7" s="474"/>
      <c r="C7" s="474"/>
      <c r="D7" s="474"/>
      <c r="E7" s="474"/>
    </row>
    <row r="8" spans="1:5" ht="12.75">
      <c r="A8" s="39"/>
      <c r="B8" s="78"/>
      <c r="C8" s="78"/>
      <c r="D8" s="459" t="s">
        <v>726</v>
      </c>
      <c r="E8" s="476"/>
    </row>
    <row r="9" spans="1:5" ht="33.75" customHeight="1">
      <c r="A9" s="460" t="s">
        <v>59</v>
      </c>
      <c r="B9" s="460" t="s">
        <v>576</v>
      </c>
      <c r="C9" s="460" t="s">
        <v>107</v>
      </c>
      <c r="D9" s="460" t="s">
        <v>625</v>
      </c>
      <c r="E9" s="460" t="s">
        <v>306</v>
      </c>
    </row>
    <row r="10" spans="1:5" ht="12.75">
      <c r="A10" s="88">
        <v>1</v>
      </c>
      <c r="B10" s="522">
        <v>2</v>
      </c>
      <c r="C10" s="522">
        <v>3</v>
      </c>
      <c r="D10" s="523">
        <v>4</v>
      </c>
      <c r="E10" s="523">
        <v>5</v>
      </c>
    </row>
    <row r="11" spans="1:5" ht="12.75" customHeight="1">
      <c r="A11" s="480" t="s">
        <v>309</v>
      </c>
      <c r="B11" s="200">
        <v>55352</v>
      </c>
      <c r="C11" s="200">
        <v>56492</v>
      </c>
      <c r="D11" s="463">
        <f aca="true" t="shared" si="0" ref="D11:D39">C11/B11*100</f>
        <v>102.05954617719324</v>
      </c>
      <c r="E11" s="200">
        <v>6464</v>
      </c>
    </row>
    <row r="12" spans="1:5" ht="12.75">
      <c r="A12" s="480" t="s">
        <v>688</v>
      </c>
      <c r="B12" s="200">
        <v>58765</v>
      </c>
      <c r="C12" s="200">
        <v>50717</v>
      </c>
      <c r="D12" s="463">
        <f t="shared" si="0"/>
        <v>86.30477324938313</v>
      </c>
      <c r="E12" s="200">
        <v>6599</v>
      </c>
    </row>
    <row r="13" spans="1:5" ht="11.25" customHeight="1">
      <c r="A13" s="504" t="s">
        <v>317</v>
      </c>
      <c r="B13" s="200">
        <v>40597</v>
      </c>
      <c r="C13" s="200">
        <v>34429</v>
      </c>
      <c r="D13" s="463">
        <f t="shared" si="0"/>
        <v>84.80675912013203</v>
      </c>
      <c r="E13" s="200">
        <v>4839</v>
      </c>
    </row>
    <row r="14" spans="1:5" ht="10.5" customHeight="1">
      <c r="A14" s="516" t="s">
        <v>318</v>
      </c>
      <c r="B14" s="200">
        <v>27782</v>
      </c>
      <c r="C14" s="200">
        <v>22793</v>
      </c>
      <c r="D14" s="463">
        <f t="shared" si="0"/>
        <v>82.04232956590599</v>
      </c>
      <c r="E14" s="200">
        <v>2169</v>
      </c>
    </row>
    <row r="15" spans="1:5" ht="11.25" customHeight="1" hidden="1">
      <c r="A15" s="506" t="s">
        <v>727</v>
      </c>
      <c r="B15" s="200">
        <v>3223</v>
      </c>
      <c r="C15" s="200">
        <v>2953</v>
      </c>
      <c r="D15" s="463">
        <f t="shared" si="0"/>
        <v>91.62271175923054</v>
      </c>
      <c r="E15" s="200">
        <v>380</v>
      </c>
    </row>
    <row r="16" spans="1:5" ht="12.75">
      <c r="A16" s="506" t="s">
        <v>689</v>
      </c>
      <c r="B16" s="200">
        <v>3223</v>
      </c>
      <c r="C16" s="200">
        <v>2953</v>
      </c>
      <c r="D16" s="463">
        <f t="shared" si="0"/>
        <v>91.62271175923054</v>
      </c>
      <c r="E16" s="200">
        <v>380</v>
      </c>
    </row>
    <row r="17" spans="1:5" ht="11.25" customHeight="1">
      <c r="A17" s="506" t="s">
        <v>690</v>
      </c>
      <c r="B17" s="200">
        <v>857</v>
      </c>
      <c r="C17" s="200">
        <v>742</v>
      </c>
      <c r="D17" s="463">
        <f t="shared" si="0"/>
        <v>86.58109684947492</v>
      </c>
      <c r="E17" s="200">
        <v>105</v>
      </c>
    </row>
    <row r="18" spans="1:5" ht="12.75" hidden="1">
      <c r="A18" s="506" t="s">
        <v>691</v>
      </c>
      <c r="B18" s="200">
        <v>20724</v>
      </c>
      <c r="C18" s="200">
        <v>16825</v>
      </c>
      <c r="D18" s="463">
        <f t="shared" si="0"/>
        <v>81.18606446631924</v>
      </c>
      <c r="E18" s="200">
        <v>1435</v>
      </c>
    </row>
    <row r="19" spans="1:5" ht="12.75" hidden="1">
      <c r="A19" s="506" t="s">
        <v>692</v>
      </c>
      <c r="B19" s="200">
        <v>2651</v>
      </c>
      <c r="C19" s="200">
        <v>2011</v>
      </c>
      <c r="D19" s="463">
        <f t="shared" si="0"/>
        <v>75.85816672953602</v>
      </c>
      <c r="E19" s="200">
        <v>229</v>
      </c>
    </row>
    <row r="20" spans="1:5" ht="12.75" hidden="1">
      <c r="A20" s="506" t="s">
        <v>693</v>
      </c>
      <c r="B20" s="200">
        <v>88</v>
      </c>
      <c r="C20" s="200">
        <v>75</v>
      </c>
      <c r="D20" s="463">
        <f t="shared" si="0"/>
        <v>85.22727272727273</v>
      </c>
      <c r="E20" s="200">
        <v>13</v>
      </c>
    </row>
    <row r="21" spans="1:5" ht="12.75" hidden="1">
      <c r="A21" s="506" t="s">
        <v>694</v>
      </c>
      <c r="B21" s="200">
        <v>60</v>
      </c>
      <c r="C21" s="200">
        <v>53</v>
      </c>
      <c r="D21" s="463">
        <f t="shared" si="0"/>
        <v>88.33333333333333</v>
      </c>
      <c r="E21" s="200">
        <v>2</v>
      </c>
    </row>
    <row r="22" spans="1:5" ht="12.75">
      <c r="A22" s="506" t="s">
        <v>695</v>
      </c>
      <c r="B22" s="200">
        <v>23702</v>
      </c>
      <c r="C22" s="200">
        <v>19098</v>
      </c>
      <c r="D22" s="463">
        <f t="shared" si="0"/>
        <v>80.57547886254325</v>
      </c>
      <c r="E22" s="200">
        <v>1684</v>
      </c>
    </row>
    <row r="23" spans="1:5" ht="12.75">
      <c r="A23" s="517" t="s">
        <v>696</v>
      </c>
      <c r="B23" s="200">
        <v>23375</v>
      </c>
      <c r="C23" s="200">
        <v>18836</v>
      </c>
      <c r="D23" s="463">
        <f t="shared" si="0"/>
        <v>80.58181818181818</v>
      </c>
      <c r="E23" s="200">
        <v>1664</v>
      </c>
    </row>
    <row r="24" spans="1:5" ht="12.75">
      <c r="A24" s="517" t="s">
        <v>728</v>
      </c>
      <c r="B24" s="200">
        <v>327</v>
      </c>
      <c r="C24" s="200">
        <v>262</v>
      </c>
      <c r="D24" s="463">
        <f t="shared" si="0"/>
        <v>80.1223241590214</v>
      </c>
      <c r="E24" s="200">
        <v>20</v>
      </c>
    </row>
    <row r="25" spans="1:5" ht="12.75">
      <c r="A25" s="516" t="s">
        <v>698</v>
      </c>
      <c r="B25" s="200">
        <v>60</v>
      </c>
      <c r="C25" s="200">
        <v>53</v>
      </c>
      <c r="D25" s="463">
        <f t="shared" si="0"/>
        <v>88.33333333333333</v>
      </c>
      <c r="E25" s="200">
        <v>2</v>
      </c>
    </row>
    <row r="26" spans="1:5" ht="12.75">
      <c r="A26" s="516" t="s">
        <v>328</v>
      </c>
      <c r="B26" s="200">
        <v>12755</v>
      </c>
      <c r="C26" s="200">
        <v>11583</v>
      </c>
      <c r="D26" s="463">
        <f t="shared" si="0"/>
        <v>90.81144649157193</v>
      </c>
      <c r="E26" s="200">
        <v>2668</v>
      </c>
    </row>
    <row r="27" spans="1:5" ht="12.75">
      <c r="A27" s="506" t="s">
        <v>699</v>
      </c>
      <c r="B27" s="200">
        <v>209</v>
      </c>
      <c r="C27" s="200">
        <v>191</v>
      </c>
      <c r="D27" s="463">
        <f t="shared" si="0"/>
        <v>91.38755980861244</v>
      </c>
      <c r="E27" s="200">
        <v>8</v>
      </c>
    </row>
    <row r="28" spans="1:5" ht="12.75">
      <c r="A28" s="506" t="s">
        <v>700</v>
      </c>
      <c r="B28" s="200">
        <v>240</v>
      </c>
      <c r="C28" s="200">
        <v>2</v>
      </c>
      <c r="D28" s="463">
        <f t="shared" si="0"/>
        <v>0.8333333333333334</v>
      </c>
      <c r="E28" s="200">
        <v>-50</v>
      </c>
    </row>
    <row r="29" spans="1:5" ht="12.75">
      <c r="A29" s="506" t="s">
        <v>701</v>
      </c>
      <c r="B29" s="200">
        <v>233</v>
      </c>
      <c r="C29" s="200">
        <v>181</v>
      </c>
      <c r="D29" s="463">
        <f t="shared" si="0"/>
        <v>77.6824034334764</v>
      </c>
      <c r="E29" s="200">
        <v>-204</v>
      </c>
    </row>
    <row r="30" spans="1:5" ht="12.75">
      <c r="A30" s="506" t="s">
        <v>702</v>
      </c>
      <c r="B30" s="200">
        <v>9283</v>
      </c>
      <c r="C30" s="200">
        <v>8580</v>
      </c>
      <c r="D30" s="463">
        <f t="shared" si="0"/>
        <v>92.42701712808359</v>
      </c>
      <c r="E30" s="200">
        <v>2615</v>
      </c>
    </row>
    <row r="31" spans="1:5" ht="12.75">
      <c r="A31" s="506" t="s">
        <v>703</v>
      </c>
      <c r="B31" s="200">
        <v>2790</v>
      </c>
      <c r="C31" s="200">
        <v>2629</v>
      </c>
      <c r="D31" s="463">
        <f t="shared" si="0"/>
        <v>94.2293906810036</v>
      </c>
      <c r="E31" s="200">
        <v>299</v>
      </c>
    </row>
    <row r="32" spans="1:5" ht="11.25" customHeight="1">
      <c r="A32" s="504" t="s">
        <v>704</v>
      </c>
      <c r="B32" s="200">
        <v>18168</v>
      </c>
      <c r="C32" s="200">
        <v>16288</v>
      </c>
      <c r="D32" s="463">
        <f t="shared" si="0"/>
        <v>89.65213562307353</v>
      </c>
      <c r="E32" s="200">
        <v>1760</v>
      </c>
    </row>
    <row r="33" spans="1:5" ht="11.25" customHeight="1">
      <c r="A33" s="506" t="s">
        <v>349</v>
      </c>
      <c r="B33" s="200">
        <v>17226</v>
      </c>
      <c r="C33" s="200">
        <v>15657</v>
      </c>
      <c r="D33" s="463">
        <f t="shared" si="0"/>
        <v>90.891675374434</v>
      </c>
      <c r="E33" s="200">
        <v>1679</v>
      </c>
    </row>
    <row r="34" spans="1:5" ht="12.75">
      <c r="A34" s="506" t="s">
        <v>349</v>
      </c>
      <c r="B34" s="200">
        <v>1888</v>
      </c>
      <c r="C34" s="200">
        <v>1904</v>
      </c>
      <c r="D34" s="463">
        <f t="shared" si="0"/>
        <v>100.84745762711864</v>
      </c>
      <c r="E34" s="200">
        <v>371</v>
      </c>
    </row>
    <row r="35" spans="1:5" ht="12.75">
      <c r="A35" s="506" t="s">
        <v>705</v>
      </c>
      <c r="B35" s="200">
        <v>415173</v>
      </c>
      <c r="C35" s="200">
        <v>442049</v>
      </c>
      <c r="D35" s="463">
        <f t="shared" si="0"/>
        <v>106.47344600925396</v>
      </c>
      <c r="E35" s="200">
        <v>50699</v>
      </c>
    </row>
    <row r="36" spans="1:5" ht="12.75">
      <c r="A36" s="200" t="s">
        <v>351</v>
      </c>
      <c r="B36" s="200">
        <v>942</v>
      </c>
      <c r="C36" s="200">
        <v>631</v>
      </c>
      <c r="D36" s="463">
        <f t="shared" si="0"/>
        <v>66.98513800424628</v>
      </c>
      <c r="E36" s="200">
        <v>81</v>
      </c>
    </row>
    <row r="37" spans="1:5" ht="11.25" customHeight="1">
      <c r="A37" s="504" t="s">
        <v>706</v>
      </c>
      <c r="B37" s="200">
        <v>-2413</v>
      </c>
      <c r="C37" s="200">
        <v>-2355</v>
      </c>
      <c r="D37" s="463">
        <f t="shared" si="0"/>
        <v>97.59635308744302</v>
      </c>
      <c r="E37" s="200">
        <v>-1401</v>
      </c>
    </row>
    <row r="38" spans="1:5" ht="12.75" customHeight="1">
      <c r="A38" s="506" t="s">
        <v>707</v>
      </c>
      <c r="B38" s="200">
        <v>4170</v>
      </c>
      <c r="C38" s="200">
        <v>4145</v>
      </c>
      <c r="D38" s="463">
        <f t="shared" si="0"/>
        <v>99.40047961630695</v>
      </c>
      <c r="E38" s="200">
        <v>35</v>
      </c>
    </row>
    <row r="39" spans="1:5" ht="12.75" customHeight="1">
      <c r="A39" s="506" t="s">
        <v>708</v>
      </c>
      <c r="B39" s="200">
        <v>6583</v>
      </c>
      <c r="C39" s="200">
        <v>6500</v>
      </c>
      <c r="D39" s="463">
        <f t="shared" si="0"/>
        <v>98.73917666717303</v>
      </c>
      <c r="E39" s="200">
        <v>1436</v>
      </c>
    </row>
    <row r="40" spans="1:5" ht="12.75" customHeight="1">
      <c r="A40" s="504" t="s">
        <v>481</v>
      </c>
      <c r="B40" s="200">
        <v>-1000</v>
      </c>
      <c r="C40" s="200">
        <v>8130</v>
      </c>
      <c r="D40" s="463">
        <f>-C40/B40*100</f>
        <v>813.0000000000001</v>
      </c>
      <c r="E40" s="200">
        <v>1266</v>
      </c>
    </row>
    <row r="41" spans="1:4" ht="12.75">
      <c r="A41" s="497"/>
      <c r="B41" s="509"/>
      <c r="C41" s="509"/>
      <c r="D41" s="530"/>
    </row>
    <row r="42" ht="12.75">
      <c r="A42" s="513"/>
    </row>
    <row r="43" ht="12.75">
      <c r="A43" s="513"/>
    </row>
    <row r="44" ht="12.75">
      <c r="A44" s="497"/>
    </row>
    <row r="45" spans="1:5" ht="12.75">
      <c r="A45" s="494" t="s">
        <v>659</v>
      </c>
      <c r="B45" s="531"/>
      <c r="C45" s="495"/>
      <c r="D45" s="532"/>
      <c r="E45" s="529" t="s">
        <v>620</v>
      </c>
    </row>
    <row r="46" spans="1:3" ht="16.5" customHeight="1">
      <c r="A46" s="494"/>
      <c r="B46" s="119"/>
      <c r="C46" s="119"/>
    </row>
    <row r="47" spans="1:3" ht="12.75">
      <c r="A47" s="513"/>
      <c r="B47" s="243"/>
      <c r="C47" s="243"/>
    </row>
    <row r="48" spans="1:3" ht="12.75">
      <c r="A48" s="533"/>
      <c r="B48" s="43"/>
      <c r="C48" s="43"/>
    </row>
    <row r="49" spans="1:3" ht="12.75">
      <c r="A49" s="493"/>
      <c r="B49" s="493"/>
      <c r="C49" s="493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</sheetData>
  <printOptions/>
  <pageMargins left="0.75" right="0.19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H33">
      <selection activeCell="E62" sqref="E62"/>
    </sheetView>
  </sheetViews>
  <sheetFormatPr defaultColWidth="9.140625" defaultRowHeight="12.75"/>
  <cols>
    <col min="1" max="1" width="16.7109375" style="535" customWidth="1"/>
    <col min="2" max="2" width="0.13671875" style="536" hidden="1" customWidth="1"/>
    <col min="3" max="3" width="8.7109375" style="537" customWidth="1"/>
    <col min="4" max="4" width="11.00390625" style="537" hidden="1" customWidth="1"/>
    <col min="5" max="5" width="7.421875" style="537" customWidth="1"/>
    <col min="6" max="6" width="0.13671875" style="537" hidden="1" customWidth="1"/>
    <col min="7" max="7" width="8.8515625" style="537" customWidth="1"/>
    <col min="8" max="8" width="8.57421875" style="455" customWidth="1"/>
    <col min="9" max="9" width="6.7109375" style="455" customWidth="1"/>
    <col min="10" max="10" width="11.28125" style="536" hidden="1" customWidth="1"/>
    <col min="11" max="11" width="7.57421875" style="536" customWidth="1"/>
    <col min="12" max="12" width="11.28125" style="536" customWidth="1"/>
    <col min="13" max="13" width="9.140625" style="536" customWidth="1"/>
    <col min="14" max="14" width="7.7109375" style="455" customWidth="1"/>
    <col min="15" max="15" width="8.00390625" style="536" customWidth="1"/>
    <col min="16" max="17" width="10.00390625" style="536" hidden="1" customWidth="1"/>
    <col min="18" max="18" width="6.57421875" style="536" customWidth="1"/>
    <col min="19" max="19" width="7.28125" style="536" customWidth="1"/>
    <col min="20" max="20" width="6.57421875" style="455" customWidth="1"/>
    <col min="21" max="22" width="9.28125" style="455" customWidth="1"/>
    <col min="23" max="16384" width="9.140625" style="455" customWidth="1"/>
  </cols>
  <sheetData>
    <row r="1" spans="1:22" ht="12.75">
      <c r="A1" s="469"/>
      <c r="B1" s="31"/>
      <c r="C1" s="534"/>
      <c r="D1" s="534"/>
      <c r="E1" s="534"/>
      <c r="F1" s="534"/>
      <c r="G1" s="534"/>
      <c r="H1" s="43"/>
      <c r="I1" s="43" t="s">
        <v>729</v>
      </c>
      <c r="J1" s="31"/>
      <c r="K1" s="31"/>
      <c r="L1" s="31"/>
      <c r="M1" s="31"/>
      <c r="N1" s="43"/>
      <c r="O1" s="31"/>
      <c r="P1" s="31"/>
      <c r="Q1" s="31"/>
      <c r="R1" s="31"/>
      <c r="S1" s="31"/>
      <c r="T1" s="32"/>
      <c r="U1" s="32"/>
      <c r="V1" s="32" t="s">
        <v>730</v>
      </c>
    </row>
    <row r="2" spans="20:21" ht="12">
      <c r="T2" s="421"/>
      <c r="U2" s="474"/>
    </row>
    <row r="3" spans="1:22" s="43" customFormat="1" ht="12.75">
      <c r="A3" s="469"/>
      <c r="B3" s="31"/>
      <c r="C3" s="534"/>
      <c r="D3" s="534"/>
      <c r="E3" s="534"/>
      <c r="F3" s="534"/>
      <c r="G3" s="534"/>
      <c r="J3" s="31"/>
      <c r="K3" s="31"/>
      <c r="L3" s="31"/>
      <c r="M3" s="31"/>
      <c r="O3" s="31"/>
      <c r="P3" s="31"/>
      <c r="Q3" s="31"/>
      <c r="R3" s="31"/>
      <c r="S3" s="31"/>
      <c r="T3" s="32"/>
      <c r="U3" s="32"/>
      <c r="V3" s="32"/>
    </row>
    <row r="4" spans="1:22" s="472" customFormat="1" ht="15.75">
      <c r="A4" s="538" t="s">
        <v>731</v>
      </c>
      <c r="B4" s="539"/>
      <c r="C4" s="540"/>
      <c r="D4" s="541"/>
      <c r="E4" s="541"/>
      <c r="F4" s="541"/>
      <c r="G4" s="541"/>
      <c r="H4" s="165"/>
      <c r="I4" s="165"/>
      <c r="J4" s="542"/>
      <c r="K4" s="542"/>
      <c r="L4" s="542"/>
      <c r="M4" s="542"/>
      <c r="N4" s="165"/>
      <c r="O4" s="542"/>
      <c r="P4" s="542"/>
      <c r="Q4" s="542"/>
      <c r="R4" s="542"/>
      <c r="S4" s="542"/>
      <c r="T4" s="165"/>
      <c r="U4" s="165"/>
      <c r="V4" s="165"/>
    </row>
    <row r="5" spans="1:22" s="545" customFormat="1" ht="15.75">
      <c r="A5" s="456" t="s">
        <v>575</v>
      </c>
      <c r="B5" s="365"/>
      <c r="C5" s="543"/>
      <c r="D5" s="543"/>
      <c r="E5" s="543"/>
      <c r="F5" s="543"/>
      <c r="G5" s="543"/>
      <c r="H5" s="544"/>
      <c r="I5" s="164"/>
      <c r="J5" s="365"/>
      <c r="K5" s="365"/>
      <c r="L5" s="365"/>
      <c r="M5" s="365"/>
      <c r="N5" s="164"/>
      <c r="O5" s="365"/>
      <c r="P5" s="365"/>
      <c r="Q5" s="365"/>
      <c r="R5" s="365"/>
      <c r="S5" s="365"/>
      <c r="T5" s="164"/>
      <c r="U5" s="164"/>
      <c r="V5" s="164"/>
    </row>
    <row r="6" spans="1:22" s="545" customFormat="1" ht="15.75">
      <c r="A6" s="164"/>
      <c r="B6" s="365"/>
      <c r="C6" s="543"/>
      <c r="D6" s="543"/>
      <c r="E6" s="543"/>
      <c r="F6" s="543"/>
      <c r="G6" s="543"/>
      <c r="H6" s="544"/>
      <c r="I6" s="164"/>
      <c r="J6" s="365"/>
      <c r="K6" s="365"/>
      <c r="L6" s="365"/>
      <c r="M6" s="365"/>
      <c r="N6" s="164"/>
      <c r="O6" s="365"/>
      <c r="P6" s="365"/>
      <c r="Q6" s="365"/>
      <c r="R6" s="365"/>
      <c r="S6" s="365"/>
      <c r="T6" s="164"/>
      <c r="U6" s="164"/>
      <c r="V6" s="164"/>
    </row>
    <row r="7" spans="1:22" s="39" customFormat="1" ht="11.25">
      <c r="A7" s="546"/>
      <c r="B7" s="547"/>
      <c r="C7" s="548"/>
      <c r="D7" s="548"/>
      <c r="E7" s="548"/>
      <c r="F7" s="548"/>
      <c r="G7" s="548"/>
      <c r="H7" s="78"/>
      <c r="I7" s="78"/>
      <c r="J7" s="547"/>
      <c r="K7" s="547"/>
      <c r="L7" s="547"/>
      <c r="M7" s="547"/>
      <c r="N7" s="78"/>
      <c r="O7" s="547"/>
      <c r="P7" s="547"/>
      <c r="Q7" s="547" t="s">
        <v>732</v>
      </c>
      <c r="R7" s="547"/>
      <c r="S7" s="547"/>
      <c r="T7" s="78"/>
      <c r="U7" s="476"/>
      <c r="V7" s="78"/>
    </row>
    <row r="8" spans="1:22" s="43" customFormat="1" ht="12.75">
      <c r="A8" s="62"/>
      <c r="B8" s="549" t="s">
        <v>389</v>
      </c>
      <c r="C8" s="550"/>
      <c r="D8" s="550"/>
      <c r="E8" s="550"/>
      <c r="F8" s="550"/>
      <c r="G8" s="550"/>
      <c r="H8" s="551" t="s">
        <v>733</v>
      </c>
      <c r="I8" s="551"/>
      <c r="J8" s="549"/>
      <c r="K8" s="549"/>
      <c r="L8" s="115"/>
      <c r="M8" s="115"/>
      <c r="N8" s="552" t="s">
        <v>734</v>
      </c>
      <c r="O8" s="549"/>
      <c r="P8" s="549"/>
      <c r="Q8" s="553"/>
      <c r="R8" s="553"/>
      <c r="S8" s="553"/>
      <c r="T8" s="551"/>
      <c r="U8" s="554"/>
      <c r="V8" s="92"/>
    </row>
    <row r="9" spans="1:22" ht="11.25">
      <c r="A9" s="197"/>
      <c r="B9" s="555"/>
      <c r="C9" s="556"/>
      <c r="D9" s="556"/>
      <c r="E9" s="556"/>
      <c r="F9" s="556"/>
      <c r="G9" s="556"/>
      <c r="H9" s="557"/>
      <c r="I9" s="557"/>
      <c r="J9" s="555"/>
      <c r="K9" s="555"/>
      <c r="L9" s="555"/>
      <c r="M9" s="555"/>
      <c r="N9" s="557"/>
      <c r="O9" s="555"/>
      <c r="P9" s="549" t="s">
        <v>735</v>
      </c>
      <c r="Q9" s="549"/>
      <c r="R9" s="549"/>
      <c r="S9" s="549"/>
      <c r="T9" s="557"/>
      <c r="U9" s="557"/>
      <c r="V9" s="88"/>
    </row>
    <row r="10" spans="1:22" s="563" customFormat="1" ht="71.25" customHeight="1">
      <c r="A10" s="558" t="s">
        <v>736</v>
      </c>
      <c r="B10" s="559" t="s">
        <v>737</v>
      </c>
      <c r="C10" s="559" t="s">
        <v>737</v>
      </c>
      <c r="D10" s="560" t="s">
        <v>738</v>
      </c>
      <c r="E10" s="560" t="s">
        <v>738</v>
      </c>
      <c r="F10" s="560" t="s">
        <v>739</v>
      </c>
      <c r="G10" s="560" t="s">
        <v>739</v>
      </c>
      <c r="H10" s="561" t="s">
        <v>740</v>
      </c>
      <c r="I10" s="561" t="s">
        <v>741</v>
      </c>
      <c r="J10" s="559" t="s">
        <v>742</v>
      </c>
      <c r="K10" s="559" t="s">
        <v>742</v>
      </c>
      <c r="L10" s="559" t="s">
        <v>743</v>
      </c>
      <c r="M10" s="559" t="s">
        <v>744</v>
      </c>
      <c r="N10" s="561" t="s">
        <v>84</v>
      </c>
      <c r="O10" s="559" t="s">
        <v>745</v>
      </c>
      <c r="P10" s="562"/>
      <c r="Q10" s="559" t="s">
        <v>746</v>
      </c>
      <c r="R10" s="559" t="s">
        <v>747</v>
      </c>
      <c r="S10" s="559" t="s">
        <v>746</v>
      </c>
      <c r="T10" s="561" t="s">
        <v>748</v>
      </c>
      <c r="U10" s="5" t="s">
        <v>95</v>
      </c>
      <c r="V10" s="561" t="s">
        <v>749</v>
      </c>
    </row>
    <row r="11" spans="1:22" s="39" customFormat="1" ht="11.25">
      <c r="A11" s="90">
        <v>1</v>
      </c>
      <c r="B11" s="522">
        <v>2</v>
      </c>
      <c r="C11" s="564">
        <v>2</v>
      </c>
      <c r="D11" s="564">
        <v>3</v>
      </c>
      <c r="E11" s="564">
        <v>3</v>
      </c>
      <c r="F11" s="564">
        <v>4</v>
      </c>
      <c r="G11" s="564">
        <v>4</v>
      </c>
      <c r="H11" s="88">
        <v>5</v>
      </c>
      <c r="I11" s="88">
        <v>6</v>
      </c>
      <c r="J11" s="522">
        <v>7</v>
      </c>
      <c r="K11" s="522">
        <v>7</v>
      </c>
      <c r="L11" s="522">
        <v>8</v>
      </c>
      <c r="M11" s="522">
        <v>9</v>
      </c>
      <c r="N11" s="88">
        <v>10</v>
      </c>
      <c r="O11" s="522">
        <v>11</v>
      </c>
      <c r="P11" s="59"/>
      <c r="Q11" s="59"/>
      <c r="R11" s="522">
        <v>12</v>
      </c>
      <c r="S11" s="522">
        <v>13</v>
      </c>
      <c r="T11" s="88">
        <v>14</v>
      </c>
      <c r="U11" s="88">
        <v>15</v>
      </c>
      <c r="V11" s="88">
        <v>16</v>
      </c>
    </row>
    <row r="12" spans="1:22" ht="12.75">
      <c r="A12" s="416" t="s">
        <v>750</v>
      </c>
      <c r="B12" s="565"/>
      <c r="C12" s="566"/>
      <c r="D12" s="566"/>
      <c r="E12" s="566"/>
      <c r="F12" s="566"/>
      <c r="G12" s="566"/>
      <c r="H12" s="567"/>
      <c r="I12" s="567"/>
      <c r="J12" s="565"/>
      <c r="K12" s="565"/>
      <c r="L12" s="565"/>
      <c r="M12" s="565"/>
      <c r="N12" s="567"/>
      <c r="O12" s="565"/>
      <c r="P12" s="565">
        <v>0</v>
      </c>
      <c r="Q12" s="565"/>
      <c r="R12" s="565"/>
      <c r="S12" s="565"/>
      <c r="T12" s="567"/>
      <c r="U12" s="567"/>
      <c r="V12" s="567">
        <v>0</v>
      </c>
    </row>
    <row r="13" spans="1:22" ht="12">
      <c r="A13" s="483" t="s">
        <v>751</v>
      </c>
      <c r="B13" s="200">
        <v>119430222</v>
      </c>
      <c r="C13" s="568">
        <f aca="true" t="shared" si="0" ref="C13:C20">ROUND(B13/1000,0)</f>
        <v>119430</v>
      </c>
      <c r="D13" s="568">
        <v>23696020</v>
      </c>
      <c r="E13" s="568">
        <f aca="true" t="shared" si="1" ref="E13:E19">ROUND(D13/1000,0)</f>
        <v>23696</v>
      </c>
      <c r="F13" s="568">
        <v>143126242</v>
      </c>
      <c r="G13" s="568">
        <f aca="true" t="shared" si="2" ref="G13:G19">C13+E13</f>
        <v>143126</v>
      </c>
      <c r="H13" s="569">
        <v>137842549</v>
      </c>
      <c r="I13" s="569">
        <v>17824532</v>
      </c>
      <c r="J13" s="200">
        <v>155667081</v>
      </c>
      <c r="K13" s="200">
        <f aca="true" t="shared" si="3" ref="K13:K20">ROUND(J13/1000,0)</f>
        <v>155667</v>
      </c>
      <c r="L13" s="200">
        <f aca="true" t="shared" si="4" ref="L13:L20">G13-K13</f>
        <v>-12541</v>
      </c>
      <c r="M13" s="200">
        <f aca="true" t="shared" si="5" ref="M13:M20">-L13</f>
        <v>12541</v>
      </c>
      <c r="N13" s="569">
        <v>2000000</v>
      </c>
      <c r="O13" s="200">
        <f aca="true" t="shared" si="6" ref="O13:O19">R13-S13</f>
        <v>1068</v>
      </c>
      <c r="P13" s="200">
        <v>5649963</v>
      </c>
      <c r="Q13" s="200">
        <v>4581734</v>
      </c>
      <c r="R13" s="200">
        <f aca="true" t="shared" si="7" ref="R13:S19">ROUND(P13/1000,0)</f>
        <v>5650</v>
      </c>
      <c r="S13" s="200">
        <f t="shared" si="7"/>
        <v>4582</v>
      </c>
      <c r="T13" s="569">
        <v>-7300000</v>
      </c>
      <c r="U13" s="569">
        <v>16652901</v>
      </c>
      <c r="V13" s="569">
        <v>119709</v>
      </c>
    </row>
    <row r="14" spans="1:22" ht="12">
      <c r="A14" s="483" t="s">
        <v>752</v>
      </c>
      <c r="B14" s="200">
        <v>10158027</v>
      </c>
      <c r="C14" s="568">
        <f t="shared" si="0"/>
        <v>10158</v>
      </c>
      <c r="D14" s="568">
        <v>4436196</v>
      </c>
      <c r="E14" s="568">
        <f t="shared" si="1"/>
        <v>4436</v>
      </c>
      <c r="F14" s="568">
        <v>14594223</v>
      </c>
      <c r="G14" s="568">
        <f t="shared" si="2"/>
        <v>14594</v>
      </c>
      <c r="H14" s="569">
        <v>14994414</v>
      </c>
      <c r="I14" s="569">
        <v>23700</v>
      </c>
      <c r="J14" s="200">
        <v>15018114</v>
      </c>
      <c r="K14" s="200">
        <f t="shared" si="3"/>
        <v>15018</v>
      </c>
      <c r="L14" s="200">
        <f t="shared" si="4"/>
        <v>-424</v>
      </c>
      <c r="M14" s="200">
        <f t="shared" si="5"/>
        <v>424</v>
      </c>
      <c r="N14" s="569">
        <v>266600</v>
      </c>
      <c r="O14" s="200">
        <f t="shared" si="6"/>
        <v>21</v>
      </c>
      <c r="P14" s="200">
        <v>70515</v>
      </c>
      <c r="Q14" s="200">
        <v>49937</v>
      </c>
      <c r="R14" s="200">
        <f t="shared" si="7"/>
        <v>71</v>
      </c>
      <c r="S14" s="200">
        <f t="shared" si="7"/>
        <v>50</v>
      </c>
      <c r="T14" s="569">
        <v>-10587</v>
      </c>
      <c r="U14" s="569">
        <v>147300</v>
      </c>
      <c r="V14" s="569">
        <v>0</v>
      </c>
    </row>
    <row r="15" spans="1:22" ht="12">
      <c r="A15" s="483" t="s">
        <v>753</v>
      </c>
      <c r="B15" s="200">
        <v>6719416</v>
      </c>
      <c r="C15" s="568">
        <f t="shared" si="0"/>
        <v>6719</v>
      </c>
      <c r="D15" s="568">
        <v>3577035</v>
      </c>
      <c r="E15" s="568">
        <f t="shared" si="1"/>
        <v>3577</v>
      </c>
      <c r="F15" s="568">
        <v>10296451</v>
      </c>
      <c r="G15" s="568">
        <f t="shared" si="2"/>
        <v>10296</v>
      </c>
      <c r="H15" s="569">
        <v>9333997</v>
      </c>
      <c r="I15" s="569">
        <v>68993</v>
      </c>
      <c r="J15" s="200">
        <v>9402990</v>
      </c>
      <c r="K15" s="200">
        <f t="shared" si="3"/>
        <v>9403</v>
      </c>
      <c r="L15" s="200">
        <f t="shared" si="4"/>
        <v>893</v>
      </c>
      <c r="M15" s="200">
        <f t="shared" si="5"/>
        <v>-893</v>
      </c>
      <c r="N15" s="569">
        <v>-850000</v>
      </c>
      <c r="O15" s="200">
        <f t="shared" si="6"/>
        <v>-7</v>
      </c>
      <c r="P15" s="200">
        <v>44232</v>
      </c>
      <c r="Q15" s="200">
        <v>51237</v>
      </c>
      <c r="R15" s="200">
        <f t="shared" si="7"/>
        <v>44</v>
      </c>
      <c r="S15" s="200">
        <f t="shared" si="7"/>
        <v>51</v>
      </c>
      <c r="T15" s="569">
        <v>0</v>
      </c>
      <c r="U15" s="569">
        <v>70400</v>
      </c>
      <c r="V15" s="569">
        <v>-106856</v>
      </c>
    </row>
    <row r="16" spans="1:22" ht="12">
      <c r="A16" s="483" t="s">
        <v>754</v>
      </c>
      <c r="B16" s="200">
        <v>7654606</v>
      </c>
      <c r="C16" s="568">
        <f t="shared" si="0"/>
        <v>7655</v>
      </c>
      <c r="D16" s="568">
        <v>1762831</v>
      </c>
      <c r="E16" s="568">
        <f t="shared" si="1"/>
        <v>1763</v>
      </c>
      <c r="F16" s="568">
        <v>9417437</v>
      </c>
      <c r="G16" s="568">
        <f t="shared" si="2"/>
        <v>9418</v>
      </c>
      <c r="H16" s="569">
        <v>9615916</v>
      </c>
      <c r="I16" s="569">
        <v>336517</v>
      </c>
      <c r="J16" s="200">
        <v>9952433</v>
      </c>
      <c r="K16" s="200">
        <f t="shared" si="3"/>
        <v>9952</v>
      </c>
      <c r="L16" s="200">
        <f t="shared" si="4"/>
        <v>-534</v>
      </c>
      <c r="M16" s="200">
        <f t="shared" si="5"/>
        <v>534</v>
      </c>
      <c r="N16" s="569">
        <v>684251</v>
      </c>
      <c r="O16" s="200">
        <f t="shared" si="6"/>
        <v>-149</v>
      </c>
      <c r="P16" s="200">
        <v>51094</v>
      </c>
      <c r="Q16" s="200">
        <v>200349</v>
      </c>
      <c r="R16" s="200">
        <f t="shared" si="7"/>
        <v>51</v>
      </c>
      <c r="S16" s="200">
        <f t="shared" si="7"/>
        <v>200</v>
      </c>
      <c r="T16" s="569">
        <v>0</v>
      </c>
      <c r="U16" s="569">
        <v>0</v>
      </c>
      <c r="V16" s="569">
        <v>0</v>
      </c>
    </row>
    <row r="17" spans="1:22" ht="12">
      <c r="A17" s="483" t="s">
        <v>755</v>
      </c>
      <c r="B17" s="200">
        <v>9653563</v>
      </c>
      <c r="C17" s="568">
        <f t="shared" si="0"/>
        <v>9654</v>
      </c>
      <c r="D17" s="568">
        <v>3767834</v>
      </c>
      <c r="E17" s="568">
        <f t="shared" si="1"/>
        <v>3768</v>
      </c>
      <c r="F17" s="568">
        <v>13421397</v>
      </c>
      <c r="G17" s="568">
        <f t="shared" si="2"/>
        <v>13422</v>
      </c>
      <c r="H17" s="569">
        <v>13511702</v>
      </c>
      <c r="I17" s="569">
        <v>336280</v>
      </c>
      <c r="J17" s="200">
        <v>13847982</v>
      </c>
      <c r="K17" s="200">
        <f t="shared" si="3"/>
        <v>13848</v>
      </c>
      <c r="L17" s="200">
        <f t="shared" si="4"/>
        <v>-426</v>
      </c>
      <c r="M17" s="200">
        <f t="shared" si="5"/>
        <v>426</v>
      </c>
      <c r="N17" s="569">
        <v>0</v>
      </c>
      <c r="O17" s="200">
        <f t="shared" si="6"/>
        <v>35</v>
      </c>
      <c r="P17" s="200">
        <v>415621</v>
      </c>
      <c r="Q17" s="200">
        <v>380749</v>
      </c>
      <c r="R17" s="200">
        <f t="shared" si="7"/>
        <v>416</v>
      </c>
      <c r="S17" s="200">
        <f t="shared" si="7"/>
        <v>381</v>
      </c>
      <c r="T17" s="569">
        <v>0</v>
      </c>
      <c r="U17" s="569">
        <v>391713</v>
      </c>
      <c r="V17" s="569">
        <v>0</v>
      </c>
    </row>
    <row r="18" spans="1:22" ht="12">
      <c r="A18" s="483" t="s">
        <v>756</v>
      </c>
      <c r="B18" s="200">
        <v>3468310</v>
      </c>
      <c r="C18" s="568">
        <f t="shared" si="0"/>
        <v>3468</v>
      </c>
      <c r="D18" s="568">
        <v>1848408</v>
      </c>
      <c r="E18" s="568">
        <f t="shared" si="1"/>
        <v>1848</v>
      </c>
      <c r="F18" s="568">
        <v>5316718</v>
      </c>
      <c r="G18" s="568">
        <f t="shared" si="2"/>
        <v>5316</v>
      </c>
      <c r="H18" s="569">
        <v>5325764</v>
      </c>
      <c r="I18" s="569">
        <v>13197</v>
      </c>
      <c r="J18" s="200">
        <v>5338961</v>
      </c>
      <c r="K18" s="200">
        <f t="shared" si="3"/>
        <v>5339</v>
      </c>
      <c r="L18" s="200">
        <f t="shared" si="4"/>
        <v>-23</v>
      </c>
      <c r="M18" s="200">
        <f t="shared" si="5"/>
        <v>23</v>
      </c>
      <c r="N18" s="569">
        <v>0</v>
      </c>
      <c r="O18" s="200">
        <f t="shared" si="6"/>
        <v>23</v>
      </c>
      <c r="P18" s="200">
        <v>90589</v>
      </c>
      <c r="Q18" s="200">
        <v>68346</v>
      </c>
      <c r="R18" s="200">
        <f t="shared" si="7"/>
        <v>91</v>
      </c>
      <c r="S18" s="200">
        <f t="shared" si="7"/>
        <v>68</v>
      </c>
      <c r="T18" s="569">
        <v>0</v>
      </c>
      <c r="U18" s="569">
        <v>0</v>
      </c>
      <c r="V18" s="569">
        <v>0</v>
      </c>
    </row>
    <row r="19" spans="1:22" ht="12">
      <c r="A19" s="483" t="s">
        <v>757</v>
      </c>
      <c r="B19" s="200">
        <v>10999219</v>
      </c>
      <c r="C19" s="568">
        <f t="shared" si="0"/>
        <v>10999</v>
      </c>
      <c r="D19" s="568">
        <v>1528737</v>
      </c>
      <c r="E19" s="568">
        <f t="shared" si="1"/>
        <v>1529</v>
      </c>
      <c r="F19" s="568">
        <v>12527956</v>
      </c>
      <c r="G19" s="568">
        <f t="shared" si="2"/>
        <v>12528</v>
      </c>
      <c r="H19" s="569">
        <v>9784662</v>
      </c>
      <c r="I19" s="569">
        <v>2598259</v>
      </c>
      <c r="J19" s="200">
        <v>12382921</v>
      </c>
      <c r="K19" s="200">
        <f t="shared" si="3"/>
        <v>12383</v>
      </c>
      <c r="L19" s="200">
        <f t="shared" si="4"/>
        <v>145</v>
      </c>
      <c r="M19" s="200">
        <f t="shared" si="5"/>
        <v>-145</v>
      </c>
      <c r="N19" s="569">
        <v>405</v>
      </c>
      <c r="O19" s="200">
        <f t="shared" si="6"/>
        <v>-145</v>
      </c>
      <c r="P19" s="200">
        <v>972974</v>
      </c>
      <c r="Q19" s="200">
        <v>1118414</v>
      </c>
      <c r="R19" s="200">
        <f t="shared" si="7"/>
        <v>973</v>
      </c>
      <c r="S19" s="200">
        <f t="shared" si="7"/>
        <v>1118</v>
      </c>
      <c r="T19" s="569">
        <v>0</v>
      </c>
      <c r="U19" s="569">
        <v>0</v>
      </c>
      <c r="V19" s="569">
        <v>0</v>
      </c>
    </row>
    <row r="20" spans="1:22" ht="12.75">
      <c r="A20" s="416" t="s">
        <v>758</v>
      </c>
      <c r="B20" s="200">
        <f>SUM(B13:B19)</f>
        <v>168083363</v>
      </c>
      <c r="C20" s="568">
        <f t="shared" si="0"/>
        <v>168083</v>
      </c>
      <c r="D20" s="568">
        <f>SUM(D13:D19)</f>
        <v>40617061</v>
      </c>
      <c r="E20" s="568">
        <f>ROUND(D20/1000,0)-1</f>
        <v>40616</v>
      </c>
      <c r="F20" s="568">
        <f>SUM(F13:F19)</f>
        <v>208700424</v>
      </c>
      <c r="G20" s="568">
        <f>C20+E20+1</f>
        <v>208700</v>
      </c>
      <c r="H20" s="569">
        <f>SUM(H13:H19)</f>
        <v>200409004</v>
      </c>
      <c r="I20" s="569">
        <f>SUM(I13:I19)</f>
        <v>21201478</v>
      </c>
      <c r="J20" s="200">
        <f>SUM(J13:J19)</f>
        <v>221610482</v>
      </c>
      <c r="K20" s="200">
        <f t="shared" si="3"/>
        <v>221610</v>
      </c>
      <c r="L20" s="200">
        <f t="shared" si="4"/>
        <v>-12910</v>
      </c>
      <c r="M20" s="200">
        <f t="shared" si="5"/>
        <v>12910</v>
      </c>
      <c r="N20" s="569">
        <f>SUM(N13:N19)</f>
        <v>2101256</v>
      </c>
      <c r="O20" s="200">
        <f>SUM(O13:O19)-1</f>
        <v>845</v>
      </c>
      <c r="P20" s="200">
        <f>SUM(P13:P19)</f>
        <v>7294988</v>
      </c>
      <c r="Q20" s="200">
        <f>SUM(Q13:Q19)</f>
        <v>6450766</v>
      </c>
      <c r="R20" s="200">
        <f>ROUND(P20/1000,0)</f>
        <v>7295</v>
      </c>
      <c r="S20" s="200">
        <f>SUM(S13:S19)</f>
        <v>6450</v>
      </c>
      <c r="T20" s="569">
        <f>SUM(T13:T19)</f>
        <v>-7310587</v>
      </c>
      <c r="U20" s="569">
        <f>SUM(U13:U19)</f>
        <v>17262314</v>
      </c>
      <c r="V20" s="569">
        <f>SUM(V13:V19)</f>
        <v>12853</v>
      </c>
    </row>
    <row r="21" spans="1:22" s="81" customFormat="1" ht="12.75">
      <c r="A21" s="416" t="s">
        <v>759</v>
      </c>
      <c r="B21" s="200"/>
      <c r="C21" s="568"/>
      <c r="D21" s="568"/>
      <c r="E21" s="568"/>
      <c r="F21" s="568"/>
      <c r="G21" s="568"/>
      <c r="H21" s="569"/>
      <c r="I21" s="569"/>
      <c r="J21" s="200"/>
      <c r="K21" s="200"/>
      <c r="L21" s="200"/>
      <c r="M21" s="200"/>
      <c r="N21" s="569"/>
      <c r="O21" s="200"/>
      <c r="P21" s="200"/>
      <c r="Q21" s="200"/>
      <c r="R21" s="200"/>
      <c r="S21" s="200"/>
      <c r="T21" s="569"/>
      <c r="U21" s="569"/>
      <c r="V21" s="569"/>
    </row>
    <row r="22" spans="1:22" ht="12">
      <c r="A22" s="483" t="s">
        <v>760</v>
      </c>
      <c r="B22" s="200">
        <v>3832455</v>
      </c>
      <c r="C22" s="568">
        <f aca="true" t="shared" si="8" ref="C22:C47">ROUND(B22/1000,0)</f>
        <v>3832</v>
      </c>
      <c r="D22" s="568">
        <v>3798087</v>
      </c>
      <c r="E22" s="568">
        <f>ROUND(D22/1000,0)</f>
        <v>3798</v>
      </c>
      <c r="F22" s="568">
        <v>7630542</v>
      </c>
      <c r="G22" s="568">
        <f aca="true" t="shared" si="9" ref="G22:G47">C22+E22</f>
        <v>7630</v>
      </c>
      <c r="H22" s="569">
        <v>7489574</v>
      </c>
      <c r="I22" s="569">
        <v>462348</v>
      </c>
      <c r="J22" s="200">
        <v>7951922</v>
      </c>
      <c r="K22" s="200">
        <f aca="true" t="shared" si="10" ref="K22:K49">ROUND(J22/1000,0)</f>
        <v>7952</v>
      </c>
      <c r="L22" s="200">
        <f aca="true" t="shared" si="11" ref="L22:L47">G22-K22</f>
        <v>-322</v>
      </c>
      <c r="M22" s="200">
        <f aca="true" t="shared" si="12" ref="M22:M49">-L22</f>
        <v>322</v>
      </c>
      <c r="N22" s="569">
        <v>35030</v>
      </c>
      <c r="O22" s="200">
        <f aca="true" t="shared" si="13" ref="O22:O47">R22-S22</f>
        <v>156</v>
      </c>
      <c r="P22" s="200">
        <v>517917</v>
      </c>
      <c r="Q22" s="200">
        <v>362882</v>
      </c>
      <c r="R22" s="200">
        <f aca="true" t="shared" si="14" ref="R22:R40">ROUND(P22/1000,0)</f>
        <v>518</v>
      </c>
      <c r="S22" s="200">
        <f>ROUND(Q22/1000,0)-1</f>
        <v>362</v>
      </c>
      <c r="T22" s="569">
        <v>-23411</v>
      </c>
      <c r="U22" s="569">
        <v>-13900</v>
      </c>
      <c r="V22" s="569">
        <v>168626</v>
      </c>
    </row>
    <row r="23" spans="1:22" ht="12">
      <c r="A23" s="483" t="s">
        <v>761</v>
      </c>
      <c r="B23" s="200">
        <v>1954669</v>
      </c>
      <c r="C23" s="568">
        <f t="shared" si="8"/>
        <v>1955</v>
      </c>
      <c r="D23" s="568">
        <v>2653008</v>
      </c>
      <c r="E23" s="568">
        <f>ROUND(D23/1000,0)</f>
        <v>2653</v>
      </c>
      <c r="F23" s="568">
        <v>4607677</v>
      </c>
      <c r="G23" s="568">
        <f t="shared" si="9"/>
        <v>4608</v>
      </c>
      <c r="H23" s="569">
        <v>4539506</v>
      </c>
      <c r="I23" s="569">
        <v>149187</v>
      </c>
      <c r="J23" s="200">
        <v>4688693</v>
      </c>
      <c r="K23" s="200">
        <f t="shared" si="10"/>
        <v>4689</v>
      </c>
      <c r="L23" s="200">
        <f t="shared" si="11"/>
        <v>-81</v>
      </c>
      <c r="M23" s="200">
        <f t="shared" si="12"/>
        <v>81</v>
      </c>
      <c r="N23" s="569">
        <v>47525</v>
      </c>
      <c r="O23" s="200">
        <f t="shared" si="13"/>
        <v>-3</v>
      </c>
      <c r="P23" s="200">
        <v>80951</v>
      </c>
      <c r="Q23" s="200">
        <v>84911</v>
      </c>
      <c r="R23" s="200">
        <f t="shared" si="14"/>
        <v>81</v>
      </c>
      <c r="S23" s="200">
        <f>ROUND(Q23/1000,0)-1</f>
        <v>84</v>
      </c>
      <c r="T23" s="569">
        <v>0</v>
      </c>
      <c r="U23" s="569">
        <v>-2684</v>
      </c>
      <c r="V23" s="569">
        <v>40135</v>
      </c>
    </row>
    <row r="24" spans="1:22" ht="12">
      <c r="A24" s="483" t="s">
        <v>762</v>
      </c>
      <c r="B24" s="200">
        <v>1788462</v>
      </c>
      <c r="C24" s="568">
        <f t="shared" si="8"/>
        <v>1788</v>
      </c>
      <c r="D24" s="568">
        <v>3404434</v>
      </c>
      <c r="E24" s="568">
        <f>ROUND(D24/1000,0)</f>
        <v>3404</v>
      </c>
      <c r="F24" s="568">
        <v>5192896</v>
      </c>
      <c r="G24" s="568">
        <f t="shared" si="9"/>
        <v>5192</v>
      </c>
      <c r="H24" s="569">
        <v>5121596</v>
      </c>
      <c r="I24" s="569">
        <v>160854</v>
      </c>
      <c r="J24" s="200">
        <v>5282450</v>
      </c>
      <c r="K24" s="200">
        <f t="shared" si="10"/>
        <v>5282</v>
      </c>
      <c r="L24" s="200">
        <f t="shared" si="11"/>
        <v>-90</v>
      </c>
      <c r="M24" s="200">
        <f t="shared" si="12"/>
        <v>90</v>
      </c>
      <c r="N24" s="569">
        <v>36516</v>
      </c>
      <c r="O24" s="200">
        <f t="shared" si="13"/>
        <v>37</v>
      </c>
      <c r="P24" s="200">
        <v>98384</v>
      </c>
      <c r="Q24" s="200">
        <v>61431</v>
      </c>
      <c r="R24" s="200">
        <f t="shared" si="14"/>
        <v>98</v>
      </c>
      <c r="S24" s="200">
        <f aca="true" t="shared" si="15" ref="S24:S29">ROUND(Q24/1000,0)</f>
        <v>61</v>
      </c>
      <c r="T24" s="569">
        <v>0</v>
      </c>
      <c r="U24" s="569">
        <v>-2726</v>
      </c>
      <c r="V24" s="569">
        <v>18811</v>
      </c>
    </row>
    <row r="25" spans="1:22" ht="12">
      <c r="A25" s="483" t="s">
        <v>763</v>
      </c>
      <c r="B25" s="200">
        <v>4023708</v>
      </c>
      <c r="C25" s="568">
        <f t="shared" si="8"/>
        <v>4024</v>
      </c>
      <c r="D25" s="568">
        <v>4680059</v>
      </c>
      <c r="E25" s="568">
        <f>ROUND(D25/1000,0)</f>
        <v>4680</v>
      </c>
      <c r="F25" s="568">
        <v>8703767</v>
      </c>
      <c r="G25" s="568">
        <f t="shared" si="9"/>
        <v>8704</v>
      </c>
      <c r="H25" s="569">
        <v>8607592</v>
      </c>
      <c r="I25" s="569">
        <v>538290</v>
      </c>
      <c r="J25" s="200">
        <v>9145882</v>
      </c>
      <c r="K25" s="200">
        <f t="shared" si="10"/>
        <v>9146</v>
      </c>
      <c r="L25" s="200">
        <f t="shared" si="11"/>
        <v>-442</v>
      </c>
      <c r="M25" s="200">
        <f t="shared" si="12"/>
        <v>442</v>
      </c>
      <c r="N25" s="569">
        <v>170753</v>
      </c>
      <c r="O25" s="200">
        <f t="shared" si="13"/>
        <v>83</v>
      </c>
      <c r="P25" s="200">
        <v>242344</v>
      </c>
      <c r="Q25" s="200">
        <v>159240</v>
      </c>
      <c r="R25" s="200">
        <f t="shared" si="14"/>
        <v>242</v>
      </c>
      <c r="S25" s="200">
        <f t="shared" si="15"/>
        <v>159</v>
      </c>
      <c r="T25" s="569">
        <v>31536</v>
      </c>
      <c r="U25" s="569">
        <v>-1367</v>
      </c>
      <c r="V25" s="569">
        <v>158089</v>
      </c>
    </row>
    <row r="26" spans="1:22" ht="12">
      <c r="A26" s="483" t="s">
        <v>764</v>
      </c>
      <c r="B26" s="200">
        <v>6065626</v>
      </c>
      <c r="C26" s="568">
        <f t="shared" si="8"/>
        <v>6066</v>
      </c>
      <c r="D26" s="568">
        <v>5700920</v>
      </c>
      <c r="E26" s="568">
        <f>ROUND(D26/1000,0)-1</f>
        <v>5700</v>
      </c>
      <c r="F26" s="568">
        <v>11766546</v>
      </c>
      <c r="G26" s="568">
        <f t="shared" si="9"/>
        <v>11766</v>
      </c>
      <c r="H26" s="569">
        <v>11503133</v>
      </c>
      <c r="I26" s="569">
        <v>561513</v>
      </c>
      <c r="J26" s="200">
        <v>12064646</v>
      </c>
      <c r="K26" s="200">
        <f t="shared" si="10"/>
        <v>12065</v>
      </c>
      <c r="L26" s="200">
        <f t="shared" si="11"/>
        <v>-299</v>
      </c>
      <c r="M26" s="200">
        <f t="shared" si="12"/>
        <v>299</v>
      </c>
      <c r="N26" s="569">
        <v>63490</v>
      </c>
      <c r="O26" s="200">
        <f t="shared" si="13"/>
        <v>28</v>
      </c>
      <c r="P26" s="200">
        <v>184737</v>
      </c>
      <c r="Q26" s="200">
        <v>157016</v>
      </c>
      <c r="R26" s="200">
        <f t="shared" si="14"/>
        <v>185</v>
      </c>
      <c r="S26" s="200">
        <f t="shared" si="15"/>
        <v>157</v>
      </c>
      <c r="T26" s="569">
        <v>19192</v>
      </c>
      <c r="U26" s="569">
        <v>0</v>
      </c>
      <c r="V26" s="569">
        <v>187697</v>
      </c>
    </row>
    <row r="27" spans="1:22" ht="12">
      <c r="A27" s="483" t="s">
        <v>765</v>
      </c>
      <c r="B27" s="200">
        <v>2927154</v>
      </c>
      <c r="C27" s="568">
        <f t="shared" si="8"/>
        <v>2927</v>
      </c>
      <c r="D27" s="568">
        <v>3977622</v>
      </c>
      <c r="E27" s="568">
        <f>ROUND(D27/1000,0)-1</f>
        <v>3977</v>
      </c>
      <c r="F27" s="568">
        <v>6904776</v>
      </c>
      <c r="G27" s="568">
        <f t="shared" si="9"/>
        <v>6904</v>
      </c>
      <c r="H27" s="569">
        <v>7120361</v>
      </c>
      <c r="I27" s="569">
        <v>390976</v>
      </c>
      <c r="J27" s="200">
        <v>7511337</v>
      </c>
      <c r="K27" s="200">
        <f t="shared" si="10"/>
        <v>7511</v>
      </c>
      <c r="L27" s="200">
        <f t="shared" si="11"/>
        <v>-607</v>
      </c>
      <c r="M27" s="200">
        <f t="shared" si="12"/>
        <v>607</v>
      </c>
      <c r="N27" s="569">
        <v>125614</v>
      </c>
      <c r="O27" s="200">
        <f t="shared" si="13"/>
        <v>106</v>
      </c>
      <c r="P27" s="200">
        <v>220220</v>
      </c>
      <c r="Q27" s="200">
        <v>114148</v>
      </c>
      <c r="R27" s="200">
        <f t="shared" si="14"/>
        <v>220</v>
      </c>
      <c r="S27" s="200">
        <f t="shared" si="15"/>
        <v>114</v>
      </c>
      <c r="T27" s="569">
        <v>-2004</v>
      </c>
      <c r="U27" s="569">
        <v>157000</v>
      </c>
      <c r="V27" s="569">
        <v>219879</v>
      </c>
    </row>
    <row r="28" spans="1:22" ht="12">
      <c r="A28" s="483" t="s">
        <v>766</v>
      </c>
      <c r="B28" s="200">
        <v>3386414</v>
      </c>
      <c r="C28" s="568">
        <f t="shared" si="8"/>
        <v>3386</v>
      </c>
      <c r="D28" s="568">
        <v>3490596</v>
      </c>
      <c r="E28" s="568">
        <f>ROUND(D28/1000,0)-1</f>
        <v>3490</v>
      </c>
      <c r="F28" s="568">
        <v>6877010</v>
      </c>
      <c r="G28" s="568">
        <f t="shared" si="9"/>
        <v>6876</v>
      </c>
      <c r="H28" s="569">
        <v>6471689</v>
      </c>
      <c r="I28" s="569">
        <v>419460</v>
      </c>
      <c r="J28" s="200">
        <v>6891149</v>
      </c>
      <c r="K28" s="200">
        <f t="shared" si="10"/>
        <v>6891</v>
      </c>
      <c r="L28" s="200">
        <f t="shared" si="11"/>
        <v>-15</v>
      </c>
      <c r="M28" s="200">
        <f t="shared" si="12"/>
        <v>15</v>
      </c>
      <c r="N28" s="569">
        <v>-39741</v>
      </c>
      <c r="O28" s="200">
        <f t="shared" si="13"/>
        <v>-35</v>
      </c>
      <c r="P28" s="200">
        <v>161601</v>
      </c>
      <c r="Q28" s="200">
        <v>197345</v>
      </c>
      <c r="R28" s="200">
        <f t="shared" si="14"/>
        <v>162</v>
      </c>
      <c r="S28" s="200">
        <f t="shared" si="15"/>
        <v>197</v>
      </c>
      <c r="T28" s="569">
        <v>0</v>
      </c>
      <c r="U28" s="569">
        <v>0</v>
      </c>
      <c r="V28" s="569">
        <v>89624</v>
      </c>
    </row>
    <row r="29" spans="1:22" ht="12">
      <c r="A29" s="483" t="s">
        <v>767</v>
      </c>
      <c r="B29" s="200">
        <v>2195101</v>
      </c>
      <c r="C29" s="568">
        <f t="shared" si="8"/>
        <v>2195</v>
      </c>
      <c r="D29" s="568">
        <v>2575667</v>
      </c>
      <c r="E29" s="568">
        <f>ROUND(D29/1000,0)-1</f>
        <v>2575</v>
      </c>
      <c r="F29" s="568">
        <v>4770768</v>
      </c>
      <c r="G29" s="568">
        <f t="shared" si="9"/>
        <v>4770</v>
      </c>
      <c r="H29" s="569">
        <v>4714166</v>
      </c>
      <c r="I29" s="569">
        <v>157562</v>
      </c>
      <c r="J29" s="200">
        <v>4871728</v>
      </c>
      <c r="K29" s="200">
        <f t="shared" si="10"/>
        <v>4872</v>
      </c>
      <c r="L29" s="200">
        <f t="shared" si="11"/>
        <v>-102</v>
      </c>
      <c r="M29" s="200">
        <f t="shared" si="12"/>
        <v>102</v>
      </c>
      <c r="N29" s="569">
        <v>18921</v>
      </c>
      <c r="O29" s="200">
        <f t="shared" si="13"/>
        <v>17</v>
      </c>
      <c r="P29" s="200">
        <v>286223</v>
      </c>
      <c r="Q29" s="200">
        <v>269380</v>
      </c>
      <c r="R29" s="200">
        <f t="shared" si="14"/>
        <v>286</v>
      </c>
      <c r="S29" s="200">
        <f t="shared" si="15"/>
        <v>269</v>
      </c>
      <c r="T29" s="569">
        <v>0</v>
      </c>
      <c r="U29" s="569">
        <v>0</v>
      </c>
      <c r="V29" s="569">
        <v>65196</v>
      </c>
    </row>
    <row r="30" spans="1:22" ht="12">
      <c r="A30" s="483" t="s">
        <v>768</v>
      </c>
      <c r="B30" s="200">
        <v>2927519</v>
      </c>
      <c r="C30" s="568">
        <f t="shared" si="8"/>
        <v>2928</v>
      </c>
      <c r="D30" s="568">
        <v>2900352</v>
      </c>
      <c r="E30" s="568">
        <f>ROUND(D30/1000,0)</f>
        <v>2900</v>
      </c>
      <c r="F30" s="568">
        <v>5827871</v>
      </c>
      <c r="G30" s="568">
        <f t="shared" si="9"/>
        <v>5828</v>
      </c>
      <c r="H30" s="569">
        <v>5564860</v>
      </c>
      <c r="I30" s="569">
        <v>358019</v>
      </c>
      <c r="J30" s="200">
        <v>5922879</v>
      </c>
      <c r="K30" s="200">
        <f t="shared" si="10"/>
        <v>5923</v>
      </c>
      <c r="L30" s="200">
        <f t="shared" si="11"/>
        <v>-95</v>
      </c>
      <c r="M30" s="200">
        <f t="shared" si="12"/>
        <v>95</v>
      </c>
      <c r="N30" s="569">
        <v>240871</v>
      </c>
      <c r="O30" s="200">
        <f t="shared" si="13"/>
        <v>-31</v>
      </c>
      <c r="P30" s="200">
        <v>80112</v>
      </c>
      <c r="Q30" s="200">
        <v>111675</v>
      </c>
      <c r="R30" s="200">
        <f t="shared" si="14"/>
        <v>80</v>
      </c>
      <c r="S30" s="200">
        <f>ROUND(Q30/1000,0)-1</f>
        <v>111</v>
      </c>
      <c r="T30" s="569">
        <v>-115000</v>
      </c>
      <c r="U30" s="569">
        <v>700</v>
      </c>
      <c r="V30" s="569">
        <v>0</v>
      </c>
    </row>
    <row r="31" spans="1:22" ht="12">
      <c r="A31" s="483" t="s">
        <v>769</v>
      </c>
      <c r="B31" s="200">
        <v>3875909</v>
      </c>
      <c r="C31" s="568">
        <f t="shared" si="8"/>
        <v>3876</v>
      </c>
      <c r="D31" s="568">
        <v>4808190</v>
      </c>
      <c r="E31" s="568">
        <f>ROUND(D31/1000,0)</f>
        <v>4808</v>
      </c>
      <c r="F31" s="568">
        <v>8684099</v>
      </c>
      <c r="G31" s="568">
        <f t="shared" si="9"/>
        <v>8684</v>
      </c>
      <c r="H31" s="569">
        <v>8823819</v>
      </c>
      <c r="I31" s="569">
        <v>242575</v>
      </c>
      <c r="J31" s="200">
        <v>9066394</v>
      </c>
      <c r="K31" s="200">
        <f t="shared" si="10"/>
        <v>9066</v>
      </c>
      <c r="L31" s="200">
        <f t="shared" si="11"/>
        <v>-382</v>
      </c>
      <c r="M31" s="200">
        <f t="shared" si="12"/>
        <v>382</v>
      </c>
      <c r="N31" s="569">
        <v>45062</v>
      </c>
      <c r="O31" s="200">
        <f t="shared" si="13"/>
        <v>252</v>
      </c>
      <c r="P31" s="200">
        <v>524196</v>
      </c>
      <c r="Q31" s="200">
        <v>272290</v>
      </c>
      <c r="R31" s="200">
        <f t="shared" si="14"/>
        <v>524</v>
      </c>
      <c r="S31" s="200">
        <f>ROUND(Q31/1000,0)</f>
        <v>272</v>
      </c>
      <c r="T31" s="569">
        <v>0</v>
      </c>
      <c r="U31" s="569">
        <v>23726</v>
      </c>
      <c r="V31" s="569">
        <v>61601</v>
      </c>
    </row>
    <row r="32" spans="1:22" ht="12">
      <c r="A32" s="483" t="s">
        <v>770</v>
      </c>
      <c r="B32" s="200">
        <v>1930206</v>
      </c>
      <c r="C32" s="568">
        <f t="shared" si="8"/>
        <v>1930</v>
      </c>
      <c r="D32" s="568">
        <v>3269623</v>
      </c>
      <c r="E32" s="568">
        <f>ROUND(D32/1000,0)</f>
        <v>3270</v>
      </c>
      <c r="F32" s="568">
        <v>5199829</v>
      </c>
      <c r="G32" s="568">
        <f t="shared" si="9"/>
        <v>5200</v>
      </c>
      <c r="H32" s="569">
        <v>5031776</v>
      </c>
      <c r="I32" s="569">
        <v>204443</v>
      </c>
      <c r="J32" s="200">
        <v>5236219</v>
      </c>
      <c r="K32" s="200">
        <f t="shared" si="10"/>
        <v>5236</v>
      </c>
      <c r="L32" s="200">
        <f t="shared" si="11"/>
        <v>-36</v>
      </c>
      <c r="M32" s="200">
        <f t="shared" si="12"/>
        <v>36</v>
      </c>
      <c r="N32" s="569">
        <v>-57476</v>
      </c>
      <c r="O32" s="200">
        <f t="shared" si="13"/>
        <v>12</v>
      </c>
      <c r="P32" s="200">
        <v>78840</v>
      </c>
      <c r="Q32" s="200">
        <v>67018</v>
      </c>
      <c r="R32" s="200">
        <f t="shared" si="14"/>
        <v>79</v>
      </c>
      <c r="S32" s="200">
        <f>ROUND(Q32/1000,0)</f>
        <v>67</v>
      </c>
      <c r="T32" s="569">
        <v>-3000</v>
      </c>
      <c r="U32" s="569">
        <v>0</v>
      </c>
      <c r="V32" s="569">
        <v>85044</v>
      </c>
    </row>
    <row r="33" spans="1:22" ht="12">
      <c r="A33" s="483" t="s">
        <v>771</v>
      </c>
      <c r="B33" s="200">
        <v>3617374</v>
      </c>
      <c r="C33" s="568">
        <f t="shared" si="8"/>
        <v>3617</v>
      </c>
      <c r="D33" s="568">
        <v>4167853</v>
      </c>
      <c r="E33" s="568">
        <f>ROUND(D33/1000,0)-1</f>
        <v>4167</v>
      </c>
      <c r="F33" s="568">
        <v>7785227</v>
      </c>
      <c r="G33" s="568">
        <f t="shared" si="9"/>
        <v>7784</v>
      </c>
      <c r="H33" s="569">
        <v>7726381</v>
      </c>
      <c r="I33" s="569">
        <v>255240</v>
      </c>
      <c r="J33" s="200">
        <v>7981621</v>
      </c>
      <c r="K33" s="200">
        <f t="shared" si="10"/>
        <v>7982</v>
      </c>
      <c r="L33" s="200">
        <f t="shared" si="11"/>
        <v>-198</v>
      </c>
      <c r="M33" s="200">
        <f t="shared" si="12"/>
        <v>198</v>
      </c>
      <c r="N33" s="569">
        <v>337140</v>
      </c>
      <c r="O33" s="200">
        <f t="shared" si="13"/>
        <v>-171</v>
      </c>
      <c r="P33" s="200">
        <v>293631</v>
      </c>
      <c r="Q33" s="200">
        <v>465116</v>
      </c>
      <c r="R33" s="200">
        <f t="shared" si="14"/>
        <v>294</v>
      </c>
      <c r="S33" s="200">
        <f>ROUND(Q33/1000,0)</f>
        <v>465</v>
      </c>
      <c r="T33" s="569">
        <v>0</v>
      </c>
      <c r="U33" s="569">
        <v>0</v>
      </c>
      <c r="V33" s="569">
        <v>30739</v>
      </c>
    </row>
    <row r="34" spans="1:22" ht="12">
      <c r="A34" s="483" t="s">
        <v>772</v>
      </c>
      <c r="B34" s="200">
        <v>3609729</v>
      </c>
      <c r="C34" s="568">
        <f t="shared" si="8"/>
        <v>3610</v>
      </c>
      <c r="D34" s="568">
        <v>3981531</v>
      </c>
      <c r="E34" s="568">
        <f>ROUND(D34/1000,0)-1</f>
        <v>3981</v>
      </c>
      <c r="F34" s="568">
        <v>7591260</v>
      </c>
      <c r="G34" s="568">
        <f t="shared" si="9"/>
        <v>7591</v>
      </c>
      <c r="H34" s="569">
        <v>7753078</v>
      </c>
      <c r="I34" s="569">
        <v>233013</v>
      </c>
      <c r="J34" s="200">
        <v>7986091</v>
      </c>
      <c r="K34" s="200">
        <f t="shared" si="10"/>
        <v>7986</v>
      </c>
      <c r="L34" s="200">
        <f t="shared" si="11"/>
        <v>-395</v>
      </c>
      <c r="M34" s="200">
        <f t="shared" si="12"/>
        <v>395</v>
      </c>
      <c r="N34" s="569">
        <v>36675</v>
      </c>
      <c r="O34" s="200">
        <f t="shared" si="13"/>
        <v>28</v>
      </c>
      <c r="P34" s="200">
        <v>163151</v>
      </c>
      <c r="Q34" s="200">
        <v>135566</v>
      </c>
      <c r="R34" s="200">
        <f t="shared" si="14"/>
        <v>163</v>
      </c>
      <c r="S34" s="200">
        <f>ROUND(Q34/1000,0)-1</f>
        <v>135</v>
      </c>
      <c r="T34" s="569">
        <v>0</v>
      </c>
      <c r="U34" s="569">
        <v>25202</v>
      </c>
      <c r="V34" s="569">
        <v>305369</v>
      </c>
    </row>
    <row r="35" spans="1:22" ht="12">
      <c r="A35" s="483" t="s">
        <v>773</v>
      </c>
      <c r="B35" s="200">
        <v>3693201</v>
      </c>
      <c r="C35" s="568">
        <f t="shared" si="8"/>
        <v>3693</v>
      </c>
      <c r="D35" s="568">
        <v>3510939</v>
      </c>
      <c r="E35" s="568">
        <f>ROUND(D35/1000,0)-1</f>
        <v>3510</v>
      </c>
      <c r="F35" s="568">
        <v>7204140</v>
      </c>
      <c r="G35" s="568">
        <f t="shared" si="9"/>
        <v>7203</v>
      </c>
      <c r="H35" s="569">
        <v>7538571</v>
      </c>
      <c r="I35" s="569">
        <v>501181</v>
      </c>
      <c r="J35" s="200">
        <v>8039752</v>
      </c>
      <c r="K35" s="200">
        <f t="shared" si="10"/>
        <v>8040</v>
      </c>
      <c r="L35" s="200">
        <f t="shared" si="11"/>
        <v>-837</v>
      </c>
      <c r="M35" s="200">
        <f t="shared" si="12"/>
        <v>837</v>
      </c>
      <c r="N35" s="569">
        <v>645794</v>
      </c>
      <c r="O35" s="200">
        <f t="shared" si="13"/>
        <v>69</v>
      </c>
      <c r="P35" s="200">
        <v>278002</v>
      </c>
      <c r="Q35" s="200">
        <v>209177</v>
      </c>
      <c r="R35" s="200">
        <f t="shared" si="14"/>
        <v>278</v>
      </c>
      <c r="S35" s="200">
        <f>ROUND(Q35/1000,0)</f>
        <v>209</v>
      </c>
      <c r="T35" s="569">
        <v>-15228</v>
      </c>
      <c r="U35" s="569">
        <v>0</v>
      </c>
      <c r="V35" s="569">
        <v>136221</v>
      </c>
    </row>
    <row r="36" spans="1:22" ht="12">
      <c r="A36" s="483" t="s">
        <v>774</v>
      </c>
      <c r="B36" s="200">
        <v>1963731</v>
      </c>
      <c r="C36" s="568">
        <f t="shared" si="8"/>
        <v>1964</v>
      </c>
      <c r="D36" s="568">
        <v>2992898</v>
      </c>
      <c r="E36" s="568">
        <f>ROUND(D36/1000,0)-1</f>
        <v>2992</v>
      </c>
      <c r="F36" s="568">
        <v>4956629</v>
      </c>
      <c r="G36" s="568">
        <f t="shared" si="9"/>
        <v>4956</v>
      </c>
      <c r="H36" s="569">
        <v>5217160</v>
      </c>
      <c r="I36" s="569">
        <v>219348</v>
      </c>
      <c r="J36" s="200">
        <v>5436508</v>
      </c>
      <c r="K36" s="200">
        <f t="shared" si="10"/>
        <v>5437</v>
      </c>
      <c r="L36" s="200">
        <f t="shared" si="11"/>
        <v>-481</v>
      </c>
      <c r="M36" s="200">
        <f t="shared" si="12"/>
        <v>481</v>
      </c>
      <c r="N36" s="569">
        <v>159861</v>
      </c>
      <c r="O36" s="200">
        <f t="shared" si="13"/>
        <v>207</v>
      </c>
      <c r="P36" s="200">
        <v>266422</v>
      </c>
      <c r="Q36" s="200">
        <v>59386</v>
      </c>
      <c r="R36" s="200">
        <f t="shared" si="14"/>
        <v>266</v>
      </c>
      <c r="S36" s="200">
        <f>ROUND(Q36/1000,0)</f>
        <v>59</v>
      </c>
      <c r="T36" s="569">
        <v>5000</v>
      </c>
      <c r="U36" s="569">
        <v>0</v>
      </c>
      <c r="V36" s="569">
        <v>107982</v>
      </c>
    </row>
    <row r="37" spans="1:22" ht="12">
      <c r="A37" s="483" t="s">
        <v>775</v>
      </c>
      <c r="B37" s="200">
        <v>3508931</v>
      </c>
      <c r="C37" s="568">
        <f t="shared" si="8"/>
        <v>3509</v>
      </c>
      <c r="D37" s="568">
        <v>4221353</v>
      </c>
      <c r="E37" s="568">
        <f aca="true" t="shared" si="16" ref="E37:E44">ROUND(D37/1000,0)</f>
        <v>4221</v>
      </c>
      <c r="F37" s="568">
        <v>7730284</v>
      </c>
      <c r="G37" s="568">
        <f t="shared" si="9"/>
        <v>7730</v>
      </c>
      <c r="H37" s="569">
        <v>7754810</v>
      </c>
      <c r="I37" s="569">
        <v>375928</v>
      </c>
      <c r="J37" s="200">
        <v>8130738</v>
      </c>
      <c r="K37" s="200">
        <f t="shared" si="10"/>
        <v>8131</v>
      </c>
      <c r="L37" s="200">
        <f t="shared" si="11"/>
        <v>-401</v>
      </c>
      <c r="M37" s="200">
        <f t="shared" si="12"/>
        <v>401</v>
      </c>
      <c r="N37" s="569">
        <v>223017</v>
      </c>
      <c r="O37" s="200">
        <f t="shared" si="13"/>
        <v>25</v>
      </c>
      <c r="P37" s="200">
        <v>213638</v>
      </c>
      <c r="Q37" s="200">
        <v>189978</v>
      </c>
      <c r="R37" s="200">
        <f t="shared" si="14"/>
        <v>214</v>
      </c>
      <c r="S37" s="200">
        <f>ROUND(Q37/1000,0)-1</f>
        <v>189</v>
      </c>
      <c r="T37" s="569">
        <v>728</v>
      </c>
      <c r="U37" s="569">
        <v>26852</v>
      </c>
      <c r="V37" s="569">
        <v>126197</v>
      </c>
    </row>
    <row r="38" spans="1:22" ht="12">
      <c r="A38" s="483" t="s">
        <v>776</v>
      </c>
      <c r="B38" s="200">
        <v>6248155</v>
      </c>
      <c r="C38" s="568">
        <f t="shared" si="8"/>
        <v>6248</v>
      </c>
      <c r="D38" s="568">
        <v>3917208</v>
      </c>
      <c r="E38" s="568">
        <f t="shared" si="16"/>
        <v>3917</v>
      </c>
      <c r="F38" s="568">
        <v>10165363</v>
      </c>
      <c r="G38" s="568">
        <f t="shared" si="9"/>
        <v>10165</v>
      </c>
      <c r="H38" s="569">
        <v>9736448</v>
      </c>
      <c r="I38" s="569">
        <v>624130</v>
      </c>
      <c r="J38" s="200">
        <v>10360578</v>
      </c>
      <c r="K38" s="200">
        <f t="shared" si="10"/>
        <v>10361</v>
      </c>
      <c r="L38" s="200">
        <f t="shared" si="11"/>
        <v>-196</v>
      </c>
      <c r="M38" s="200">
        <f t="shared" si="12"/>
        <v>196</v>
      </c>
      <c r="N38" s="569">
        <v>-40393</v>
      </c>
      <c r="O38" s="200">
        <f t="shared" si="13"/>
        <v>33</v>
      </c>
      <c r="P38" s="200">
        <v>346403</v>
      </c>
      <c r="Q38" s="200">
        <v>313773</v>
      </c>
      <c r="R38" s="200">
        <f t="shared" si="14"/>
        <v>346</v>
      </c>
      <c r="S38" s="200">
        <f>ROUND(Q38/1000,0)-1</f>
        <v>313</v>
      </c>
      <c r="T38" s="569">
        <v>-8888</v>
      </c>
      <c r="U38" s="569">
        <v>-10110</v>
      </c>
      <c r="V38" s="569">
        <v>221976</v>
      </c>
    </row>
    <row r="39" spans="1:22" ht="12">
      <c r="A39" s="483" t="s">
        <v>777</v>
      </c>
      <c r="B39" s="200">
        <v>2422376</v>
      </c>
      <c r="C39" s="568">
        <f t="shared" si="8"/>
        <v>2422</v>
      </c>
      <c r="D39" s="568">
        <v>4291367</v>
      </c>
      <c r="E39" s="568">
        <f t="shared" si="16"/>
        <v>4291</v>
      </c>
      <c r="F39" s="568">
        <v>6713743</v>
      </c>
      <c r="G39" s="568">
        <f t="shared" si="9"/>
        <v>6713</v>
      </c>
      <c r="H39" s="569">
        <v>6826324</v>
      </c>
      <c r="I39" s="569">
        <v>175208</v>
      </c>
      <c r="J39" s="200">
        <v>7001532</v>
      </c>
      <c r="K39" s="200">
        <f t="shared" si="10"/>
        <v>7002</v>
      </c>
      <c r="L39" s="200">
        <f t="shared" si="11"/>
        <v>-289</v>
      </c>
      <c r="M39" s="200">
        <f t="shared" si="12"/>
        <v>289</v>
      </c>
      <c r="N39" s="569">
        <v>293352</v>
      </c>
      <c r="O39" s="200">
        <f t="shared" si="13"/>
        <v>-16</v>
      </c>
      <c r="P39" s="200">
        <v>131553</v>
      </c>
      <c r="Q39" s="200">
        <v>148261</v>
      </c>
      <c r="R39" s="200">
        <f t="shared" si="14"/>
        <v>132</v>
      </c>
      <c r="S39" s="200">
        <f>ROUND(Q39/1000,0)</f>
        <v>148</v>
      </c>
      <c r="T39" s="569">
        <v>-41242</v>
      </c>
      <c r="U39" s="569">
        <v>36402</v>
      </c>
      <c r="V39" s="569">
        <v>15985</v>
      </c>
    </row>
    <row r="40" spans="1:22" ht="12">
      <c r="A40" s="483" t="s">
        <v>778</v>
      </c>
      <c r="B40" s="200">
        <v>2056140</v>
      </c>
      <c r="C40" s="568">
        <f t="shared" si="8"/>
        <v>2056</v>
      </c>
      <c r="D40" s="568">
        <v>4451437</v>
      </c>
      <c r="E40" s="568">
        <f t="shared" si="16"/>
        <v>4451</v>
      </c>
      <c r="F40" s="568">
        <v>6507577</v>
      </c>
      <c r="G40" s="568">
        <f t="shared" si="9"/>
        <v>6507</v>
      </c>
      <c r="H40" s="569">
        <v>6556058</v>
      </c>
      <c r="I40" s="569">
        <v>294038</v>
      </c>
      <c r="J40" s="200">
        <v>6850096</v>
      </c>
      <c r="K40" s="200">
        <f t="shared" si="10"/>
        <v>6850</v>
      </c>
      <c r="L40" s="200">
        <f t="shared" si="11"/>
        <v>-343</v>
      </c>
      <c r="M40" s="200">
        <f t="shared" si="12"/>
        <v>343</v>
      </c>
      <c r="N40" s="569">
        <v>47090</v>
      </c>
      <c r="O40" s="200">
        <f t="shared" si="13"/>
        <v>51</v>
      </c>
      <c r="P40" s="200">
        <v>154522</v>
      </c>
      <c r="Q40" s="200">
        <v>104939</v>
      </c>
      <c r="R40" s="200">
        <f t="shared" si="14"/>
        <v>155</v>
      </c>
      <c r="S40" s="200">
        <f>ROUND(Q40/1000,0)-1</f>
        <v>104</v>
      </c>
      <c r="T40" s="569">
        <v>-1503</v>
      </c>
      <c r="U40" s="569">
        <v>0</v>
      </c>
      <c r="V40" s="569">
        <v>247349</v>
      </c>
    </row>
    <row r="41" spans="1:22" ht="12">
      <c r="A41" s="483" t="s">
        <v>779</v>
      </c>
      <c r="B41" s="200">
        <v>18859047</v>
      </c>
      <c r="C41" s="568">
        <f t="shared" si="8"/>
        <v>18859</v>
      </c>
      <c r="D41" s="568">
        <v>8014082</v>
      </c>
      <c r="E41" s="568">
        <f t="shared" si="16"/>
        <v>8014</v>
      </c>
      <c r="F41" s="568">
        <v>26873129</v>
      </c>
      <c r="G41" s="568">
        <f t="shared" si="9"/>
        <v>26873</v>
      </c>
      <c r="H41" s="569">
        <v>26177028</v>
      </c>
      <c r="I41" s="569">
        <v>3072511</v>
      </c>
      <c r="J41" s="200">
        <v>29249539</v>
      </c>
      <c r="K41" s="200">
        <f t="shared" si="10"/>
        <v>29250</v>
      </c>
      <c r="L41" s="200">
        <f t="shared" si="11"/>
        <v>-2377</v>
      </c>
      <c r="M41" s="200">
        <f t="shared" si="12"/>
        <v>2377</v>
      </c>
      <c r="N41" s="569">
        <v>1415439</v>
      </c>
      <c r="O41" s="200">
        <f t="shared" si="13"/>
        <v>125</v>
      </c>
      <c r="P41" s="200">
        <v>1222971</v>
      </c>
      <c r="Q41" s="200">
        <v>1097951</v>
      </c>
      <c r="R41" s="200">
        <f>ROUND(P41/1000,0)-1</f>
        <v>1222</v>
      </c>
      <c r="S41" s="200">
        <f>ROUND(Q41/1000,0)-1</f>
        <v>1097</v>
      </c>
      <c r="T41" s="569">
        <v>-414</v>
      </c>
      <c r="U41" s="569">
        <v>0</v>
      </c>
      <c r="V41" s="569">
        <v>836365</v>
      </c>
    </row>
    <row r="42" spans="1:22" ht="12">
      <c r="A42" s="483" t="s">
        <v>780</v>
      </c>
      <c r="B42" s="200">
        <v>3693949</v>
      </c>
      <c r="C42" s="568">
        <f t="shared" si="8"/>
        <v>3694</v>
      </c>
      <c r="D42" s="568">
        <v>3961285</v>
      </c>
      <c r="E42" s="568">
        <f t="shared" si="16"/>
        <v>3961</v>
      </c>
      <c r="F42" s="568">
        <v>7655234</v>
      </c>
      <c r="G42" s="568">
        <f t="shared" si="9"/>
        <v>7655</v>
      </c>
      <c r="H42" s="569">
        <v>7227365</v>
      </c>
      <c r="I42" s="569">
        <v>354787</v>
      </c>
      <c r="J42" s="200">
        <v>7582152</v>
      </c>
      <c r="K42" s="200">
        <f t="shared" si="10"/>
        <v>7582</v>
      </c>
      <c r="L42" s="200">
        <f t="shared" si="11"/>
        <v>73</v>
      </c>
      <c r="M42" s="200">
        <f t="shared" si="12"/>
        <v>-73</v>
      </c>
      <c r="N42" s="569">
        <v>25013</v>
      </c>
      <c r="O42" s="200">
        <f t="shared" si="13"/>
        <v>-69</v>
      </c>
      <c r="P42" s="200">
        <v>177036</v>
      </c>
      <c r="Q42" s="200">
        <v>246220</v>
      </c>
      <c r="R42" s="200">
        <f>ROUND(P42/1000,0)</f>
        <v>177</v>
      </c>
      <c r="S42" s="200">
        <f>ROUND(Q42/1000,0)</f>
        <v>246</v>
      </c>
      <c r="T42" s="569">
        <v>0</v>
      </c>
      <c r="U42" s="569">
        <v>0</v>
      </c>
      <c r="V42" s="569">
        <v>-28911</v>
      </c>
    </row>
    <row r="43" spans="1:22" ht="12">
      <c r="A43" s="483" t="s">
        <v>0</v>
      </c>
      <c r="B43" s="200">
        <v>4219831</v>
      </c>
      <c r="C43" s="568">
        <f t="shared" si="8"/>
        <v>4220</v>
      </c>
      <c r="D43" s="568">
        <v>4421228</v>
      </c>
      <c r="E43" s="568">
        <f t="shared" si="16"/>
        <v>4421</v>
      </c>
      <c r="F43" s="568">
        <v>8641059</v>
      </c>
      <c r="G43" s="568">
        <f t="shared" si="9"/>
        <v>8641</v>
      </c>
      <c r="H43" s="569">
        <v>8877405</v>
      </c>
      <c r="I43" s="569">
        <v>241113</v>
      </c>
      <c r="J43" s="200">
        <v>9118518</v>
      </c>
      <c r="K43" s="200">
        <f t="shared" si="10"/>
        <v>9119</v>
      </c>
      <c r="L43" s="200">
        <f t="shared" si="11"/>
        <v>-478</v>
      </c>
      <c r="M43" s="200">
        <f t="shared" si="12"/>
        <v>478</v>
      </c>
      <c r="N43" s="569">
        <v>258032</v>
      </c>
      <c r="O43" s="200">
        <f t="shared" si="13"/>
        <v>161</v>
      </c>
      <c r="P43" s="200">
        <v>369908</v>
      </c>
      <c r="Q43" s="200">
        <v>209196</v>
      </c>
      <c r="R43" s="200">
        <f>ROUND(P43/1000,0)</f>
        <v>370</v>
      </c>
      <c r="S43" s="200">
        <f>ROUND(Q43/1000,0)</f>
        <v>209</v>
      </c>
      <c r="T43" s="569">
        <v>-7715</v>
      </c>
      <c r="U43" s="569">
        <v>-6500</v>
      </c>
      <c r="V43" s="569">
        <v>72930</v>
      </c>
    </row>
    <row r="44" spans="1:22" ht="12">
      <c r="A44" s="483" t="s">
        <v>1</v>
      </c>
      <c r="B44" s="200">
        <v>5047474</v>
      </c>
      <c r="C44" s="568">
        <f t="shared" si="8"/>
        <v>5047</v>
      </c>
      <c r="D44" s="568">
        <v>5982363</v>
      </c>
      <c r="E44" s="568">
        <f t="shared" si="16"/>
        <v>5982</v>
      </c>
      <c r="F44" s="568">
        <v>11029837</v>
      </c>
      <c r="G44" s="568">
        <f t="shared" si="9"/>
        <v>11029</v>
      </c>
      <c r="H44" s="569">
        <v>10485255</v>
      </c>
      <c r="I44" s="569">
        <v>962388</v>
      </c>
      <c r="J44" s="200">
        <v>11447643</v>
      </c>
      <c r="K44" s="200">
        <f t="shared" si="10"/>
        <v>11448</v>
      </c>
      <c r="L44" s="200">
        <f t="shared" si="11"/>
        <v>-419</v>
      </c>
      <c r="M44" s="200">
        <f t="shared" si="12"/>
        <v>419</v>
      </c>
      <c r="N44" s="569">
        <v>512408</v>
      </c>
      <c r="O44" s="200">
        <f t="shared" si="13"/>
        <v>0</v>
      </c>
      <c r="P44" s="200">
        <v>380587</v>
      </c>
      <c r="Q44" s="200">
        <v>381627</v>
      </c>
      <c r="R44" s="200">
        <f>ROUND(P44/1000,0)</f>
        <v>381</v>
      </c>
      <c r="S44" s="200">
        <f>ROUND(Q44/1000,0)-1</f>
        <v>381</v>
      </c>
      <c r="T44" s="569">
        <v>-6479</v>
      </c>
      <c r="U44" s="569">
        <v>16580</v>
      </c>
      <c r="V44" s="569">
        <v>-103663</v>
      </c>
    </row>
    <row r="45" spans="1:22" ht="12">
      <c r="A45" s="483" t="s">
        <v>2</v>
      </c>
      <c r="B45" s="200">
        <v>3182325</v>
      </c>
      <c r="C45" s="568">
        <f t="shared" si="8"/>
        <v>3182</v>
      </c>
      <c r="D45" s="568">
        <v>2552857</v>
      </c>
      <c r="E45" s="568">
        <f>ROUND(D45/1000,0)-1</f>
        <v>2552</v>
      </c>
      <c r="F45" s="568">
        <v>5735182</v>
      </c>
      <c r="G45" s="568">
        <f t="shared" si="9"/>
        <v>5734</v>
      </c>
      <c r="H45" s="569">
        <v>5385104</v>
      </c>
      <c r="I45" s="569">
        <v>344442</v>
      </c>
      <c r="J45" s="200">
        <v>5729546</v>
      </c>
      <c r="K45" s="200">
        <f t="shared" si="10"/>
        <v>5730</v>
      </c>
      <c r="L45" s="200">
        <f t="shared" si="11"/>
        <v>4</v>
      </c>
      <c r="M45" s="200">
        <f t="shared" si="12"/>
        <v>-4</v>
      </c>
      <c r="N45" s="569">
        <v>11902</v>
      </c>
      <c r="O45" s="200">
        <f t="shared" si="13"/>
        <v>53</v>
      </c>
      <c r="P45" s="200">
        <v>129885</v>
      </c>
      <c r="Q45" s="200">
        <v>77855</v>
      </c>
      <c r="R45" s="200">
        <f>ROUND(P45/1000,0)</f>
        <v>130</v>
      </c>
      <c r="S45" s="200">
        <f>ROUND(Q45/1000,0)-1</f>
        <v>77</v>
      </c>
      <c r="T45" s="569">
        <v>-2667</v>
      </c>
      <c r="U45" s="569">
        <v>-2566</v>
      </c>
      <c r="V45" s="569">
        <v>-64335</v>
      </c>
    </row>
    <row r="46" spans="1:22" ht="12">
      <c r="A46" s="483" t="s">
        <v>3</v>
      </c>
      <c r="B46" s="200">
        <v>8344363</v>
      </c>
      <c r="C46" s="568">
        <f t="shared" si="8"/>
        <v>8344</v>
      </c>
      <c r="D46" s="568">
        <v>5421886</v>
      </c>
      <c r="E46" s="568">
        <f>ROUND(D46/1000,0)-1</f>
        <v>5421</v>
      </c>
      <c r="F46" s="568">
        <v>13766249</v>
      </c>
      <c r="G46" s="568">
        <f t="shared" si="9"/>
        <v>13765</v>
      </c>
      <c r="H46" s="569">
        <v>13386378</v>
      </c>
      <c r="I46" s="569">
        <v>720438</v>
      </c>
      <c r="J46" s="200">
        <v>14106816</v>
      </c>
      <c r="K46" s="200">
        <f t="shared" si="10"/>
        <v>14107</v>
      </c>
      <c r="L46" s="200">
        <f t="shared" si="11"/>
        <v>-342</v>
      </c>
      <c r="M46" s="200">
        <f t="shared" si="12"/>
        <v>342</v>
      </c>
      <c r="N46" s="569">
        <v>192946</v>
      </c>
      <c r="O46" s="200">
        <f t="shared" si="13"/>
        <v>-134</v>
      </c>
      <c r="P46" s="200">
        <v>159330</v>
      </c>
      <c r="Q46" s="200">
        <v>293210</v>
      </c>
      <c r="R46" s="200">
        <f>ROUND(P46/1000,0)</f>
        <v>159</v>
      </c>
      <c r="S46" s="200">
        <f>ROUND(Q46/1000,0)</f>
        <v>293</v>
      </c>
      <c r="T46" s="569">
        <v>108635</v>
      </c>
      <c r="U46" s="569">
        <v>52665</v>
      </c>
      <c r="V46" s="569">
        <v>120201</v>
      </c>
    </row>
    <row r="47" spans="1:22" ht="12">
      <c r="A47" s="483" t="s">
        <v>4</v>
      </c>
      <c r="B47" s="200">
        <v>1473221</v>
      </c>
      <c r="C47" s="568">
        <f t="shared" si="8"/>
        <v>1473</v>
      </c>
      <c r="D47" s="568">
        <v>1120217</v>
      </c>
      <c r="E47" s="568">
        <f>ROUND(D47/1000,0)</f>
        <v>1120</v>
      </c>
      <c r="F47" s="568">
        <v>2593438</v>
      </c>
      <c r="G47" s="568">
        <f t="shared" si="9"/>
        <v>2593</v>
      </c>
      <c r="H47" s="569">
        <v>2652584</v>
      </c>
      <c r="I47" s="569">
        <v>131960</v>
      </c>
      <c r="J47" s="200">
        <v>2784544</v>
      </c>
      <c r="K47" s="200">
        <f t="shared" si="10"/>
        <v>2785</v>
      </c>
      <c r="L47" s="200">
        <f t="shared" si="11"/>
        <v>-192</v>
      </c>
      <c r="M47" s="200">
        <f t="shared" si="12"/>
        <v>192</v>
      </c>
      <c r="N47" s="569">
        <v>111739</v>
      </c>
      <c r="O47" s="200">
        <f t="shared" si="13"/>
        <v>3</v>
      </c>
      <c r="P47" s="200">
        <v>61596</v>
      </c>
      <c r="Q47" s="200">
        <v>59272</v>
      </c>
      <c r="R47" s="200">
        <f>ROUND(P47/1000,0)</f>
        <v>62</v>
      </c>
      <c r="S47" s="200">
        <f>ROUND(Q47/1000,0)</f>
        <v>59</v>
      </c>
      <c r="T47" s="569">
        <v>0</v>
      </c>
      <c r="U47" s="569">
        <v>0</v>
      </c>
      <c r="V47" s="569">
        <v>77043</v>
      </c>
    </row>
    <row r="48" spans="1:22" ht="12.75">
      <c r="A48" s="416" t="s">
        <v>5</v>
      </c>
      <c r="B48" s="200">
        <f>SUM(B22:B47)</f>
        <v>106847070</v>
      </c>
      <c r="C48" s="568">
        <f>SUM(C22:C47)+2</f>
        <v>106847</v>
      </c>
      <c r="D48" s="568">
        <f aca="true" t="shared" si="17" ref="D48:J48">SUM(D22:D47)</f>
        <v>104267062</v>
      </c>
      <c r="E48" s="568">
        <f t="shared" si="17"/>
        <v>104256</v>
      </c>
      <c r="F48" s="568">
        <f t="shared" si="17"/>
        <v>211114132</v>
      </c>
      <c r="G48" s="568">
        <f t="shared" si="17"/>
        <v>211101</v>
      </c>
      <c r="H48" s="569">
        <f t="shared" si="17"/>
        <v>208288021</v>
      </c>
      <c r="I48" s="569">
        <f t="shared" si="17"/>
        <v>12150952</v>
      </c>
      <c r="J48" s="200">
        <f t="shared" si="17"/>
        <v>220438973</v>
      </c>
      <c r="K48" s="200">
        <f t="shared" si="10"/>
        <v>220439</v>
      </c>
      <c r="L48" s="200">
        <f>G48-K48+1</f>
        <v>-9337</v>
      </c>
      <c r="M48" s="200">
        <f t="shared" si="12"/>
        <v>9337</v>
      </c>
      <c r="N48" s="569">
        <f aca="true" t="shared" si="18" ref="N48:V48">SUM(N22:N47)</f>
        <v>4916580</v>
      </c>
      <c r="O48" s="200">
        <f t="shared" si="18"/>
        <v>987</v>
      </c>
      <c r="P48" s="200">
        <f t="shared" si="18"/>
        <v>6824160</v>
      </c>
      <c r="Q48" s="200">
        <f t="shared" si="18"/>
        <v>5848863</v>
      </c>
      <c r="R48" s="200">
        <f t="shared" si="18"/>
        <v>6824</v>
      </c>
      <c r="S48" s="200">
        <f t="shared" si="18"/>
        <v>5837</v>
      </c>
      <c r="T48" s="569">
        <f t="shared" si="18"/>
        <v>-62460</v>
      </c>
      <c r="U48" s="569">
        <f t="shared" si="18"/>
        <v>299274</v>
      </c>
      <c r="V48" s="569">
        <f t="shared" si="18"/>
        <v>3196150</v>
      </c>
    </row>
    <row r="49" spans="1:22" ht="12.75">
      <c r="A49" s="381" t="s">
        <v>6</v>
      </c>
      <c r="B49" s="200">
        <f>B48+B20</f>
        <v>274930433</v>
      </c>
      <c r="C49" s="568">
        <f>C20+C48</f>
        <v>274930</v>
      </c>
      <c r="D49" s="568">
        <f>D48+D20</f>
        <v>144884123</v>
      </c>
      <c r="E49" s="568">
        <f>E20+E48</f>
        <v>144872</v>
      </c>
      <c r="F49" s="568">
        <f>F48+F20</f>
        <v>419814556</v>
      </c>
      <c r="G49" s="568">
        <f>C49+E49</f>
        <v>419802</v>
      </c>
      <c r="H49" s="569">
        <f>H48+H20</f>
        <v>408697025</v>
      </c>
      <c r="I49" s="569">
        <f>I48+I20</f>
        <v>33352430</v>
      </c>
      <c r="J49" s="200">
        <f>J48+J20</f>
        <v>442049455</v>
      </c>
      <c r="K49" s="200">
        <f t="shared" si="10"/>
        <v>442049</v>
      </c>
      <c r="L49" s="200">
        <f>G49-K49</f>
        <v>-22247</v>
      </c>
      <c r="M49" s="200">
        <f t="shared" si="12"/>
        <v>22247</v>
      </c>
      <c r="N49" s="569">
        <f>N48+N20</f>
        <v>7017836</v>
      </c>
      <c r="O49" s="200">
        <f>R49-S49</f>
        <v>1832</v>
      </c>
      <c r="P49" s="200">
        <f>P48+P20</f>
        <v>14119148</v>
      </c>
      <c r="Q49" s="200">
        <f>Q48+Q20</f>
        <v>12299629</v>
      </c>
      <c r="R49" s="200">
        <f>SUM(R20,R48)</f>
        <v>14119</v>
      </c>
      <c r="S49" s="200">
        <f>SUM(S20,S48)</f>
        <v>12287</v>
      </c>
      <c r="T49" s="569">
        <f>T48+T20</f>
        <v>-7373047</v>
      </c>
      <c r="U49" s="200">
        <v>17561</v>
      </c>
      <c r="V49" s="569">
        <f>V48+V20</f>
        <v>3209003</v>
      </c>
    </row>
    <row r="50" spans="1:19" s="572" customFormat="1" ht="12">
      <c r="A50" s="570" t="s">
        <v>7</v>
      </c>
      <c r="B50" s="509"/>
      <c r="C50" s="571"/>
      <c r="D50" s="571"/>
      <c r="E50" s="571"/>
      <c r="F50" s="571"/>
      <c r="G50" s="571"/>
      <c r="J50" s="509" t="s">
        <v>235</v>
      </c>
      <c r="K50" s="509"/>
      <c r="L50" s="509"/>
      <c r="M50" s="509"/>
      <c r="O50" s="509"/>
      <c r="P50" s="509"/>
      <c r="Q50" s="509"/>
      <c r="R50" s="509"/>
      <c r="S50" s="509"/>
    </row>
    <row r="51" spans="1:19" s="572" customFormat="1" ht="12">
      <c r="A51" s="570" t="s">
        <v>8</v>
      </c>
      <c r="B51" s="509"/>
      <c r="C51" s="571"/>
      <c r="D51" s="571"/>
      <c r="E51" s="571"/>
      <c r="F51" s="571"/>
      <c r="G51" s="571"/>
      <c r="J51" s="509"/>
      <c r="K51" s="509"/>
      <c r="L51" s="509"/>
      <c r="M51" s="509"/>
      <c r="O51" s="509"/>
      <c r="P51" s="509"/>
      <c r="Q51" s="509"/>
      <c r="R51" s="509"/>
      <c r="S51" s="509"/>
    </row>
    <row r="52" spans="1:19" s="572" customFormat="1" ht="12">
      <c r="A52" s="573"/>
      <c r="B52" s="509"/>
      <c r="C52" s="571"/>
      <c r="D52" s="571"/>
      <c r="E52" s="571"/>
      <c r="F52" s="571"/>
      <c r="G52" s="571"/>
      <c r="H52" s="529"/>
      <c r="I52" s="529"/>
      <c r="J52" s="509"/>
      <c r="K52" s="509"/>
      <c r="L52" s="509"/>
      <c r="M52" s="509"/>
      <c r="N52" s="529"/>
      <c r="O52" s="509"/>
      <c r="P52" s="509"/>
      <c r="Q52" s="509"/>
      <c r="R52" s="509"/>
      <c r="S52" s="509"/>
    </row>
    <row r="53" spans="1:19" s="572" customFormat="1" ht="12">
      <c r="A53" s="574"/>
      <c r="B53" s="509"/>
      <c r="C53" s="571"/>
      <c r="D53" s="571"/>
      <c r="E53" s="571"/>
      <c r="F53" s="571"/>
      <c r="G53" s="571"/>
      <c r="J53" s="509"/>
      <c r="K53" s="509"/>
      <c r="L53" s="509"/>
      <c r="M53" s="509"/>
      <c r="O53" s="509"/>
      <c r="P53" s="509"/>
      <c r="Q53" s="509"/>
      <c r="R53" s="509"/>
      <c r="S53" s="509"/>
    </row>
    <row r="54" spans="1:19" s="572" customFormat="1" ht="12">
      <c r="A54" s="575"/>
      <c r="B54" s="576"/>
      <c r="C54" s="577"/>
      <c r="D54" s="578"/>
      <c r="E54" s="578"/>
      <c r="F54" s="578"/>
      <c r="G54" s="578"/>
      <c r="H54" s="2"/>
      <c r="I54" s="2"/>
      <c r="J54" s="509"/>
      <c r="K54" s="509"/>
      <c r="L54" s="579"/>
      <c r="M54" s="579"/>
      <c r="N54" s="580"/>
      <c r="O54" s="579"/>
      <c r="P54" s="579"/>
      <c r="Q54" s="509"/>
      <c r="R54" s="509"/>
      <c r="S54" s="509"/>
    </row>
    <row r="55" spans="1:19" s="584" customFormat="1" ht="11.25">
      <c r="A55" s="581"/>
      <c r="B55" s="582"/>
      <c r="C55" s="583"/>
      <c r="D55" s="583"/>
      <c r="E55" s="583"/>
      <c r="F55" s="583"/>
      <c r="G55" s="583"/>
      <c r="J55" s="582"/>
      <c r="K55" s="582"/>
      <c r="L55" s="582"/>
      <c r="M55" s="582"/>
      <c r="O55" s="582"/>
      <c r="P55" s="582"/>
      <c r="Q55" s="582"/>
      <c r="R55" s="582"/>
      <c r="S55" s="582"/>
    </row>
    <row r="58" spans="1:19" s="2" customFormat="1" ht="11.25" customHeight="1">
      <c r="A58" s="585" t="s">
        <v>9</v>
      </c>
      <c r="B58" s="445"/>
      <c r="C58" s="578"/>
      <c r="D58" s="578"/>
      <c r="E58" s="578"/>
      <c r="F58" s="578"/>
      <c r="G58" s="578"/>
      <c r="J58" s="445"/>
      <c r="K58" s="445"/>
      <c r="L58" s="445" t="s">
        <v>10</v>
      </c>
      <c r="M58" s="445"/>
      <c r="O58" s="445" t="s">
        <v>11</v>
      </c>
      <c r="P58" s="445"/>
      <c r="Q58" s="445"/>
      <c r="R58" s="445"/>
      <c r="S58" s="445"/>
    </row>
    <row r="59" ht="11.25">
      <c r="A59" s="499"/>
    </row>
    <row r="67" spans="1:19" s="39" customFormat="1" ht="11.25">
      <c r="A67" s="27" t="s">
        <v>621</v>
      </c>
      <c r="B67" s="127"/>
      <c r="C67" s="586"/>
      <c r="D67" s="586"/>
      <c r="E67" s="586"/>
      <c r="F67" s="586"/>
      <c r="G67" s="586"/>
      <c r="J67" s="127"/>
      <c r="K67" s="127"/>
      <c r="L67" s="127"/>
      <c r="M67" s="127"/>
      <c r="O67" s="127"/>
      <c r="P67" s="127"/>
      <c r="Q67" s="127"/>
      <c r="R67" s="127"/>
      <c r="S67" s="127"/>
    </row>
    <row r="68" ht="11.25">
      <c r="A68" s="454" t="s">
        <v>100</v>
      </c>
    </row>
  </sheetData>
  <printOptions/>
  <pageMargins left="0.57" right="0.17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H1">
      <selection activeCell="E62" sqref="E62"/>
    </sheetView>
  </sheetViews>
  <sheetFormatPr defaultColWidth="9.140625" defaultRowHeight="12.75"/>
  <cols>
    <col min="1" max="1" width="20.421875" style="535" customWidth="1"/>
    <col min="2" max="2" width="9.7109375" style="455" customWidth="1"/>
    <col min="3" max="3" width="9.57421875" style="455" customWidth="1"/>
    <col min="4" max="4" width="14.8515625" style="455" customWidth="1"/>
    <col min="5" max="9" width="10.57421875" style="455" customWidth="1"/>
    <col min="10" max="10" width="11.8515625" style="455" customWidth="1"/>
    <col min="11" max="12" width="11.00390625" style="455" customWidth="1"/>
    <col min="13" max="16" width="7.140625" style="0" customWidth="1"/>
    <col min="18" max="16384" width="9.140625" style="455" customWidth="1"/>
  </cols>
  <sheetData>
    <row r="1" spans="1:17" s="39" customFormat="1" ht="12.7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78"/>
      <c r="L1" s="243" t="s">
        <v>13</v>
      </c>
      <c r="M1"/>
      <c r="N1"/>
      <c r="O1"/>
      <c r="P1"/>
      <c r="Q1"/>
    </row>
    <row r="2" spans="1:17" s="39" customFormat="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78"/>
      <c r="L2" s="243"/>
      <c r="M2"/>
      <c r="N2"/>
      <c r="O2"/>
      <c r="P2"/>
      <c r="Q2"/>
    </row>
    <row r="3" spans="1:17" s="43" customFormat="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243"/>
      <c r="M3"/>
      <c r="N3"/>
      <c r="O3"/>
      <c r="P3"/>
      <c r="Q3"/>
    </row>
    <row r="4" spans="1:17" s="545" customFormat="1" ht="15.75">
      <c r="A4" s="164" t="s">
        <v>14</v>
      </c>
      <c r="B4" s="164"/>
      <c r="C4" s="164"/>
      <c r="D4" s="165"/>
      <c r="E4" s="164"/>
      <c r="F4" s="164"/>
      <c r="G4" s="164"/>
      <c r="H4" s="164"/>
      <c r="I4" s="164"/>
      <c r="J4" s="164"/>
      <c r="K4" s="164"/>
      <c r="L4" s="164"/>
      <c r="M4"/>
      <c r="N4"/>
      <c r="O4"/>
      <c r="P4"/>
      <c r="Q4"/>
    </row>
    <row r="5" spans="1:17" s="545" customFormat="1" ht="15.75">
      <c r="A5" s="456" t="s">
        <v>575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/>
      <c r="N5"/>
      <c r="O5"/>
      <c r="P5"/>
      <c r="Q5"/>
    </row>
    <row r="6" spans="1:12" ht="12.75">
      <c r="A6" s="587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</row>
    <row r="7" spans="1:17" s="39" customFormat="1" ht="12.75">
      <c r="A7" s="546"/>
      <c r="B7" s="78"/>
      <c r="C7" s="78"/>
      <c r="D7" s="78"/>
      <c r="E7" s="78"/>
      <c r="F7" s="78"/>
      <c r="G7" s="78"/>
      <c r="H7" s="78"/>
      <c r="I7" s="78"/>
      <c r="J7" s="78"/>
      <c r="K7" s="78" t="s">
        <v>15</v>
      </c>
      <c r="L7" s="78"/>
      <c r="M7"/>
      <c r="N7"/>
      <c r="O7"/>
      <c r="P7"/>
      <c r="Q7"/>
    </row>
    <row r="8" spans="1:17" s="43" customFormat="1" ht="12.75">
      <c r="A8" s="588"/>
      <c r="B8" s="589"/>
      <c r="C8" s="589"/>
      <c r="D8" s="590"/>
      <c r="E8" s="590"/>
      <c r="F8" s="591" t="s">
        <v>16</v>
      </c>
      <c r="G8" s="592"/>
      <c r="H8" s="592"/>
      <c r="I8" s="593"/>
      <c r="J8" s="592"/>
      <c r="K8" s="592"/>
      <c r="L8" s="594"/>
      <c r="M8"/>
      <c r="N8"/>
      <c r="O8"/>
      <c r="P8"/>
      <c r="Q8"/>
    </row>
    <row r="9" spans="1:17" s="499" customFormat="1" ht="12.75">
      <c r="A9" s="595"/>
      <c r="B9" s="596"/>
      <c r="C9" s="596"/>
      <c r="D9" s="597"/>
      <c r="E9" s="597"/>
      <c r="F9" s="597"/>
      <c r="G9" s="597"/>
      <c r="H9" s="598" t="s">
        <v>735</v>
      </c>
      <c r="I9" s="599"/>
      <c r="J9" s="597"/>
      <c r="K9" s="597"/>
      <c r="L9" s="600"/>
      <c r="M9"/>
      <c r="N9"/>
      <c r="O9"/>
      <c r="P9"/>
      <c r="Q9"/>
    </row>
    <row r="10" spans="1:12" ht="45">
      <c r="A10" s="595" t="s">
        <v>17</v>
      </c>
      <c r="B10" s="595" t="s">
        <v>18</v>
      </c>
      <c r="C10" s="595" t="s">
        <v>19</v>
      </c>
      <c r="D10" s="595" t="s">
        <v>20</v>
      </c>
      <c r="E10" s="595" t="s">
        <v>21</v>
      </c>
      <c r="F10" s="595" t="s">
        <v>84</v>
      </c>
      <c r="G10" s="595" t="s">
        <v>22</v>
      </c>
      <c r="H10" s="595" t="s">
        <v>747</v>
      </c>
      <c r="I10" s="595" t="s">
        <v>746</v>
      </c>
      <c r="J10" s="595" t="s">
        <v>93</v>
      </c>
      <c r="K10" s="595" t="s">
        <v>95</v>
      </c>
      <c r="L10" s="601" t="s">
        <v>23</v>
      </c>
    </row>
    <row r="11" spans="1:17" s="39" customFormat="1" ht="12.75">
      <c r="A11" s="5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/>
      <c r="N11"/>
      <c r="O11"/>
      <c r="P11"/>
      <c r="Q11"/>
    </row>
    <row r="12" spans="1:12" ht="12.75">
      <c r="A12" s="197" t="s">
        <v>751</v>
      </c>
      <c r="B12" s="569">
        <v>20389224</v>
      </c>
      <c r="C12" s="569">
        <f>14646000-1000</f>
        <v>14645000</v>
      </c>
      <c r="D12" s="569">
        <f>B12-C12</f>
        <v>5744224</v>
      </c>
      <c r="E12" s="569">
        <f>-D12</f>
        <v>-5744224</v>
      </c>
      <c r="F12" s="569">
        <v>0</v>
      </c>
      <c r="G12" s="569">
        <v>-5743484</v>
      </c>
      <c r="H12" s="569">
        <v>5081264</v>
      </c>
      <c r="I12" s="569">
        <v>10824748</v>
      </c>
      <c r="J12" s="569">
        <v>0</v>
      </c>
      <c r="K12" s="569">
        <v>0</v>
      </c>
      <c r="L12" s="569">
        <v>0</v>
      </c>
    </row>
    <row r="13" spans="1:12" ht="12.75">
      <c r="A13" s="197" t="s">
        <v>752</v>
      </c>
      <c r="B13" s="569">
        <v>1543225</v>
      </c>
      <c r="C13" s="569">
        <v>1503566</v>
      </c>
      <c r="D13" s="569">
        <v>39659</v>
      </c>
      <c r="E13" s="569">
        <v>-39659</v>
      </c>
      <c r="F13" s="569">
        <v>0</v>
      </c>
      <c r="G13" s="569">
        <v>-39659</v>
      </c>
      <c r="H13" s="569">
        <v>74146</v>
      </c>
      <c r="I13" s="569">
        <v>113805</v>
      </c>
      <c r="J13" s="569">
        <v>0</v>
      </c>
      <c r="K13" s="569">
        <v>0</v>
      </c>
      <c r="L13" s="569">
        <v>0</v>
      </c>
    </row>
    <row r="14" spans="1:12" ht="12.75">
      <c r="A14" s="197" t="s">
        <v>753</v>
      </c>
      <c r="B14" s="569">
        <v>833740</v>
      </c>
      <c r="C14" s="569">
        <v>719698</v>
      </c>
      <c r="D14" s="569">
        <v>114042</v>
      </c>
      <c r="E14" s="569">
        <v>-114042</v>
      </c>
      <c r="F14" s="569">
        <v>0</v>
      </c>
      <c r="G14" s="569">
        <v>-114042</v>
      </c>
      <c r="H14" s="569">
        <v>103943</v>
      </c>
      <c r="I14" s="569">
        <v>217985</v>
      </c>
      <c r="J14" s="569">
        <v>0</v>
      </c>
      <c r="K14" s="569">
        <v>0</v>
      </c>
      <c r="L14" s="569">
        <v>0</v>
      </c>
    </row>
    <row r="15" spans="1:12" ht="12.75">
      <c r="A15" s="197" t="s">
        <v>754</v>
      </c>
      <c r="B15" s="569">
        <v>2176543</v>
      </c>
      <c r="C15" s="569">
        <v>2186638</v>
      </c>
      <c r="D15" s="569">
        <v>-10095</v>
      </c>
      <c r="E15" s="569">
        <v>10095</v>
      </c>
      <c r="F15" s="569">
        <v>0</v>
      </c>
      <c r="G15" s="569">
        <v>10095</v>
      </c>
      <c r="H15" s="569">
        <v>148982</v>
      </c>
      <c r="I15" s="569">
        <v>138887</v>
      </c>
      <c r="J15" s="569">
        <v>0</v>
      </c>
      <c r="K15" s="569">
        <v>0</v>
      </c>
      <c r="L15" s="569">
        <v>0</v>
      </c>
    </row>
    <row r="16" spans="1:12" ht="12.75">
      <c r="A16" s="197" t="s">
        <v>755</v>
      </c>
      <c r="B16" s="569">
        <v>1553795</v>
      </c>
      <c r="C16" s="569">
        <v>1189691</v>
      </c>
      <c r="D16" s="569">
        <v>364104</v>
      </c>
      <c r="E16" s="569">
        <v>-364104</v>
      </c>
      <c r="F16" s="569">
        <v>0</v>
      </c>
      <c r="G16" s="569">
        <v>-364104</v>
      </c>
      <c r="H16" s="569">
        <v>311894</v>
      </c>
      <c r="I16" s="569">
        <v>675998</v>
      </c>
      <c r="J16" s="569">
        <v>0</v>
      </c>
      <c r="K16" s="569">
        <v>0</v>
      </c>
      <c r="L16" s="569">
        <v>0</v>
      </c>
    </row>
    <row r="17" spans="1:12" ht="12.75">
      <c r="A17" s="197" t="s">
        <v>756</v>
      </c>
      <c r="B17" s="569">
        <v>327388</v>
      </c>
      <c r="C17" s="569">
        <v>307279</v>
      </c>
      <c r="D17" s="569">
        <v>20109</v>
      </c>
      <c r="E17" s="569">
        <v>-20109</v>
      </c>
      <c r="F17" s="569">
        <v>0</v>
      </c>
      <c r="G17" s="569">
        <v>-20109</v>
      </c>
      <c r="H17" s="569">
        <v>56674</v>
      </c>
      <c r="I17" s="569">
        <v>76783</v>
      </c>
      <c r="J17" s="569">
        <v>0</v>
      </c>
      <c r="K17" s="569">
        <v>0</v>
      </c>
      <c r="L17" s="569">
        <v>0</v>
      </c>
    </row>
    <row r="18" spans="1:12" ht="12.75">
      <c r="A18" s="197" t="s">
        <v>757</v>
      </c>
      <c r="B18" s="569">
        <v>7960911</v>
      </c>
      <c r="C18" s="569">
        <v>7343029</v>
      </c>
      <c r="D18" s="569">
        <v>617882</v>
      </c>
      <c r="E18" s="569">
        <v>-617882</v>
      </c>
      <c r="F18" s="569">
        <v>-405</v>
      </c>
      <c r="G18" s="569">
        <v>-617477</v>
      </c>
      <c r="H18" s="569">
        <v>1678980</v>
      </c>
      <c r="I18" s="569">
        <v>2296457</v>
      </c>
      <c r="J18" s="569">
        <v>0</v>
      </c>
      <c r="K18" s="569">
        <v>0</v>
      </c>
      <c r="L18" s="569">
        <v>0</v>
      </c>
    </row>
    <row r="19" spans="1:17" s="602" customFormat="1" ht="12.75">
      <c r="A19" s="381" t="s">
        <v>758</v>
      </c>
      <c r="B19" s="569">
        <f aca="true" t="shared" si="0" ref="B19:L19">SUM(B12:B18)</f>
        <v>34784826</v>
      </c>
      <c r="C19" s="569">
        <f t="shared" si="0"/>
        <v>27894901</v>
      </c>
      <c r="D19" s="569">
        <f t="shared" si="0"/>
        <v>6889925</v>
      </c>
      <c r="E19" s="569">
        <f t="shared" si="0"/>
        <v>-6889925</v>
      </c>
      <c r="F19" s="569">
        <f t="shared" si="0"/>
        <v>-405</v>
      </c>
      <c r="G19" s="569">
        <f t="shared" si="0"/>
        <v>-6888780</v>
      </c>
      <c r="H19" s="569">
        <f t="shared" si="0"/>
        <v>7455883</v>
      </c>
      <c r="I19" s="569">
        <f t="shared" si="0"/>
        <v>14344663</v>
      </c>
      <c r="J19" s="569">
        <f t="shared" si="0"/>
        <v>0</v>
      </c>
      <c r="K19" s="569">
        <f t="shared" si="0"/>
        <v>0</v>
      </c>
      <c r="L19" s="569">
        <f t="shared" si="0"/>
        <v>0</v>
      </c>
      <c r="M19"/>
      <c r="N19"/>
      <c r="O19"/>
      <c r="P19"/>
      <c r="Q19"/>
    </row>
    <row r="20" spans="1:12" ht="12.75">
      <c r="A20" s="197" t="s">
        <v>760</v>
      </c>
      <c r="B20" s="569">
        <v>489787</v>
      </c>
      <c r="C20" s="569">
        <v>468663</v>
      </c>
      <c r="D20" s="569">
        <v>21124</v>
      </c>
      <c r="E20" s="569">
        <v>-21124</v>
      </c>
      <c r="F20" s="569">
        <v>1850</v>
      </c>
      <c r="G20" s="569">
        <v>-22974</v>
      </c>
      <c r="H20" s="569">
        <v>114183</v>
      </c>
      <c r="I20" s="569">
        <v>137157</v>
      </c>
      <c r="J20" s="569">
        <v>0</v>
      </c>
      <c r="K20" s="569">
        <v>0</v>
      </c>
      <c r="L20" s="569">
        <v>0</v>
      </c>
    </row>
    <row r="21" spans="1:12" ht="12.75">
      <c r="A21" s="197" t="s">
        <v>761</v>
      </c>
      <c r="B21" s="569">
        <v>535796</v>
      </c>
      <c r="C21" s="569">
        <v>531440</v>
      </c>
      <c r="D21" s="569">
        <v>4356</v>
      </c>
      <c r="E21" s="569">
        <v>-4356</v>
      </c>
      <c r="F21" s="569">
        <v>-9000</v>
      </c>
      <c r="G21" s="569">
        <v>4644</v>
      </c>
      <c r="H21" s="569">
        <v>150094</v>
      </c>
      <c r="I21" s="569">
        <v>145450</v>
      </c>
      <c r="J21" s="569">
        <v>0</v>
      </c>
      <c r="K21" s="569">
        <v>0</v>
      </c>
      <c r="L21" s="569">
        <v>0</v>
      </c>
    </row>
    <row r="22" spans="1:12" ht="12.75">
      <c r="A22" s="197" t="s">
        <v>762</v>
      </c>
      <c r="B22" s="569">
        <v>481105</v>
      </c>
      <c r="C22" s="569">
        <v>466600</v>
      </c>
      <c r="D22" s="569">
        <v>14505</v>
      </c>
      <c r="E22" s="569">
        <v>-14505</v>
      </c>
      <c r="F22" s="569">
        <v>0</v>
      </c>
      <c r="G22" s="569">
        <v>-14505</v>
      </c>
      <c r="H22" s="569">
        <v>71508</v>
      </c>
      <c r="I22" s="569">
        <v>86013</v>
      </c>
      <c r="J22" s="569">
        <v>0</v>
      </c>
      <c r="K22" s="569">
        <v>0</v>
      </c>
      <c r="L22" s="569">
        <v>0</v>
      </c>
    </row>
    <row r="23" spans="1:12" ht="12.75">
      <c r="A23" s="197" t="s">
        <v>763</v>
      </c>
      <c r="B23" s="569">
        <v>789884</v>
      </c>
      <c r="C23" s="569">
        <v>694205</v>
      </c>
      <c r="D23" s="569">
        <v>95679</v>
      </c>
      <c r="E23" s="569">
        <v>-95679</v>
      </c>
      <c r="F23" s="569">
        <v>0</v>
      </c>
      <c r="G23" s="569">
        <v>-95679</v>
      </c>
      <c r="H23" s="569">
        <v>99663</v>
      </c>
      <c r="I23" s="569">
        <v>195342</v>
      </c>
      <c r="J23" s="569">
        <v>0</v>
      </c>
      <c r="K23" s="569">
        <v>0</v>
      </c>
      <c r="L23" s="569">
        <v>0</v>
      </c>
    </row>
    <row r="24" spans="1:12" ht="12.75">
      <c r="A24" s="197" t="s">
        <v>764</v>
      </c>
      <c r="B24" s="569">
        <v>1075093</v>
      </c>
      <c r="C24" s="569">
        <v>1028322</v>
      </c>
      <c r="D24" s="569">
        <v>46771</v>
      </c>
      <c r="E24" s="569">
        <v>-46771</v>
      </c>
      <c r="F24" s="569">
        <v>2250</v>
      </c>
      <c r="G24" s="569">
        <v>-49021</v>
      </c>
      <c r="H24" s="569">
        <v>125613</v>
      </c>
      <c r="I24" s="569">
        <v>174634</v>
      </c>
      <c r="J24" s="569">
        <v>0</v>
      </c>
      <c r="K24" s="569">
        <v>0</v>
      </c>
      <c r="L24" s="569">
        <v>0</v>
      </c>
    </row>
    <row r="25" spans="1:12" ht="12.75">
      <c r="A25" s="197" t="s">
        <v>765</v>
      </c>
      <c r="B25" s="569">
        <v>781002</v>
      </c>
      <c r="C25" s="569">
        <v>758283</v>
      </c>
      <c r="D25" s="569">
        <v>22719</v>
      </c>
      <c r="E25" s="569">
        <v>-22719</v>
      </c>
      <c r="F25" s="569">
        <v>0</v>
      </c>
      <c r="G25" s="569">
        <v>-22719</v>
      </c>
      <c r="H25" s="569">
        <v>79454</v>
      </c>
      <c r="I25" s="569">
        <v>102173</v>
      </c>
      <c r="J25" s="569">
        <v>0</v>
      </c>
      <c r="K25" s="569">
        <v>0</v>
      </c>
      <c r="L25" s="569">
        <v>0</v>
      </c>
    </row>
    <row r="26" spans="1:12" ht="12.75">
      <c r="A26" s="197" t="s">
        <v>766</v>
      </c>
      <c r="B26" s="569">
        <v>968203</v>
      </c>
      <c r="C26" s="569">
        <v>793848</v>
      </c>
      <c r="D26" s="569">
        <v>174355</v>
      </c>
      <c r="E26" s="569">
        <v>-174355</v>
      </c>
      <c r="F26" s="569">
        <v>0</v>
      </c>
      <c r="G26" s="569">
        <v>-174355</v>
      </c>
      <c r="H26" s="569">
        <v>60260</v>
      </c>
      <c r="I26" s="569">
        <v>234615</v>
      </c>
      <c r="J26" s="569">
        <v>0</v>
      </c>
      <c r="K26" s="569">
        <v>0</v>
      </c>
      <c r="L26" s="569">
        <v>0</v>
      </c>
    </row>
    <row r="27" spans="1:12" ht="12.75">
      <c r="A27" s="197" t="s">
        <v>767</v>
      </c>
      <c r="B27" s="569">
        <v>502553</v>
      </c>
      <c r="C27" s="569">
        <v>439984</v>
      </c>
      <c r="D27" s="569">
        <v>62569</v>
      </c>
      <c r="E27" s="569">
        <v>-62569</v>
      </c>
      <c r="F27" s="569">
        <v>4704</v>
      </c>
      <c r="G27" s="569">
        <v>-67273</v>
      </c>
      <c r="H27" s="569">
        <v>68808</v>
      </c>
      <c r="I27" s="569">
        <v>136081</v>
      </c>
      <c r="J27" s="569">
        <v>0</v>
      </c>
      <c r="K27" s="569">
        <v>0</v>
      </c>
      <c r="L27" s="569">
        <v>0</v>
      </c>
    </row>
    <row r="28" spans="1:12" ht="12.75">
      <c r="A28" s="197" t="s">
        <v>768</v>
      </c>
      <c r="B28" s="569">
        <v>943377</v>
      </c>
      <c r="C28" s="569">
        <v>888319</v>
      </c>
      <c r="D28" s="569">
        <v>55058</v>
      </c>
      <c r="E28" s="569">
        <v>-55058</v>
      </c>
      <c r="F28" s="569">
        <v>0</v>
      </c>
      <c r="G28" s="569">
        <v>-3380</v>
      </c>
      <c r="H28" s="569">
        <v>110754</v>
      </c>
      <c r="I28" s="569">
        <v>114134</v>
      </c>
      <c r="J28" s="569">
        <v>-51678</v>
      </c>
      <c r="K28" s="569">
        <v>0</v>
      </c>
      <c r="L28" s="569">
        <v>0</v>
      </c>
    </row>
    <row r="29" spans="1:12" ht="12.75">
      <c r="A29" s="197" t="s">
        <v>769</v>
      </c>
      <c r="B29" s="569">
        <v>1030669</v>
      </c>
      <c r="C29" s="569">
        <v>1004569</v>
      </c>
      <c r="D29" s="569">
        <v>26100</v>
      </c>
      <c r="E29" s="569">
        <v>-26100</v>
      </c>
      <c r="F29" s="569">
        <v>1400</v>
      </c>
      <c r="G29" s="569">
        <v>-27492</v>
      </c>
      <c r="H29" s="569">
        <v>101304</v>
      </c>
      <c r="I29" s="569">
        <v>128796</v>
      </c>
      <c r="J29" s="569">
        <v>0</v>
      </c>
      <c r="K29" s="569">
        <v>-8</v>
      </c>
      <c r="L29" s="569">
        <v>0</v>
      </c>
    </row>
    <row r="30" spans="1:12" ht="12.75">
      <c r="A30" s="197" t="s">
        <v>770</v>
      </c>
      <c r="B30" s="569">
        <v>763638</v>
      </c>
      <c r="C30" s="569">
        <v>723176</v>
      </c>
      <c r="D30" s="569">
        <v>40462</v>
      </c>
      <c r="E30" s="569">
        <v>-40462</v>
      </c>
      <c r="F30" s="569">
        <v>-5708</v>
      </c>
      <c r="G30" s="569">
        <v>-34754</v>
      </c>
      <c r="H30" s="569">
        <v>100139</v>
      </c>
      <c r="I30" s="569">
        <v>134893</v>
      </c>
      <c r="J30" s="569">
        <v>0</v>
      </c>
      <c r="K30" s="569">
        <v>0</v>
      </c>
      <c r="L30" s="569">
        <v>0</v>
      </c>
    </row>
    <row r="31" spans="1:12" ht="12.75">
      <c r="A31" s="197" t="s">
        <v>771</v>
      </c>
      <c r="B31" s="569">
        <v>1008508</v>
      </c>
      <c r="C31" s="569">
        <v>858253</v>
      </c>
      <c r="D31" s="569">
        <v>150255</v>
      </c>
      <c r="E31" s="569">
        <v>-150255</v>
      </c>
      <c r="F31" s="569">
        <v>4710</v>
      </c>
      <c r="G31" s="569">
        <v>-154965</v>
      </c>
      <c r="H31" s="569">
        <v>138343</v>
      </c>
      <c r="I31" s="569">
        <v>293308</v>
      </c>
      <c r="J31" s="569">
        <v>0</v>
      </c>
      <c r="K31" s="569">
        <v>0</v>
      </c>
      <c r="L31" s="569">
        <v>0</v>
      </c>
    </row>
    <row r="32" spans="1:12" ht="12.75">
      <c r="A32" s="197" t="s">
        <v>772</v>
      </c>
      <c r="B32" s="569">
        <v>1277848</v>
      </c>
      <c r="C32" s="569">
        <v>1226166</v>
      </c>
      <c r="D32" s="569">
        <v>51682</v>
      </c>
      <c r="E32" s="569">
        <v>-51682</v>
      </c>
      <c r="F32" s="569">
        <v>600</v>
      </c>
      <c r="G32" s="569">
        <v>-82010</v>
      </c>
      <c r="H32" s="569">
        <v>147994</v>
      </c>
      <c r="I32" s="569">
        <v>230004</v>
      </c>
      <c r="J32" s="569">
        <v>0</v>
      </c>
      <c r="K32" s="569">
        <v>29728</v>
      </c>
      <c r="L32" s="569">
        <v>0</v>
      </c>
    </row>
    <row r="33" spans="1:12" ht="12.75">
      <c r="A33" s="197" t="s">
        <v>773</v>
      </c>
      <c r="B33" s="569">
        <v>769112</v>
      </c>
      <c r="C33" s="569">
        <v>743450</v>
      </c>
      <c r="D33" s="569">
        <v>25662</v>
      </c>
      <c r="E33" s="569">
        <v>-25662</v>
      </c>
      <c r="F33" s="569">
        <v>-2000</v>
      </c>
      <c r="G33" s="569">
        <v>-23662</v>
      </c>
      <c r="H33" s="569">
        <v>125828</v>
      </c>
      <c r="I33" s="569">
        <v>149490</v>
      </c>
      <c r="J33" s="569">
        <v>0</v>
      </c>
      <c r="K33" s="569">
        <v>0</v>
      </c>
      <c r="L33" s="569">
        <v>0</v>
      </c>
    </row>
    <row r="34" spans="1:12" ht="12.75">
      <c r="A34" s="197" t="s">
        <v>774</v>
      </c>
      <c r="B34" s="569">
        <v>568067</v>
      </c>
      <c r="C34" s="569">
        <v>563300</v>
      </c>
      <c r="D34" s="569">
        <v>4767</v>
      </c>
      <c r="E34" s="569">
        <v>-4767</v>
      </c>
      <c r="F34" s="569">
        <v>-19740</v>
      </c>
      <c r="G34" s="569">
        <v>14973</v>
      </c>
      <c r="H34" s="569">
        <v>151361</v>
      </c>
      <c r="I34" s="569">
        <v>136388</v>
      </c>
      <c r="J34" s="569">
        <v>0</v>
      </c>
      <c r="K34" s="569">
        <v>0</v>
      </c>
      <c r="L34" s="569">
        <v>0</v>
      </c>
    </row>
    <row r="35" spans="1:12" ht="12.75">
      <c r="A35" s="197" t="s">
        <v>775</v>
      </c>
      <c r="B35" s="569">
        <v>735993</v>
      </c>
      <c r="C35" s="569">
        <v>748880</v>
      </c>
      <c r="D35" s="569">
        <v>-12887</v>
      </c>
      <c r="E35" s="569">
        <v>12887</v>
      </c>
      <c r="F35" s="569">
        <v>-2900</v>
      </c>
      <c r="G35" s="569">
        <v>15787</v>
      </c>
      <c r="H35" s="569">
        <v>150132</v>
      </c>
      <c r="I35" s="569">
        <v>134345</v>
      </c>
      <c r="J35" s="569">
        <v>0</v>
      </c>
      <c r="K35" s="569">
        <v>0</v>
      </c>
      <c r="L35" s="569">
        <v>0</v>
      </c>
    </row>
    <row r="36" spans="1:12" ht="12.75">
      <c r="A36" s="197" t="s">
        <v>776</v>
      </c>
      <c r="B36" s="569">
        <v>861084</v>
      </c>
      <c r="C36" s="569">
        <v>839446</v>
      </c>
      <c r="D36" s="569">
        <v>21638</v>
      </c>
      <c r="E36" s="569">
        <v>-21638</v>
      </c>
      <c r="F36" s="569">
        <v>0</v>
      </c>
      <c r="G36" s="569">
        <v>-31748</v>
      </c>
      <c r="H36" s="569">
        <v>191208</v>
      </c>
      <c r="I36" s="569">
        <v>222956</v>
      </c>
      <c r="J36" s="569">
        <v>0</v>
      </c>
      <c r="K36" s="569">
        <v>10110</v>
      </c>
      <c r="L36" s="569">
        <v>0</v>
      </c>
    </row>
    <row r="37" spans="1:12" ht="12.75">
      <c r="A37" s="197" t="s">
        <v>777</v>
      </c>
      <c r="B37" s="569">
        <v>1272918</v>
      </c>
      <c r="C37" s="569">
        <v>1232615</v>
      </c>
      <c r="D37" s="569">
        <v>40303</v>
      </c>
      <c r="E37" s="569">
        <v>-40303</v>
      </c>
      <c r="F37" s="569">
        <v>91649</v>
      </c>
      <c r="G37" s="569">
        <v>-131952</v>
      </c>
      <c r="H37" s="569">
        <v>75076</v>
      </c>
      <c r="I37" s="569">
        <v>207028</v>
      </c>
      <c r="J37" s="569">
        <v>0</v>
      </c>
      <c r="K37" s="569">
        <v>0</v>
      </c>
      <c r="L37" s="569">
        <v>0</v>
      </c>
    </row>
    <row r="38" spans="1:12" ht="12.75">
      <c r="A38" s="197" t="s">
        <v>778</v>
      </c>
      <c r="B38" s="569">
        <v>706076</v>
      </c>
      <c r="C38" s="569">
        <v>700538</v>
      </c>
      <c r="D38" s="569">
        <v>5538</v>
      </c>
      <c r="E38" s="569">
        <v>-5538</v>
      </c>
      <c r="F38" s="569">
        <v>0</v>
      </c>
      <c r="G38" s="569">
        <v>-5538</v>
      </c>
      <c r="H38" s="569">
        <v>125828</v>
      </c>
      <c r="I38" s="569">
        <v>131366</v>
      </c>
      <c r="J38" s="569">
        <v>0</v>
      </c>
      <c r="K38" s="569">
        <v>0</v>
      </c>
      <c r="L38" s="569">
        <v>0</v>
      </c>
    </row>
    <row r="39" spans="1:12" ht="12.75">
      <c r="A39" s="197" t="s">
        <v>779</v>
      </c>
      <c r="B39" s="569">
        <v>1990305</v>
      </c>
      <c r="C39" s="569">
        <v>1969502</v>
      </c>
      <c r="D39" s="569">
        <v>20803</v>
      </c>
      <c r="E39" s="569">
        <v>-20803</v>
      </c>
      <c r="F39" s="569">
        <v>0</v>
      </c>
      <c r="G39" s="569">
        <v>-20803</v>
      </c>
      <c r="H39" s="569">
        <v>364045</v>
      </c>
      <c r="I39" s="569">
        <v>384848</v>
      </c>
      <c r="J39" s="569">
        <v>0</v>
      </c>
      <c r="K39" s="569">
        <v>0</v>
      </c>
      <c r="L39" s="569">
        <v>0</v>
      </c>
    </row>
    <row r="40" spans="1:12" ht="12.75">
      <c r="A40" s="197" t="s">
        <v>780</v>
      </c>
      <c r="B40" s="569">
        <v>515936</v>
      </c>
      <c r="C40" s="569">
        <v>557443</v>
      </c>
      <c r="D40" s="569">
        <v>-41507</v>
      </c>
      <c r="E40" s="569">
        <v>41507</v>
      </c>
      <c r="F40" s="569">
        <v>4500</v>
      </c>
      <c r="G40" s="569">
        <v>37007</v>
      </c>
      <c r="H40" s="569">
        <v>193711</v>
      </c>
      <c r="I40" s="569">
        <v>156704</v>
      </c>
      <c r="J40" s="569">
        <v>0</v>
      </c>
      <c r="K40" s="569">
        <v>0</v>
      </c>
      <c r="L40" s="569">
        <v>0</v>
      </c>
    </row>
    <row r="41" spans="1:12" ht="12.75">
      <c r="A41" s="197" t="s">
        <v>0</v>
      </c>
      <c r="B41" s="569">
        <v>831782</v>
      </c>
      <c r="C41" s="569">
        <v>645320</v>
      </c>
      <c r="D41" s="569">
        <v>186462</v>
      </c>
      <c r="E41" s="569">
        <v>-186462</v>
      </c>
      <c r="F41" s="569">
        <v>0</v>
      </c>
      <c r="G41" s="569">
        <v>-186462</v>
      </c>
      <c r="H41" s="569">
        <v>180663</v>
      </c>
      <c r="I41" s="569">
        <v>367125</v>
      </c>
      <c r="J41" s="569">
        <v>0</v>
      </c>
      <c r="K41" s="569">
        <v>0</v>
      </c>
      <c r="L41" s="569">
        <v>0</v>
      </c>
    </row>
    <row r="42" spans="1:12" ht="12.75">
      <c r="A42" s="197" t="s">
        <v>1</v>
      </c>
      <c r="B42" s="569">
        <v>1092797</v>
      </c>
      <c r="C42" s="569">
        <v>960707</v>
      </c>
      <c r="D42" s="569">
        <v>132090</v>
      </c>
      <c r="E42" s="569">
        <v>-132090</v>
      </c>
      <c r="F42" s="569">
        <v>-967</v>
      </c>
      <c r="G42" s="569">
        <v>-131123</v>
      </c>
      <c r="H42" s="569">
        <v>329438</v>
      </c>
      <c r="I42" s="569">
        <v>460561</v>
      </c>
      <c r="J42" s="569">
        <v>0</v>
      </c>
      <c r="K42" s="569">
        <v>0</v>
      </c>
      <c r="L42" s="569">
        <v>0</v>
      </c>
    </row>
    <row r="43" spans="1:12" ht="12.75">
      <c r="A43" s="197" t="s">
        <v>2</v>
      </c>
      <c r="B43" s="569">
        <v>462596</v>
      </c>
      <c r="C43" s="569">
        <v>466071</v>
      </c>
      <c r="D43" s="569">
        <v>-3475</v>
      </c>
      <c r="E43" s="569">
        <v>3475</v>
      </c>
      <c r="F43" s="569">
        <v>-945</v>
      </c>
      <c r="G43" s="569">
        <v>4420</v>
      </c>
      <c r="H43" s="569">
        <v>93591</v>
      </c>
      <c r="I43" s="569">
        <v>89171</v>
      </c>
      <c r="J43" s="569">
        <v>0</v>
      </c>
      <c r="K43" s="569">
        <v>0</v>
      </c>
      <c r="L43" s="569">
        <v>0</v>
      </c>
    </row>
    <row r="44" spans="1:12" ht="12.75">
      <c r="A44" s="197" t="s">
        <v>3</v>
      </c>
      <c r="B44" s="569">
        <v>821422</v>
      </c>
      <c r="C44" s="569">
        <v>735472</v>
      </c>
      <c r="D44" s="569">
        <v>85950</v>
      </c>
      <c r="E44" s="569">
        <v>-85950</v>
      </c>
      <c r="F44" s="569">
        <v>0</v>
      </c>
      <c r="G44" s="569">
        <v>-85950</v>
      </c>
      <c r="H44" s="569">
        <v>158959</v>
      </c>
      <c r="I44" s="569">
        <v>244909</v>
      </c>
      <c r="J44" s="569">
        <v>0</v>
      </c>
      <c r="K44" s="569">
        <v>0</v>
      </c>
      <c r="L44" s="569">
        <v>0</v>
      </c>
    </row>
    <row r="45" spans="1:12" ht="12.75">
      <c r="A45" s="197" t="s">
        <v>4</v>
      </c>
      <c r="B45" s="569">
        <v>431326</v>
      </c>
      <c r="C45" s="569">
        <v>422076</v>
      </c>
      <c r="D45" s="569">
        <v>9250</v>
      </c>
      <c r="E45" s="569">
        <v>-9250</v>
      </c>
      <c r="F45" s="569">
        <v>0</v>
      </c>
      <c r="G45" s="569">
        <v>-9250</v>
      </c>
      <c r="H45" s="569">
        <v>142100</v>
      </c>
      <c r="I45" s="569">
        <v>151350</v>
      </c>
      <c r="J45" s="569">
        <v>0</v>
      </c>
      <c r="K45" s="569">
        <v>0</v>
      </c>
      <c r="L45" s="569">
        <v>0</v>
      </c>
    </row>
    <row r="46" spans="1:12" ht="12.75">
      <c r="A46" s="381" t="s">
        <v>5</v>
      </c>
      <c r="B46" s="569">
        <f aca="true" t="shared" si="1" ref="B46:L46">SUM(B20:B45)</f>
        <v>21706877</v>
      </c>
      <c r="C46" s="569">
        <f t="shared" si="1"/>
        <v>20466648</v>
      </c>
      <c r="D46" s="569">
        <f t="shared" si="1"/>
        <v>1240229</v>
      </c>
      <c r="E46" s="569">
        <f t="shared" si="1"/>
        <v>-1240229</v>
      </c>
      <c r="F46" s="569">
        <f t="shared" si="1"/>
        <v>70403</v>
      </c>
      <c r="G46" s="569">
        <f t="shared" si="1"/>
        <v>-1298784</v>
      </c>
      <c r="H46" s="569">
        <f t="shared" si="1"/>
        <v>3650057</v>
      </c>
      <c r="I46" s="569">
        <f t="shared" si="1"/>
        <v>4948841</v>
      </c>
      <c r="J46" s="569">
        <f t="shared" si="1"/>
        <v>-51678</v>
      </c>
      <c r="K46" s="569">
        <f t="shared" si="1"/>
        <v>39830</v>
      </c>
      <c r="L46" s="569">
        <f t="shared" si="1"/>
        <v>0</v>
      </c>
    </row>
    <row r="47" spans="1:12" ht="12.75">
      <c r="A47" s="381" t="s">
        <v>6</v>
      </c>
      <c r="B47" s="569">
        <f>SUM(B46,B19)</f>
        <v>56491703</v>
      </c>
      <c r="C47" s="569">
        <f>SUM(C46,C19)-1</f>
        <v>48361548</v>
      </c>
      <c r="D47" s="569">
        <f>SUM(D46,D19)+1</f>
        <v>8130155</v>
      </c>
      <c r="E47" s="569">
        <f aca="true" t="shared" si="2" ref="E47:L47">SUM(E46,E19)</f>
        <v>-8130154</v>
      </c>
      <c r="F47" s="569">
        <f t="shared" si="2"/>
        <v>69998</v>
      </c>
      <c r="G47" s="569">
        <f t="shared" si="2"/>
        <v>-8187564</v>
      </c>
      <c r="H47" s="569">
        <f t="shared" si="2"/>
        <v>11105940</v>
      </c>
      <c r="I47" s="569">
        <f t="shared" si="2"/>
        <v>19293504</v>
      </c>
      <c r="J47" s="569">
        <f t="shared" si="2"/>
        <v>-51678</v>
      </c>
      <c r="K47" s="569">
        <f t="shared" si="2"/>
        <v>39830</v>
      </c>
      <c r="L47" s="569">
        <f t="shared" si="2"/>
        <v>0</v>
      </c>
    </row>
    <row r="48" spans="1:12" ht="12.75">
      <c r="A48" s="603"/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</row>
    <row r="49" spans="1:17" s="572" customFormat="1" ht="12.75">
      <c r="A49" s="570" t="s">
        <v>24</v>
      </c>
      <c r="M49"/>
      <c r="N49"/>
      <c r="O49"/>
      <c r="P49"/>
      <c r="Q49"/>
    </row>
    <row r="54" spans="1:17" s="2" customFormat="1" ht="11.25" customHeight="1">
      <c r="A54" s="585" t="s">
        <v>659</v>
      </c>
      <c r="C54" s="605"/>
      <c r="D54" s="605"/>
      <c r="E54" s="605"/>
      <c r="F54" s="605"/>
      <c r="G54" s="605"/>
      <c r="K54" s="2" t="s">
        <v>620</v>
      </c>
      <c r="M54"/>
      <c r="N54"/>
      <c r="O54"/>
      <c r="P54"/>
      <c r="Q54"/>
    </row>
    <row r="55" spans="1:17" s="572" customFormat="1" ht="12.75">
      <c r="A55" s="1"/>
      <c r="B55" s="509"/>
      <c r="C55" s="2"/>
      <c r="D55" s="509"/>
      <c r="E55" s="509"/>
      <c r="F55" s="509"/>
      <c r="G55" s="2"/>
      <c r="H55" s="580"/>
      <c r="I55" s="509"/>
      <c r="J55" s="509"/>
      <c r="K55" s="509"/>
      <c r="L55" s="509"/>
      <c r="M55"/>
      <c r="N55"/>
      <c r="O55"/>
      <c r="P55"/>
      <c r="Q55"/>
    </row>
    <row r="56" spans="1:17" s="459" customFormat="1" ht="12.75">
      <c r="A56" s="475"/>
      <c r="B56" s="606"/>
      <c r="C56" s="455"/>
      <c r="D56" s="607"/>
      <c r="E56" s="455"/>
      <c r="F56" s="607"/>
      <c r="G56" s="607"/>
      <c r="H56" s="455"/>
      <c r="M56"/>
      <c r="N56"/>
      <c r="O56"/>
      <c r="P56"/>
      <c r="Q56"/>
    </row>
    <row r="57" spans="1:17" s="584" customFormat="1" ht="12.75">
      <c r="A57" s="574"/>
      <c r="B57" s="608"/>
      <c r="C57" s="455"/>
      <c r="D57" s="75"/>
      <c r="E57" s="75"/>
      <c r="G57" s="582"/>
      <c r="I57" s="572"/>
      <c r="M57"/>
      <c r="N57"/>
      <c r="O57"/>
      <c r="P57"/>
      <c r="Q57"/>
    </row>
    <row r="58" spans="1:17" s="572" customFormat="1" ht="12.75">
      <c r="A58" s="1"/>
      <c r="B58" s="509"/>
      <c r="C58" s="2"/>
      <c r="D58" s="509"/>
      <c r="E58" s="509"/>
      <c r="F58" s="509"/>
      <c r="G58" s="2"/>
      <c r="H58" s="580"/>
      <c r="I58" s="509"/>
      <c r="J58" s="509"/>
      <c r="K58" s="509"/>
      <c r="L58" s="509"/>
      <c r="M58"/>
      <c r="N58"/>
      <c r="O58"/>
      <c r="P58"/>
      <c r="Q58"/>
    </row>
    <row r="59" spans="1:17" s="584" customFormat="1" ht="12.75">
      <c r="A59" s="581"/>
      <c r="M59"/>
      <c r="N59"/>
      <c r="O59"/>
      <c r="P59"/>
      <c r="Q59"/>
    </row>
    <row r="60" spans="1:17" s="584" customFormat="1" ht="12.75">
      <c r="A60" s="581"/>
      <c r="B60" s="455"/>
      <c r="C60" s="455"/>
      <c r="D60" s="455"/>
      <c r="E60" s="455"/>
      <c r="F60" s="455"/>
      <c r="M60"/>
      <c r="N60"/>
      <c r="O60"/>
      <c r="P60"/>
      <c r="Q60"/>
    </row>
    <row r="67" ht="12.75">
      <c r="A67" s="27" t="s">
        <v>621</v>
      </c>
    </row>
    <row r="68" spans="1:17" s="27" customFormat="1" ht="12.75">
      <c r="A68" s="454" t="s">
        <v>100</v>
      </c>
      <c r="M68"/>
      <c r="N68"/>
      <c r="O68"/>
      <c r="P68"/>
      <c r="Q68"/>
    </row>
    <row r="69" ht="12.75">
      <c r="A69" s="453"/>
    </row>
  </sheetData>
  <printOptions/>
  <pageMargins left="0.5" right="0.17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81"/>
  <sheetViews>
    <sheetView workbookViewId="0" topLeftCell="F1">
      <selection activeCell="F3" sqref="F3"/>
    </sheetView>
  </sheetViews>
  <sheetFormatPr defaultColWidth="9.140625" defaultRowHeight="12.75"/>
  <cols>
    <col min="1" max="1" width="47.421875" style="43" hidden="1" customWidth="1"/>
    <col min="2" max="2" width="13.28125" style="44" hidden="1" customWidth="1"/>
    <col min="3" max="3" width="12.7109375" style="43" hidden="1" customWidth="1"/>
    <col min="4" max="4" width="7.57421875" style="43" hidden="1" customWidth="1"/>
    <col min="5" max="5" width="3.28125" style="43" customWidth="1"/>
    <col min="6" max="6" width="50.0039062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9.421875" style="0" customWidth="1"/>
    <col min="11" max="12" width="0" style="0" hidden="1" customWidth="1"/>
    <col min="207" max="16384" width="9.140625" style="43" customWidth="1"/>
  </cols>
  <sheetData>
    <row r="1" spans="5:10" ht="12.75">
      <c r="E1" s="43" t="s">
        <v>101</v>
      </c>
      <c r="F1" s="43"/>
      <c r="G1" s="44"/>
      <c r="H1" s="43"/>
      <c r="I1" s="43"/>
      <c r="J1" s="43" t="s">
        <v>101</v>
      </c>
    </row>
    <row r="2" spans="1:10" ht="18" customHeight="1">
      <c r="A2" s="32" t="s">
        <v>102</v>
      </c>
      <c r="B2" s="45"/>
      <c r="C2" s="32"/>
      <c r="D2" s="32"/>
      <c r="E2" s="32"/>
      <c r="F2" s="32" t="s">
        <v>102</v>
      </c>
      <c r="G2" s="45"/>
      <c r="H2" s="32"/>
      <c r="I2" s="32"/>
      <c r="J2" s="32"/>
    </row>
    <row r="3" spans="6:10" ht="20.25" customHeight="1">
      <c r="F3" s="43"/>
      <c r="G3" s="44"/>
      <c r="H3" s="43"/>
      <c r="I3" s="43"/>
      <c r="J3" s="43"/>
    </row>
    <row r="4" spans="1:10" ht="18.75" customHeight="1">
      <c r="A4" s="644" t="s">
        <v>103</v>
      </c>
      <c r="B4" s="644"/>
      <c r="C4" s="644"/>
      <c r="D4" s="644"/>
      <c r="E4" s="644"/>
      <c r="F4" s="644" t="s">
        <v>104</v>
      </c>
      <c r="G4" s="644"/>
      <c r="H4" s="644"/>
      <c r="I4" s="644"/>
      <c r="J4" s="644"/>
    </row>
    <row r="5" spans="1:10" ht="18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5.75" customHeight="1">
      <c r="A6" s="47"/>
      <c r="B6" s="45"/>
      <c r="C6" s="32"/>
      <c r="D6" s="39"/>
      <c r="E6" s="39"/>
      <c r="F6" s="47"/>
      <c r="G6" s="45"/>
      <c r="H6" s="32"/>
      <c r="I6" s="39"/>
      <c r="J6" s="39" t="s">
        <v>105</v>
      </c>
    </row>
    <row r="7" spans="1:10" ht="56.25" customHeight="1">
      <c r="A7" s="5" t="s">
        <v>59</v>
      </c>
      <c r="B7" s="48" t="s">
        <v>106</v>
      </c>
      <c r="C7" s="5" t="s">
        <v>107</v>
      </c>
      <c r="D7" s="5" t="s">
        <v>108</v>
      </c>
      <c r="E7" s="5" t="s">
        <v>109</v>
      </c>
      <c r="F7" s="5" t="s">
        <v>59</v>
      </c>
      <c r="G7" s="48" t="s">
        <v>106</v>
      </c>
      <c r="H7" s="5" t="s">
        <v>107</v>
      </c>
      <c r="I7" s="5" t="s">
        <v>108</v>
      </c>
      <c r="J7" s="5" t="s">
        <v>110</v>
      </c>
    </row>
    <row r="8" spans="1:10" ht="12.75">
      <c r="A8" s="5">
        <v>1</v>
      </c>
      <c r="B8" s="48">
        <v>2</v>
      </c>
      <c r="C8" s="5">
        <v>3</v>
      </c>
      <c r="D8" s="5">
        <v>4</v>
      </c>
      <c r="E8" s="5">
        <v>5</v>
      </c>
      <c r="F8" s="5">
        <v>1</v>
      </c>
      <c r="G8" s="48">
        <v>2</v>
      </c>
      <c r="H8" s="5">
        <v>3</v>
      </c>
      <c r="I8" s="5">
        <v>4</v>
      </c>
      <c r="J8" s="5">
        <v>5</v>
      </c>
    </row>
    <row r="9" spans="1:10" ht="25.5" customHeight="1">
      <c r="A9" s="26" t="s">
        <v>111</v>
      </c>
      <c r="B9" s="49">
        <f>SUM(B23,B32)</f>
        <v>1373743104</v>
      </c>
      <c r="C9" s="49">
        <f>SUM(C23,C32)</f>
        <v>0</v>
      </c>
      <c r="D9" s="50">
        <f>IF(ISERROR(C9/B9)," ",(C9/B9))</f>
        <v>0</v>
      </c>
      <c r="E9" s="49">
        <f>C9</f>
        <v>0</v>
      </c>
      <c r="F9" s="26" t="s">
        <v>111</v>
      </c>
      <c r="G9" s="51">
        <f>SUM(G23,G32)</f>
        <v>1335185</v>
      </c>
      <c r="H9" s="51">
        <f>SUM(H23,H32)</f>
        <v>1299867</v>
      </c>
      <c r="I9" s="52">
        <f>IF(ISERROR(H9/G9)," ",(H9/G9))*100</f>
        <v>97.35482348887982</v>
      </c>
      <c r="J9" s="51">
        <f>H9-'[2]Novembris'!H9</f>
        <v>120473</v>
      </c>
    </row>
    <row r="10" spans="1:10" ht="25.5" customHeight="1">
      <c r="A10" s="53" t="s">
        <v>112</v>
      </c>
      <c r="B10" s="49">
        <f>SUM(B11,B19,B20,B21)</f>
        <v>737531269</v>
      </c>
      <c r="C10" s="49">
        <f>SUM(C11,C19,C20)</f>
        <v>0</v>
      </c>
      <c r="D10" s="50">
        <f aca="true" t="shared" si="0" ref="D10:D69">IF(ISERROR(C10/B10)," ",(C10/B10))</f>
        <v>0</v>
      </c>
      <c r="E10" s="49">
        <f aca="true" t="shared" si="1" ref="E10:E69">C10</f>
        <v>0</v>
      </c>
      <c r="F10" s="53" t="s">
        <v>112</v>
      </c>
      <c r="G10" s="51">
        <f>SUM(G11,G19,G20,G21)</f>
        <v>706682</v>
      </c>
      <c r="H10" s="51">
        <f>SUM(H11,H19,H20,H21)</f>
        <v>681441</v>
      </c>
      <c r="I10" s="52">
        <f>IF(ISERROR(H10/G10)," ",(H10/G10))*100</f>
        <v>96.42823787785737</v>
      </c>
      <c r="J10" s="51">
        <f>H10-'[2]Novembris'!H10</f>
        <v>62696</v>
      </c>
    </row>
    <row r="11" spans="1:10" ht="19.5" customHeight="1">
      <c r="A11" s="54" t="s">
        <v>113</v>
      </c>
      <c r="B11" s="55">
        <f>SUM(B12,B14,B18)</f>
        <v>587500000</v>
      </c>
      <c r="C11" s="55">
        <f>SUM(C12,C14,C18)</f>
        <v>0</v>
      </c>
      <c r="D11" s="56">
        <f t="shared" si="0"/>
        <v>0</v>
      </c>
      <c r="E11" s="49">
        <f t="shared" si="1"/>
        <v>0</v>
      </c>
      <c r="F11" s="54" t="s">
        <v>113</v>
      </c>
      <c r="G11" s="57">
        <f>SUM(G12,G14,G18)</f>
        <v>552794</v>
      </c>
      <c r="H11" s="57">
        <f>SUM(H12,H14,H18)</f>
        <v>543646</v>
      </c>
      <c r="I11" s="58">
        <f aca="true" t="shared" si="2" ref="I11:I72">IF(ISERROR(H11/G11)," ",(H11/G11))*100</f>
        <v>98.34513399204768</v>
      </c>
      <c r="J11" s="57">
        <f>H11-'[2]Novembris'!H11</f>
        <v>44458</v>
      </c>
    </row>
    <row r="12" spans="1:10" ht="15.75" customHeight="1">
      <c r="A12" s="59" t="s">
        <v>114</v>
      </c>
      <c r="B12" s="55">
        <f>SUM(B13)</f>
        <v>95100000</v>
      </c>
      <c r="C12" s="55">
        <f>SUM(C13)</f>
        <v>0</v>
      </c>
      <c r="D12" s="56">
        <f t="shared" si="0"/>
        <v>0</v>
      </c>
      <c r="E12" s="49">
        <f t="shared" si="1"/>
        <v>0</v>
      </c>
      <c r="F12" s="59" t="s">
        <v>114</v>
      </c>
      <c r="G12" s="55">
        <f>SUM(G13)</f>
        <v>74655</v>
      </c>
      <c r="H12" s="55">
        <f>SUM(H13)</f>
        <v>73721</v>
      </c>
      <c r="I12" s="58">
        <f t="shared" si="2"/>
        <v>98.74891166030406</v>
      </c>
      <c r="J12" s="55">
        <f>H12-'[2]Novembris'!H12</f>
        <v>6630</v>
      </c>
    </row>
    <row r="13" spans="1:10" ht="15.75" customHeight="1">
      <c r="A13" s="60" t="s">
        <v>115</v>
      </c>
      <c r="B13" s="55">
        <v>95100000</v>
      </c>
      <c r="C13" s="55"/>
      <c r="D13" s="56">
        <f t="shared" si="0"/>
        <v>0</v>
      </c>
      <c r="E13" s="49">
        <f t="shared" si="1"/>
        <v>0</v>
      </c>
      <c r="F13" s="60" t="s">
        <v>115</v>
      </c>
      <c r="G13" s="57">
        <v>74655</v>
      </c>
      <c r="H13" s="57">
        <v>73721</v>
      </c>
      <c r="I13" s="58">
        <f t="shared" si="2"/>
        <v>98.74891166030406</v>
      </c>
      <c r="J13" s="57">
        <f>H13-'[2]Novembris'!H13</f>
        <v>6630</v>
      </c>
    </row>
    <row r="14" spans="1:10" ht="16.5" customHeight="1">
      <c r="A14" s="59" t="s">
        <v>116</v>
      </c>
      <c r="B14" s="55">
        <f>SUM(B15:B17)</f>
        <v>492400000</v>
      </c>
      <c r="C14" s="55">
        <f>SUM(C15:C17)</f>
        <v>0</v>
      </c>
      <c r="D14" s="56">
        <f t="shared" si="0"/>
        <v>0</v>
      </c>
      <c r="E14" s="49">
        <f t="shared" si="1"/>
        <v>0</v>
      </c>
      <c r="F14" s="59" t="s">
        <v>116</v>
      </c>
      <c r="G14" s="55">
        <f>SUM(G15:G17)</f>
        <v>478139</v>
      </c>
      <c r="H14" s="55">
        <f>SUM(H15:H17)</f>
        <v>469950</v>
      </c>
      <c r="I14" s="58">
        <f t="shared" si="2"/>
        <v>98.28731812297261</v>
      </c>
      <c r="J14" s="55">
        <f>H14-'[2]Novembris'!H14</f>
        <v>40062</v>
      </c>
    </row>
    <row r="15" spans="1:10" ht="17.25" customHeight="1">
      <c r="A15" s="61" t="s">
        <v>117</v>
      </c>
      <c r="B15" s="55">
        <v>346096000</v>
      </c>
      <c r="C15" s="55"/>
      <c r="D15" s="56">
        <f t="shared" si="0"/>
        <v>0</v>
      </c>
      <c r="E15" s="49">
        <f t="shared" si="1"/>
        <v>0</v>
      </c>
      <c r="F15" s="61" t="s">
        <v>117</v>
      </c>
      <c r="G15" s="57">
        <v>346760</v>
      </c>
      <c r="H15" s="57">
        <v>337867</v>
      </c>
      <c r="I15" s="58">
        <f t="shared" si="2"/>
        <v>97.43540200715192</v>
      </c>
      <c r="J15" s="57">
        <f>H15-'[2]Novembris'!H15</f>
        <v>28542</v>
      </c>
    </row>
    <row r="16" spans="1:10" ht="17.25" customHeight="1">
      <c r="A16" s="60" t="s">
        <v>118</v>
      </c>
      <c r="B16" s="55">
        <v>133504000</v>
      </c>
      <c r="C16" s="55"/>
      <c r="D16" s="56">
        <f t="shared" si="0"/>
        <v>0</v>
      </c>
      <c r="E16" s="49">
        <f t="shared" si="1"/>
        <v>0</v>
      </c>
      <c r="F16" s="60" t="s">
        <v>118</v>
      </c>
      <c r="G16" s="57">
        <v>117579</v>
      </c>
      <c r="H16" s="57">
        <v>117668</v>
      </c>
      <c r="I16" s="58">
        <f t="shared" si="2"/>
        <v>100.07569378885685</v>
      </c>
      <c r="J16" s="57">
        <f>H16-'[2]Novembris'!H16</f>
        <v>10200</v>
      </c>
    </row>
    <row r="17" spans="1:10" ht="16.5" customHeight="1">
      <c r="A17" s="60" t="s">
        <v>119</v>
      </c>
      <c r="B17" s="55">
        <v>12800000</v>
      </c>
      <c r="C17" s="55"/>
      <c r="D17" s="56">
        <f t="shared" si="0"/>
        <v>0</v>
      </c>
      <c r="E17" s="49">
        <f t="shared" si="1"/>
        <v>0</v>
      </c>
      <c r="F17" s="60" t="s">
        <v>119</v>
      </c>
      <c r="G17" s="57">
        <v>13800</v>
      </c>
      <c r="H17" s="57">
        <v>14415</v>
      </c>
      <c r="I17" s="58">
        <f t="shared" si="2"/>
        <v>104.45652173913042</v>
      </c>
      <c r="J17" s="57">
        <f>H17-'[2]Novembris'!H17</f>
        <v>1320</v>
      </c>
    </row>
    <row r="18" spans="1:10" ht="12.75">
      <c r="A18" s="59" t="s">
        <v>120</v>
      </c>
      <c r="B18" s="55"/>
      <c r="C18" s="55"/>
      <c r="D18" s="56" t="str">
        <f t="shared" si="0"/>
        <v> </v>
      </c>
      <c r="E18" s="49">
        <f t="shared" si="1"/>
        <v>0</v>
      </c>
      <c r="F18" s="59" t="s">
        <v>120</v>
      </c>
      <c r="G18" s="55">
        <f>ROUND(B18/1000,0)</f>
        <v>0</v>
      </c>
      <c r="H18" s="55">
        <v>-25</v>
      </c>
      <c r="I18" s="58"/>
      <c r="J18" s="55">
        <f>H18-'[2]Novembris'!H18</f>
        <v>-2234</v>
      </c>
    </row>
    <row r="19" spans="1:10" ht="13.5" customHeight="1">
      <c r="A19" s="54" t="s">
        <v>121</v>
      </c>
      <c r="B19" s="55">
        <v>59128087</v>
      </c>
      <c r="C19" s="55"/>
      <c r="D19" s="56">
        <f t="shared" si="0"/>
        <v>0</v>
      </c>
      <c r="E19" s="49">
        <f t="shared" si="1"/>
        <v>0</v>
      </c>
      <c r="F19" s="54" t="s">
        <v>121</v>
      </c>
      <c r="G19" s="57">
        <v>61141</v>
      </c>
      <c r="H19" s="57">
        <v>64377</v>
      </c>
      <c r="I19" s="58">
        <f t="shared" si="2"/>
        <v>105.29268412358319</v>
      </c>
      <c r="J19" s="57">
        <f>H19-'[2]Novembris'!H19</f>
        <v>5439</v>
      </c>
    </row>
    <row r="20" spans="1:10" ht="13.5" customHeight="1">
      <c r="A20" s="62" t="s">
        <v>122</v>
      </c>
      <c r="B20" s="55">
        <v>59260125</v>
      </c>
      <c r="C20" s="55"/>
      <c r="D20" s="56">
        <f t="shared" si="0"/>
        <v>0</v>
      </c>
      <c r="E20" s="49">
        <f t="shared" si="1"/>
        <v>0</v>
      </c>
      <c r="F20" s="62" t="s">
        <v>122</v>
      </c>
      <c r="G20" s="57">
        <v>61661</v>
      </c>
      <c r="H20" s="57">
        <v>55458</v>
      </c>
      <c r="I20" s="58">
        <f t="shared" si="2"/>
        <v>89.94015666304472</v>
      </c>
      <c r="J20" s="57">
        <f>H20-'[2]Novembris'!H20</f>
        <v>4463</v>
      </c>
    </row>
    <row r="21" spans="1:10" ht="13.5" customHeight="1">
      <c r="A21" s="62" t="s">
        <v>123</v>
      </c>
      <c r="B21" s="55">
        <v>31643057</v>
      </c>
      <c r="C21" s="55"/>
      <c r="D21" s="56"/>
      <c r="E21" s="49"/>
      <c r="F21" s="62" t="s">
        <v>123</v>
      </c>
      <c r="G21" s="57">
        <v>31086</v>
      </c>
      <c r="H21" s="57">
        <v>17960</v>
      </c>
      <c r="I21" s="58">
        <f t="shared" si="2"/>
        <v>57.77520427201955</v>
      </c>
      <c r="J21" s="57">
        <f>H21-'[2]Novembris'!H21</f>
        <v>8336</v>
      </c>
    </row>
    <row r="22" spans="1:10" ht="12.75" customHeight="1">
      <c r="A22" s="63" t="s">
        <v>124</v>
      </c>
      <c r="B22" s="55">
        <v>1201200</v>
      </c>
      <c r="C22" s="55"/>
      <c r="D22" s="56">
        <f t="shared" si="0"/>
        <v>0</v>
      </c>
      <c r="E22" s="49">
        <f t="shared" si="1"/>
        <v>0</v>
      </c>
      <c r="F22" s="63" t="s">
        <v>124</v>
      </c>
      <c r="G22" s="64">
        <f>ROUND(B22/1000,0)</f>
        <v>1201</v>
      </c>
      <c r="H22" s="65">
        <v>1201</v>
      </c>
      <c r="I22" s="66">
        <f t="shared" si="2"/>
        <v>100</v>
      </c>
      <c r="J22" s="64">
        <f>H22-'[2]Novembris'!H22</f>
        <v>100</v>
      </c>
    </row>
    <row r="23" spans="1:10" ht="19.5" customHeight="1">
      <c r="A23" s="53" t="s">
        <v>125</v>
      </c>
      <c r="B23" s="49">
        <f>SUM(B10-B22)</f>
        <v>736330069</v>
      </c>
      <c r="C23" s="49">
        <f>SUM(C10-C22)</f>
        <v>0</v>
      </c>
      <c r="D23" s="50">
        <f t="shared" si="0"/>
        <v>0</v>
      </c>
      <c r="E23" s="49">
        <f t="shared" si="1"/>
        <v>0</v>
      </c>
      <c r="F23" s="53" t="s">
        <v>125</v>
      </c>
      <c r="G23" s="51">
        <f>SUM(G10-G22)</f>
        <v>705481</v>
      </c>
      <c r="H23" s="51">
        <f>SUM(H10-H22)</f>
        <v>680240</v>
      </c>
      <c r="I23" s="52">
        <f t="shared" si="2"/>
        <v>96.4221573649751</v>
      </c>
      <c r="J23" s="51">
        <f>H23-'[2]Novembris'!H23</f>
        <v>62596</v>
      </c>
    </row>
    <row r="24" spans="1:10" ht="20.25" customHeight="1">
      <c r="A24" s="67" t="s">
        <v>126</v>
      </c>
      <c r="B24" s="49">
        <f>SUM(B25)</f>
        <v>699762222</v>
      </c>
      <c r="C24" s="49">
        <f>SUM(C25)</f>
        <v>0</v>
      </c>
      <c r="D24" s="50">
        <f t="shared" si="0"/>
        <v>0</v>
      </c>
      <c r="E24" s="49">
        <f t="shared" si="1"/>
        <v>0</v>
      </c>
      <c r="F24" s="67" t="s">
        <v>126</v>
      </c>
      <c r="G24" s="51">
        <f>SUM(G25)</f>
        <v>692932</v>
      </c>
      <c r="H24" s="51">
        <f>SUM(H25)</f>
        <v>682855</v>
      </c>
      <c r="I24" s="52">
        <f t="shared" si="2"/>
        <v>98.54574474840244</v>
      </c>
      <c r="J24" s="51">
        <f>H24-'[2]Novembris'!H24</f>
        <v>63095</v>
      </c>
    </row>
    <row r="25" spans="1:10" ht="12.75">
      <c r="A25" s="54" t="s">
        <v>127</v>
      </c>
      <c r="B25" s="55">
        <f>SUM(B26:B30)</f>
        <v>699762222</v>
      </c>
      <c r="C25" s="55">
        <f>SUM(C26:C30)</f>
        <v>0</v>
      </c>
      <c r="D25" s="56">
        <f t="shared" si="0"/>
        <v>0</v>
      </c>
      <c r="E25" s="49">
        <f t="shared" si="1"/>
        <v>0</v>
      </c>
      <c r="F25" s="54" t="s">
        <v>127</v>
      </c>
      <c r="G25" s="57">
        <f>SUM(G26:G30)</f>
        <v>692932</v>
      </c>
      <c r="H25" s="57">
        <f>SUM(H26:H30)</f>
        <v>682855</v>
      </c>
      <c r="I25" s="58">
        <f t="shared" si="2"/>
        <v>98.54574474840244</v>
      </c>
      <c r="J25" s="57">
        <f>H25-'[2]Novembris'!H25</f>
        <v>63095</v>
      </c>
    </row>
    <row r="26" spans="1:206" s="2" customFormat="1" ht="12.75">
      <c r="A26" s="60" t="s">
        <v>128</v>
      </c>
      <c r="B26" s="55">
        <v>473580496</v>
      </c>
      <c r="C26" s="55"/>
      <c r="D26" s="56">
        <f t="shared" si="0"/>
        <v>0</v>
      </c>
      <c r="E26" s="49">
        <f t="shared" si="1"/>
        <v>0</v>
      </c>
      <c r="F26" s="60" t="s">
        <v>128</v>
      </c>
      <c r="G26" s="57">
        <v>476999</v>
      </c>
      <c r="H26" s="57">
        <v>466370</v>
      </c>
      <c r="I26" s="58">
        <f t="shared" si="2"/>
        <v>97.77169344170534</v>
      </c>
      <c r="J26" s="57">
        <f>H26-'[2]Novembris'!H26</f>
        <v>43602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</row>
    <row r="27" spans="1:206" s="2" customFormat="1" ht="12.75">
      <c r="A27" s="68" t="s">
        <v>129</v>
      </c>
      <c r="B27" s="55">
        <v>56546000</v>
      </c>
      <c r="C27" s="55"/>
      <c r="D27" s="56">
        <f t="shared" si="0"/>
        <v>0</v>
      </c>
      <c r="E27" s="49">
        <f t="shared" si="1"/>
        <v>0</v>
      </c>
      <c r="F27" s="68" t="s">
        <v>129</v>
      </c>
      <c r="G27" s="57">
        <v>46179</v>
      </c>
      <c r="H27" s="57">
        <f>44038+462+1319+551</f>
        <v>46370</v>
      </c>
      <c r="I27" s="58">
        <f t="shared" si="2"/>
        <v>100.41360791701857</v>
      </c>
      <c r="J27" s="57">
        <f>H27-'[2]Novembris'!H27</f>
        <v>4351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</row>
    <row r="28" spans="1:206" s="2" customFormat="1" ht="12.75">
      <c r="A28" s="68" t="s">
        <v>130</v>
      </c>
      <c r="B28" s="55">
        <v>74152400</v>
      </c>
      <c r="C28" s="55"/>
      <c r="D28" s="56">
        <f t="shared" si="0"/>
        <v>0</v>
      </c>
      <c r="E28" s="49">
        <f t="shared" si="1"/>
        <v>0</v>
      </c>
      <c r="F28" s="68" t="s">
        <v>130</v>
      </c>
      <c r="G28" s="57">
        <v>74152</v>
      </c>
      <c r="H28" s="57">
        <v>74218</v>
      </c>
      <c r="I28" s="58">
        <f t="shared" si="2"/>
        <v>100.08900636530369</v>
      </c>
      <c r="J28" s="57">
        <f>H28-'[2]Novembris'!H28</f>
        <v>7874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</row>
    <row r="29" spans="1:206" s="2" customFormat="1" ht="12.75">
      <c r="A29" s="62" t="s">
        <v>131</v>
      </c>
      <c r="B29" s="55">
        <v>3371252</v>
      </c>
      <c r="C29" s="55"/>
      <c r="D29" s="56">
        <f t="shared" si="0"/>
        <v>0</v>
      </c>
      <c r="E29" s="49">
        <f t="shared" si="1"/>
        <v>0</v>
      </c>
      <c r="F29" s="62" t="s">
        <v>131</v>
      </c>
      <c r="G29" s="57">
        <v>2110</v>
      </c>
      <c r="H29" s="57">
        <f>1099</f>
        <v>1099</v>
      </c>
      <c r="I29" s="58">
        <f t="shared" si="2"/>
        <v>52.08530805687204</v>
      </c>
      <c r="J29" s="57">
        <f>H29-'[2]Novembris'!H29</f>
        <v>-35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</row>
    <row r="30" spans="1:206" s="2" customFormat="1" ht="12.75">
      <c r="A30" s="60" t="s">
        <v>132</v>
      </c>
      <c r="B30" s="55">
        <v>92112074</v>
      </c>
      <c r="C30" s="55"/>
      <c r="D30" s="56">
        <f t="shared" si="0"/>
        <v>0</v>
      </c>
      <c r="E30" s="49">
        <f t="shared" si="1"/>
        <v>0</v>
      </c>
      <c r="F30" s="60" t="s">
        <v>132</v>
      </c>
      <c r="G30" s="57">
        <v>93492</v>
      </c>
      <c r="H30" s="57">
        <v>94798</v>
      </c>
      <c r="I30" s="58">
        <f t="shared" si="2"/>
        <v>101.39691096564411</v>
      </c>
      <c r="J30" s="57">
        <f>H30-'[2]Novembris'!H30</f>
        <v>7303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</row>
    <row r="31" spans="1:206" s="2" customFormat="1" ht="12.75">
      <c r="A31" s="69" t="s">
        <v>133</v>
      </c>
      <c r="B31" s="55">
        <v>62349187</v>
      </c>
      <c r="C31" s="55"/>
      <c r="D31" s="56">
        <f t="shared" si="0"/>
        <v>0</v>
      </c>
      <c r="E31" s="49">
        <f t="shared" si="1"/>
        <v>0</v>
      </c>
      <c r="F31" s="69" t="s">
        <v>133</v>
      </c>
      <c r="G31" s="64">
        <v>63228</v>
      </c>
      <c r="H31" s="55">
        <f>1550+889+317+54092+6380</f>
        <v>63228</v>
      </c>
      <c r="I31" s="66">
        <f t="shared" si="2"/>
        <v>100</v>
      </c>
      <c r="J31" s="64">
        <f>H31-'[2]Novembris'!H31</f>
        <v>5218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</row>
    <row r="32" spans="1:10" ht="22.5" customHeight="1">
      <c r="A32" s="53" t="s">
        <v>134</v>
      </c>
      <c r="B32" s="49">
        <f>SUM(B24-B31)</f>
        <v>637413035</v>
      </c>
      <c r="C32" s="49">
        <f>SUM(C24-C31)</f>
        <v>0</v>
      </c>
      <c r="D32" s="50">
        <f t="shared" si="0"/>
        <v>0</v>
      </c>
      <c r="E32" s="49">
        <f t="shared" si="1"/>
        <v>0</v>
      </c>
      <c r="F32" s="53" t="s">
        <v>134</v>
      </c>
      <c r="G32" s="51">
        <f>SUM(G24-G31)</f>
        <v>629704</v>
      </c>
      <c r="H32" s="51">
        <f>SUM(H24-H31)</f>
        <v>619627</v>
      </c>
      <c r="I32" s="52">
        <f t="shared" si="2"/>
        <v>98.39972431491621</v>
      </c>
      <c r="J32" s="51">
        <f>H32-'[2]Novembris'!H32</f>
        <v>57877</v>
      </c>
    </row>
    <row r="33" spans="1:10" ht="29.25" customHeight="1">
      <c r="A33" s="70" t="s">
        <v>135</v>
      </c>
      <c r="B33" s="49">
        <f>SUM(B34:B36)</f>
        <v>1439743280</v>
      </c>
      <c r="C33" s="49">
        <f>SUM(C34:C36)</f>
        <v>0</v>
      </c>
      <c r="D33" s="50">
        <f t="shared" si="0"/>
        <v>0</v>
      </c>
      <c r="E33" s="49">
        <f t="shared" si="1"/>
        <v>0</v>
      </c>
      <c r="F33" s="70" t="s">
        <v>135</v>
      </c>
      <c r="G33" s="51">
        <f>SUM(G34:G36)</f>
        <v>1449913</v>
      </c>
      <c r="H33" s="51">
        <f>SUM(H34:H36)</f>
        <v>1405736</v>
      </c>
      <c r="I33" s="52">
        <f t="shared" si="2"/>
        <v>96.95312753247953</v>
      </c>
      <c r="J33" s="51">
        <f>H33-'[2]Novembris'!H33</f>
        <v>142292</v>
      </c>
    </row>
    <row r="34" spans="1:10" ht="28.5" customHeight="1">
      <c r="A34" s="70" t="s">
        <v>136</v>
      </c>
      <c r="B34" s="49">
        <f>SUM(B46+B63)</f>
        <v>1338259956</v>
      </c>
      <c r="C34" s="49">
        <f>SUM(C46+C63)</f>
        <v>0</v>
      </c>
      <c r="D34" s="50">
        <f t="shared" si="0"/>
        <v>0</v>
      </c>
      <c r="E34" s="49">
        <f t="shared" si="1"/>
        <v>0</v>
      </c>
      <c r="F34" s="70" t="s">
        <v>136</v>
      </c>
      <c r="G34" s="51">
        <f>SUM(G46+G63)</f>
        <v>1348589</v>
      </c>
      <c r="H34" s="51">
        <f>SUM(H46+H63)</f>
        <v>1313118</v>
      </c>
      <c r="I34" s="52">
        <f t="shared" si="2"/>
        <v>97.36976944050411</v>
      </c>
      <c r="J34" s="51">
        <f>H34-'[2]Novembris'!H34</f>
        <v>122843</v>
      </c>
    </row>
    <row r="35" spans="1:10" ht="25.5" customHeight="1">
      <c r="A35" s="70" t="s">
        <v>137</v>
      </c>
      <c r="B35" s="49">
        <f>SUM(B48+B65)</f>
        <v>34787269</v>
      </c>
      <c r="C35" s="49">
        <f>SUM(C48+C65)</f>
        <v>0</v>
      </c>
      <c r="D35" s="50">
        <f t="shared" si="0"/>
        <v>0</v>
      </c>
      <c r="E35" s="49">
        <f t="shared" si="1"/>
        <v>0</v>
      </c>
      <c r="F35" s="70" t="s">
        <v>137</v>
      </c>
      <c r="G35" s="51">
        <f>SUM(G48+G65)</f>
        <v>36580</v>
      </c>
      <c r="H35" s="51">
        <f>SUM(H48+H65)</f>
        <v>33760</v>
      </c>
      <c r="I35" s="52">
        <f t="shared" si="2"/>
        <v>92.29086932750137</v>
      </c>
      <c r="J35" s="51">
        <f>H35-'[2]Novembris'!H35</f>
        <v>6725</v>
      </c>
    </row>
    <row r="36" spans="1:10" ht="30" customHeight="1">
      <c r="A36" s="70" t="s">
        <v>138</v>
      </c>
      <c r="B36" s="49">
        <f>SUM(B51+B67)</f>
        <v>66696055</v>
      </c>
      <c r="C36" s="49">
        <f>SUM(C51+C67)</f>
        <v>0</v>
      </c>
      <c r="D36" s="50">
        <f t="shared" si="0"/>
        <v>0</v>
      </c>
      <c r="E36" s="49">
        <f t="shared" si="1"/>
        <v>0</v>
      </c>
      <c r="F36" s="70" t="s">
        <v>138</v>
      </c>
      <c r="G36" s="51">
        <f>SUM(G51+G67)</f>
        <v>64744</v>
      </c>
      <c r="H36" s="51">
        <f>SUM(H51+H67)</f>
        <v>58858</v>
      </c>
      <c r="I36" s="52">
        <f t="shared" si="2"/>
        <v>90.9088100827876</v>
      </c>
      <c r="J36" s="51">
        <f>H36-'[2]Novembris'!H36</f>
        <v>12724</v>
      </c>
    </row>
    <row r="37" spans="1:10" ht="29.25" customHeight="1">
      <c r="A37" s="70" t="s">
        <v>139</v>
      </c>
      <c r="B37" s="49">
        <f>SUM(B9-B33)</f>
        <v>-66000176</v>
      </c>
      <c r="C37" s="49">
        <f>SUM(C9-C33)</f>
        <v>0</v>
      </c>
      <c r="D37" s="50">
        <f t="shared" si="0"/>
        <v>0</v>
      </c>
      <c r="E37" s="49">
        <f t="shared" si="1"/>
        <v>0</v>
      </c>
      <c r="F37" s="70" t="s">
        <v>139</v>
      </c>
      <c r="G37" s="51">
        <f>SUM(G9-G33)</f>
        <v>-114728</v>
      </c>
      <c r="H37" s="51">
        <f>SUM(H9-H33)</f>
        <v>-105869</v>
      </c>
      <c r="I37" s="52">
        <f t="shared" si="2"/>
        <v>92.27825814099435</v>
      </c>
      <c r="J37" s="51">
        <f>H37-'[2]Novembris'!H37</f>
        <v>-21819</v>
      </c>
    </row>
    <row r="38" spans="1:10" ht="25.5">
      <c r="A38" s="70" t="s">
        <v>140</v>
      </c>
      <c r="B38" s="49">
        <f>SUM(B53+B69)</f>
        <v>14499012</v>
      </c>
      <c r="C38" s="49">
        <f>SUM(C53+C69)</f>
        <v>0</v>
      </c>
      <c r="D38" s="50">
        <f t="shared" si="0"/>
        <v>0</v>
      </c>
      <c r="E38" s="49">
        <f t="shared" si="1"/>
        <v>0</v>
      </c>
      <c r="F38" s="70" t="s">
        <v>140</v>
      </c>
      <c r="G38" s="51">
        <f>SUM(G53+G69)</f>
        <v>14562</v>
      </c>
      <c r="H38" s="51">
        <f>SUM(H53+H69)</f>
        <v>12463</v>
      </c>
      <c r="I38" s="52">
        <f t="shared" si="2"/>
        <v>85.58577118527676</v>
      </c>
      <c r="J38" s="51">
        <f>H38-'[2]Novembris'!H38</f>
        <v>-1619</v>
      </c>
    </row>
    <row r="39" spans="1:10" ht="25.5">
      <c r="A39" s="70" t="s">
        <v>141</v>
      </c>
      <c r="B39" s="49">
        <f>SUM(B33+B38)</f>
        <v>1454242292</v>
      </c>
      <c r="C39" s="49">
        <f>SUM(C33+C38)</f>
        <v>0</v>
      </c>
      <c r="D39" s="50">
        <f t="shared" si="0"/>
        <v>0</v>
      </c>
      <c r="E39" s="49">
        <f t="shared" si="1"/>
        <v>0</v>
      </c>
      <c r="F39" s="70" t="s">
        <v>141</v>
      </c>
      <c r="G39" s="51">
        <f>SUM(G33+G38)</f>
        <v>1464475</v>
      </c>
      <c r="H39" s="51">
        <f>SUM(H33+H38)</f>
        <v>1418199</v>
      </c>
      <c r="I39" s="52">
        <f t="shared" si="2"/>
        <v>96.84009628023695</v>
      </c>
      <c r="J39" s="51">
        <f>H39-'[2]Novembris'!H39</f>
        <v>140673</v>
      </c>
    </row>
    <row r="40" spans="1:10" ht="27" customHeight="1">
      <c r="A40" s="70" t="s">
        <v>142</v>
      </c>
      <c r="B40" s="49">
        <f>IF((B37-B38=B9-B39)=TRUE,B37-B38,9)</f>
        <v>-80499188</v>
      </c>
      <c r="C40" s="51">
        <f>C37-C38</f>
        <v>0</v>
      </c>
      <c r="D40" s="50">
        <f t="shared" si="0"/>
        <v>0</v>
      </c>
      <c r="E40" s="49">
        <f t="shared" si="1"/>
        <v>0</v>
      </c>
      <c r="F40" s="70" t="s">
        <v>142</v>
      </c>
      <c r="G40" s="51">
        <f>IF((G37-G38=G9-G39)=TRUE,G37-G38,9)</f>
        <v>-129290</v>
      </c>
      <c r="H40" s="51">
        <f>IF((H37-H38=H9-H39)=TRUE,H37-H38,9)</f>
        <v>-118332</v>
      </c>
      <c r="I40" s="52">
        <f t="shared" si="2"/>
        <v>91.52447985149664</v>
      </c>
      <c r="J40" s="51">
        <f>H40-'[2]Novembris'!H40</f>
        <v>-20200</v>
      </c>
    </row>
    <row r="41" spans="1:10" ht="15.75" customHeight="1">
      <c r="A41" s="53" t="s">
        <v>143</v>
      </c>
      <c r="B41" s="49">
        <f>B44+B47+B49</f>
        <v>759846889</v>
      </c>
      <c r="C41" s="49">
        <f>C44+C47+C49</f>
        <v>0</v>
      </c>
      <c r="D41" s="50">
        <f t="shared" si="0"/>
        <v>0</v>
      </c>
      <c r="E41" s="49">
        <f t="shared" si="1"/>
        <v>0</v>
      </c>
      <c r="F41" s="53" t="s">
        <v>143</v>
      </c>
      <c r="G41" s="51">
        <f>G44+G47+G49</f>
        <v>776755</v>
      </c>
      <c r="H41" s="51">
        <f>H44+H47+H49</f>
        <v>752970</v>
      </c>
      <c r="I41" s="52">
        <f t="shared" si="2"/>
        <v>96.93790191244344</v>
      </c>
      <c r="J41" s="51">
        <f>H41-'[2]Novembris'!H41</f>
        <v>86567</v>
      </c>
    </row>
    <row r="42" spans="1:10" ht="12.75">
      <c r="A42" s="71" t="s">
        <v>144</v>
      </c>
      <c r="B42" s="55">
        <f>B45+B50</f>
        <v>62349187</v>
      </c>
      <c r="C42" s="55">
        <f>C45+C50</f>
        <v>0</v>
      </c>
      <c r="D42" s="56">
        <f t="shared" si="0"/>
        <v>0</v>
      </c>
      <c r="E42" s="49">
        <f t="shared" si="1"/>
        <v>0</v>
      </c>
      <c r="F42" s="71" t="s">
        <v>144</v>
      </c>
      <c r="G42" s="64">
        <f>G45+G50</f>
        <v>63228</v>
      </c>
      <c r="H42" s="64">
        <f>H45+H50</f>
        <v>63228</v>
      </c>
      <c r="I42" s="66">
        <f t="shared" si="2"/>
        <v>100</v>
      </c>
      <c r="J42" s="64">
        <f>H42-'[2]Novembris'!H42</f>
        <v>5218</v>
      </c>
    </row>
    <row r="43" spans="1:10" ht="20.25" customHeight="1">
      <c r="A43" s="53" t="s">
        <v>145</v>
      </c>
      <c r="B43" s="49">
        <f>SUM(B41-B42)</f>
        <v>697497702</v>
      </c>
      <c r="C43" s="49">
        <f>SUM(C41-C42)</f>
        <v>0</v>
      </c>
      <c r="D43" s="50">
        <f t="shared" si="0"/>
        <v>0</v>
      </c>
      <c r="E43" s="49">
        <f t="shared" si="1"/>
        <v>0</v>
      </c>
      <c r="F43" s="53" t="s">
        <v>145</v>
      </c>
      <c r="G43" s="51">
        <f>SUM(G41-G42)</f>
        <v>713527</v>
      </c>
      <c r="H43" s="51">
        <f>SUM(H41-H42)</f>
        <v>689742</v>
      </c>
      <c r="I43" s="52">
        <f t="shared" si="2"/>
        <v>96.66655921920264</v>
      </c>
      <c r="J43" s="51">
        <f>H43-'[2]Novembris'!H43</f>
        <v>81349</v>
      </c>
    </row>
    <row r="44" spans="1:10" ht="12.75">
      <c r="A44" s="54" t="s">
        <v>146</v>
      </c>
      <c r="B44" s="55">
        <v>694317503</v>
      </c>
      <c r="C44" s="55"/>
      <c r="D44" s="56">
        <f t="shared" si="0"/>
        <v>0</v>
      </c>
      <c r="E44" s="49">
        <f t="shared" si="1"/>
        <v>0</v>
      </c>
      <c r="F44" s="54" t="s">
        <v>146</v>
      </c>
      <c r="G44" s="57">
        <v>705633</v>
      </c>
      <c r="H44" s="57">
        <v>687966</v>
      </c>
      <c r="I44" s="58">
        <f t="shared" si="2"/>
        <v>97.49629056464197</v>
      </c>
      <c r="J44" s="57">
        <f>H44-'[2]Novembris'!H44+1</f>
        <v>72270</v>
      </c>
    </row>
    <row r="45" spans="1:10" ht="12.75">
      <c r="A45" s="69" t="s">
        <v>147</v>
      </c>
      <c r="B45" s="55">
        <v>60907187</v>
      </c>
      <c r="C45" s="55"/>
      <c r="D45" s="56">
        <f t="shared" si="0"/>
        <v>0</v>
      </c>
      <c r="E45" s="49">
        <f t="shared" si="1"/>
        <v>0</v>
      </c>
      <c r="F45" s="69" t="s">
        <v>147</v>
      </c>
      <c r="G45" s="64">
        <v>61786</v>
      </c>
      <c r="H45" s="64">
        <v>61786</v>
      </c>
      <c r="I45" s="66">
        <f t="shared" si="2"/>
        <v>100</v>
      </c>
      <c r="J45" s="64">
        <f>H45-'[2]Novembris'!H45</f>
        <v>5218</v>
      </c>
    </row>
    <row r="46" spans="1:10" ht="15" customHeight="1">
      <c r="A46" s="53" t="s">
        <v>148</v>
      </c>
      <c r="B46" s="49">
        <f>SUM(B44-B45)</f>
        <v>633410316</v>
      </c>
      <c r="C46" s="49">
        <f>SUM(C44-C45)</f>
        <v>0</v>
      </c>
      <c r="D46" s="50">
        <f t="shared" si="0"/>
        <v>0</v>
      </c>
      <c r="E46" s="49">
        <f t="shared" si="1"/>
        <v>0</v>
      </c>
      <c r="F46" s="53" t="s">
        <v>148</v>
      </c>
      <c r="G46" s="51">
        <f>SUM(G44-G45)</f>
        <v>643847</v>
      </c>
      <c r="H46" s="51">
        <f>SUM(H44-H45)</f>
        <v>626180</v>
      </c>
      <c r="I46" s="52">
        <f t="shared" si="2"/>
        <v>97.25602511155601</v>
      </c>
      <c r="J46" s="51">
        <f>H46-'[2]Novembris'!H46</f>
        <v>67051</v>
      </c>
    </row>
    <row r="47" spans="1:10" ht="15.75" customHeight="1">
      <c r="A47" s="54" t="s">
        <v>149</v>
      </c>
      <c r="B47" s="55">
        <v>24236583</v>
      </c>
      <c r="C47" s="55"/>
      <c r="D47" s="56">
        <f t="shared" si="0"/>
        <v>0</v>
      </c>
      <c r="E47" s="49">
        <f t="shared" si="1"/>
        <v>0</v>
      </c>
      <c r="F47" s="54" t="s">
        <v>149</v>
      </c>
      <c r="G47" s="57">
        <v>25544</v>
      </c>
      <c r="H47" s="57">
        <v>23152</v>
      </c>
      <c r="I47" s="58">
        <f t="shared" si="2"/>
        <v>90.63576573755088</v>
      </c>
      <c r="J47" s="57">
        <f>H47-'[2]Novembris'!H47-1</f>
        <v>5103</v>
      </c>
    </row>
    <row r="48" spans="1:10" ht="12.75">
      <c r="A48" s="53" t="s">
        <v>150</v>
      </c>
      <c r="B48" s="49">
        <f>SUM(B47)</f>
        <v>24236583</v>
      </c>
      <c r="C48" s="49">
        <f>SUM(C47)</f>
        <v>0</v>
      </c>
      <c r="D48" s="50">
        <f t="shared" si="0"/>
        <v>0</v>
      </c>
      <c r="E48" s="49">
        <f t="shared" si="1"/>
        <v>0</v>
      </c>
      <c r="F48" s="53" t="s">
        <v>150</v>
      </c>
      <c r="G48" s="51">
        <f>SUM(G47)</f>
        <v>25544</v>
      </c>
      <c r="H48" s="51">
        <f>SUM(H47)</f>
        <v>23152</v>
      </c>
      <c r="I48" s="52">
        <f t="shared" si="2"/>
        <v>90.63576573755088</v>
      </c>
      <c r="J48" s="51">
        <f>H48-'[2]Novembris'!H48-1</f>
        <v>5103</v>
      </c>
    </row>
    <row r="49" spans="1:10" ht="12.75">
      <c r="A49" s="54" t="s">
        <v>151</v>
      </c>
      <c r="B49" s="55">
        <v>41292803</v>
      </c>
      <c r="C49" s="55"/>
      <c r="D49" s="56">
        <f t="shared" si="0"/>
        <v>0</v>
      </c>
      <c r="E49" s="49">
        <f t="shared" si="1"/>
        <v>0</v>
      </c>
      <c r="F49" s="54" t="s">
        <v>151</v>
      </c>
      <c r="G49" s="57">
        <v>45578</v>
      </c>
      <c r="H49" s="57">
        <v>41852</v>
      </c>
      <c r="I49" s="58">
        <f t="shared" si="2"/>
        <v>91.82500329106148</v>
      </c>
      <c r="J49" s="57">
        <f>H49-'[2]Novembris'!H49</f>
        <v>9194</v>
      </c>
    </row>
    <row r="50" spans="1:206" s="54" customFormat="1" ht="12.75">
      <c r="A50" s="69" t="s">
        <v>152</v>
      </c>
      <c r="B50" s="55">
        <v>1442000</v>
      </c>
      <c r="C50" s="55"/>
      <c r="D50" s="56">
        <f t="shared" si="0"/>
        <v>0</v>
      </c>
      <c r="E50" s="49">
        <f t="shared" si="1"/>
        <v>0</v>
      </c>
      <c r="F50" s="69" t="s">
        <v>152</v>
      </c>
      <c r="G50" s="64">
        <f>ROUND(B50/1000,0)</f>
        <v>1442</v>
      </c>
      <c r="H50" s="64">
        <v>1442</v>
      </c>
      <c r="I50" s="66">
        <f t="shared" si="2"/>
        <v>100</v>
      </c>
      <c r="J50" s="64">
        <f>H50-'[2]Novembris'!H50</f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</row>
    <row r="51" spans="1:206" s="54" customFormat="1" ht="17.25" customHeight="1">
      <c r="A51" s="53" t="s">
        <v>153</v>
      </c>
      <c r="B51" s="49">
        <f>SUM(B49-B50)</f>
        <v>39850803</v>
      </c>
      <c r="C51" s="49">
        <f>SUM(C49-C50)</f>
        <v>0</v>
      </c>
      <c r="D51" s="50">
        <f t="shared" si="0"/>
        <v>0</v>
      </c>
      <c r="E51" s="49">
        <f t="shared" si="1"/>
        <v>0</v>
      </c>
      <c r="F51" s="53" t="s">
        <v>153</v>
      </c>
      <c r="G51" s="51">
        <f>SUM(G49-G50)</f>
        <v>44136</v>
      </c>
      <c r="H51" s="51">
        <f>SUM(H49-H50)</f>
        <v>40410</v>
      </c>
      <c r="I51" s="52">
        <f t="shared" si="2"/>
        <v>91.557911908646</v>
      </c>
      <c r="J51" s="51">
        <f>H51-'[2]Novembris'!H51</f>
        <v>9194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</row>
    <row r="52" spans="1:206" s="54" customFormat="1" ht="30" customHeight="1">
      <c r="A52" s="70" t="s">
        <v>154</v>
      </c>
      <c r="B52" s="49">
        <f>SUM(B10-B41)</f>
        <v>-22315620</v>
      </c>
      <c r="C52" s="49">
        <f>SUM(C10-C41)</f>
        <v>0</v>
      </c>
      <c r="D52" s="50">
        <f t="shared" si="0"/>
        <v>0</v>
      </c>
      <c r="E52" s="49">
        <f t="shared" si="1"/>
        <v>0</v>
      </c>
      <c r="F52" s="70" t="s">
        <v>154</v>
      </c>
      <c r="G52" s="51">
        <f>SUM(G10-G41)</f>
        <v>-70073</v>
      </c>
      <c r="H52" s="51">
        <f>SUM(H10-H41)</f>
        <v>-71529</v>
      </c>
      <c r="I52" s="52">
        <f t="shared" si="2"/>
        <v>102.07783311689238</v>
      </c>
      <c r="J52" s="51">
        <f>H52-'[2]Novembris'!H52</f>
        <v>-23871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</row>
    <row r="53" spans="1:206" s="54" customFormat="1" ht="17.25" customHeight="1">
      <c r="A53" s="53" t="s">
        <v>155</v>
      </c>
      <c r="B53" s="49">
        <f>B56</f>
        <v>7759392</v>
      </c>
      <c r="C53" s="49"/>
      <c r="D53" s="50">
        <f t="shared" si="0"/>
        <v>0</v>
      </c>
      <c r="E53" s="49">
        <f t="shared" si="1"/>
        <v>0</v>
      </c>
      <c r="F53" s="53" t="s">
        <v>155</v>
      </c>
      <c r="G53" s="51">
        <f>G56</f>
        <v>7822</v>
      </c>
      <c r="H53" s="51">
        <f>H56</f>
        <v>7098</v>
      </c>
      <c r="I53" s="52">
        <f t="shared" si="2"/>
        <v>90.74405522884173</v>
      </c>
      <c r="J53" s="51">
        <f>H53-'[2]Novembris'!H53</f>
        <v>-2300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</row>
    <row r="54" spans="1:206" s="54" customFormat="1" ht="16.5" customHeight="1">
      <c r="A54" s="54" t="s">
        <v>156</v>
      </c>
      <c r="B54" s="55">
        <v>55987963</v>
      </c>
      <c r="C54" s="55"/>
      <c r="D54" s="56">
        <f t="shared" si="0"/>
        <v>0</v>
      </c>
      <c r="E54" s="49">
        <f t="shared" si="1"/>
        <v>0</v>
      </c>
      <c r="F54" s="54" t="s">
        <v>157</v>
      </c>
      <c r="G54" s="57">
        <v>54889</v>
      </c>
      <c r="H54" s="57">
        <v>49341</v>
      </c>
      <c r="I54" s="58">
        <f t="shared" si="2"/>
        <v>89.89232815318188</v>
      </c>
      <c r="J54" s="57">
        <f>H54-'[2]Novembris'!H54</f>
        <v>-6809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</row>
    <row r="55" spans="1:206" s="54" customFormat="1" ht="12.75" customHeight="1">
      <c r="A55" s="69" t="s">
        <v>152</v>
      </c>
      <c r="B55" s="55">
        <v>48228571</v>
      </c>
      <c r="C55" s="55"/>
      <c r="D55" s="56">
        <f t="shared" si="0"/>
        <v>0</v>
      </c>
      <c r="E55" s="49">
        <f t="shared" si="1"/>
        <v>0</v>
      </c>
      <c r="F55" s="69" t="s">
        <v>152</v>
      </c>
      <c r="G55" s="64">
        <v>47067</v>
      </c>
      <c r="H55" s="64">
        <v>42243</v>
      </c>
      <c r="I55" s="66">
        <f t="shared" si="2"/>
        <v>89.75078080183569</v>
      </c>
      <c r="J55" s="64">
        <f>H55-'[2]Novembris'!H55</f>
        <v>-4509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</row>
    <row r="56" spans="1:206" s="54" customFormat="1" ht="15" customHeight="1">
      <c r="A56" s="54" t="s">
        <v>158</v>
      </c>
      <c r="B56" s="55">
        <f>B54-B55</f>
        <v>7759392</v>
      </c>
      <c r="C56" s="55"/>
      <c r="D56" s="56">
        <f t="shared" si="0"/>
        <v>0</v>
      </c>
      <c r="E56" s="49">
        <f t="shared" si="1"/>
        <v>0</v>
      </c>
      <c r="F56" s="54" t="s">
        <v>158</v>
      </c>
      <c r="G56" s="57">
        <f>G54-G55</f>
        <v>7822</v>
      </c>
      <c r="H56" s="57">
        <f>SUM(H54-H55)</f>
        <v>7098</v>
      </c>
      <c r="I56" s="58">
        <f t="shared" si="2"/>
        <v>90.74405522884173</v>
      </c>
      <c r="J56" s="57">
        <f>H56-'[2]Novembris'!H56</f>
        <v>-2300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</row>
    <row r="57" spans="1:206" s="54" customFormat="1" ht="32.25" customHeight="1">
      <c r="A57" s="70" t="s">
        <v>159</v>
      </c>
      <c r="B57" s="49">
        <f>B52-B54</f>
        <v>-78303583</v>
      </c>
      <c r="C57" s="49">
        <f>C52-C54</f>
        <v>0</v>
      </c>
      <c r="D57" s="50">
        <f t="shared" si="0"/>
        <v>0</v>
      </c>
      <c r="E57" s="49">
        <f t="shared" si="1"/>
        <v>0</v>
      </c>
      <c r="F57" s="70" t="s">
        <v>160</v>
      </c>
      <c r="G57" s="51">
        <f>G52-G54</f>
        <v>-124962</v>
      </c>
      <c r="H57" s="51">
        <f>H52-H54</f>
        <v>-120870</v>
      </c>
      <c r="I57" s="52">
        <f t="shared" si="2"/>
        <v>96.72540452297498</v>
      </c>
      <c r="J57" s="51">
        <f>H57-'[2]Novembris'!H57</f>
        <v>-17062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</row>
    <row r="58" spans="1:206" s="54" customFormat="1" ht="17.25" customHeight="1">
      <c r="A58" s="53" t="s">
        <v>161</v>
      </c>
      <c r="B58" s="49">
        <v>743446778</v>
      </c>
      <c r="C58" s="49">
        <f>C61+C64+C66</f>
        <v>0</v>
      </c>
      <c r="D58" s="50">
        <f t="shared" si="0"/>
        <v>0</v>
      </c>
      <c r="E58" s="49">
        <f t="shared" si="1"/>
        <v>0</v>
      </c>
      <c r="F58" s="53" t="s">
        <v>161</v>
      </c>
      <c r="G58" s="51">
        <f>G61+G64+G66</f>
        <v>737587</v>
      </c>
      <c r="H58" s="51">
        <f>H61+H64+H66</f>
        <v>717195</v>
      </c>
      <c r="I58" s="52">
        <f t="shared" si="2"/>
        <v>97.23530919064463</v>
      </c>
      <c r="J58" s="51">
        <f>H58-'[2]Novembris'!H58</f>
        <v>61043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</row>
    <row r="59" spans="1:206" s="54" customFormat="1" ht="12.75" customHeight="1">
      <c r="A59" s="69" t="s">
        <v>162</v>
      </c>
      <c r="B59" s="55">
        <f>B62</f>
        <v>1201200</v>
      </c>
      <c r="C59" s="55">
        <f>C22</f>
        <v>0</v>
      </c>
      <c r="D59" s="56">
        <f t="shared" si="0"/>
        <v>0</v>
      </c>
      <c r="E59" s="49">
        <f t="shared" si="1"/>
        <v>0</v>
      </c>
      <c r="F59" s="69" t="s">
        <v>162</v>
      </c>
      <c r="G59" s="64">
        <f>G62</f>
        <v>1201</v>
      </c>
      <c r="H59" s="64">
        <f>H62</f>
        <v>1201</v>
      </c>
      <c r="I59" s="66">
        <f t="shared" si="2"/>
        <v>100</v>
      </c>
      <c r="J59" s="64">
        <f>H59-'[2]Novembris'!H59</f>
        <v>100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</row>
    <row r="60" spans="1:206" s="54" customFormat="1" ht="19.5" customHeight="1">
      <c r="A60" s="53" t="s">
        <v>163</v>
      </c>
      <c r="B60" s="49">
        <f>SUM(B58-B59)</f>
        <v>742245578</v>
      </c>
      <c r="C60" s="49">
        <f>SUM(C58-C59)</f>
        <v>0</v>
      </c>
      <c r="D60" s="50">
        <f t="shared" si="0"/>
        <v>0</v>
      </c>
      <c r="E60" s="49">
        <f t="shared" si="1"/>
        <v>0</v>
      </c>
      <c r="F60" s="53" t="s">
        <v>163</v>
      </c>
      <c r="G60" s="51">
        <f>SUM(G58-G59)</f>
        <v>736386</v>
      </c>
      <c r="H60" s="51">
        <f>SUM(H58-H59)</f>
        <v>715994</v>
      </c>
      <c r="I60" s="52">
        <f t="shared" si="2"/>
        <v>97.23080015100776</v>
      </c>
      <c r="J60" s="51">
        <f>H60-'[2]Novembris'!H60</f>
        <v>60943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</row>
    <row r="61" spans="1:206" s="54" customFormat="1" ht="15.75" customHeight="1">
      <c r="A61" s="54" t="s">
        <v>164</v>
      </c>
      <c r="B61" s="55">
        <v>706050840</v>
      </c>
      <c r="C61" s="55"/>
      <c r="D61" s="56">
        <f t="shared" si="0"/>
        <v>0</v>
      </c>
      <c r="E61" s="49">
        <f t="shared" si="1"/>
        <v>0</v>
      </c>
      <c r="F61" s="54" t="s">
        <v>164</v>
      </c>
      <c r="G61" s="57">
        <v>705943</v>
      </c>
      <c r="H61" s="57">
        <v>688139</v>
      </c>
      <c r="I61" s="58">
        <f t="shared" si="2"/>
        <v>97.47798334993053</v>
      </c>
      <c r="J61" s="57">
        <f>H61-'[2]Novembris'!H61+1</f>
        <v>55893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</row>
    <row r="62" spans="1:206" s="54" customFormat="1" ht="12.75" customHeight="1">
      <c r="A62" s="69" t="s">
        <v>165</v>
      </c>
      <c r="B62" s="55">
        <v>1201200</v>
      </c>
      <c r="C62" s="55">
        <f>C22</f>
        <v>0</v>
      </c>
      <c r="D62" s="56">
        <f t="shared" si="0"/>
        <v>0</v>
      </c>
      <c r="E62" s="49">
        <f t="shared" si="1"/>
        <v>0</v>
      </c>
      <c r="F62" s="69" t="s">
        <v>165</v>
      </c>
      <c r="G62" s="64">
        <f>ROUND(B62/1000,0)</f>
        <v>1201</v>
      </c>
      <c r="H62" s="65">
        <v>1201</v>
      </c>
      <c r="I62" s="66">
        <f t="shared" si="2"/>
        <v>100</v>
      </c>
      <c r="J62" s="64">
        <f>H62-'[2]Novembris'!H62</f>
        <v>100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</row>
    <row r="63" spans="1:206" s="54" customFormat="1" ht="19.5" customHeight="1">
      <c r="A63" s="53" t="s">
        <v>166</v>
      </c>
      <c r="B63" s="49">
        <f>SUM(B61-B62)</f>
        <v>704849640</v>
      </c>
      <c r="C63" s="49">
        <f>SUM(C61-C62)</f>
        <v>0</v>
      </c>
      <c r="D63" s="50">
        <f t="shared" si="0"/>
        <v>0</v>
      </c>
      <c r="E63" s="49">
        <f t="shared" si="1"/>
        <v>0</v>
      </c>
      <c r="F63" s="53" t="s">
        <v>166</v>
      </c>
      <c r="G63" s="51">
        <f>SUM(G61-G62)</f>
        <v>704742</v>
      </c>
      <c r="H63" s="51">
        <f>SUM(H61-H62)</f>
        <v>686938</v>
      </c>
      <c r="I63" s="52">
        <f t="shared" si="2"/>
        <v>97.47368540543916</v>
      </c>
      <c r="J63" s="51">
        <f>H63-'[2]Novembris'!H63+1</f>
        <v>55793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</row>
    <row r="64" spans="1:206" s="54" customFormat="1" ht="17.25" customHeight="1">
      <c r="A64" s="54" t="s">
        <v>167</v>
      </c>
      <c r="B64" s="55">
        <v>10550686</v>
      </c>
      <c r="C64" s="55"/>
      <c r="D64" s="56">
        <f t="shared" si="0"/>
        <v>0</v>
      </c>
      <c r="E64" s="49">
        <f t="shared" si="1"/>
        <v>0</v>
      </c>
      <c r="F64" s="54" t="s">
        <v>167</v>
      </c>
      <c r="G64" s="57">
        <v>11036</v>
      </c>
      <c r="H64" s="57">
        <v>10608</v>
      </c>
      <c r="I64" s="58">
        <f t="shared" si="2"/>
        <v>96.12178325480247</v>
      </c>
      <c r="J64" s="57">
        <f>H64-'[2]Novembris'!H64-1</f>
        <v>1620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</row>
    <row r="65" spans="1:206" s="54" customFormat="1" ht="18.75" customHeight="1">
      <c r="A65" s="53" t="s">
        <v>168</v>
      </c>
      <c r="B65" s="49">
        <f>SUM(B64)</f>
        <v>10550686</v>
      </c>
      <c r="C65" s="49">
        <f>SUM(C64)</f>
        <v>0</v>
      </c>
      <c r="D65" s="50">
        <f t="shared" si="0"/>
        <v>0</v>
      </c>
      <c r="E65" s="49">
        <f t="shared" si="1"/>
        <v>0</v>
      </c>
      <c r="F65" s="53" t="s">
        <v>168</v>
      </c>
      <c r="G65" s="51">
        <f>SUM(G64)</f>
        <v>11036</v>
      </c>
      <c r="H65" s="51">
        <f>SUM(H64)</f>
        <v>10608</v>
      </c>
      <c r="I65" s="52">
        <f t="shared" si="2"/>
        <v>96.12178325480247</v>
      </c>
      <c r="J65" s="51">
        <f>H65-'[2]Novembris'!H65-1</f>
        <v>1620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</row>
    <row r="66" spans="1:206" s="54" customFormat="1" ht="18" customHeight="1">
      <c r="A66" s="54" t="s">
        <v>169</v>
      </c>
      <c r="B66" s="55">
        <v>26845252</v>
      </c>
      <c r="C66" s="55"/>
      <c r="D66" s="56">
        <f t="shared" si="0"/>
        <v>0</v>
      </c>
      <c r="E66" s="49">
        <f t="shared" si="1"/>
        <v>0</v>
      </c>
      <c r="F66" s="54" t="s">
        <v>169</v>
      </c>
      <c r="G66" s="57">
        <v>20608</v>
      </c>
      <c r="H66" s="57">
        <v>18448</v>
      </c>
      <c r="I66" s="58">
        <f t="shared" si="2"/>
        <v>89.51863354037268</v>
      </c>
      <c r="J66" s="57">
        <f>H66-'[2]Novembris'!H66</f>
        <v>3530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</row>
    <row r="67" spans="1:206" s="54" customFormat="1" ht="12.75">
      <c r="A67" s="53" t="s">
        <v>170</v>
      </c>
      <c r="B67" s="49">
        <f>SUM(B66)</f>
        <v>26845252</v>
      </c>
      <c r="C67" s="49">
        <f>SUM(C66)</f>
        <v>0</v>
      </c>
      <c r="D67" s="50">
        <f t="shared" si="0"/>
        <v>0</v>
      </c>
      <c r="E67" s="49">
        <f t="shared" si="1"/>
        <v>0</v>
      </c>
      <c r="F67" s="53" t="s">
        <v>170</v>
      </c>
      <c r="G67" s="51">
        <f>SUM(G66)</f>
        <v>20608</v>
      </c>
      <c r="H67" s="51">
        <f>SUM(H66)</f>
        <v>18448</v>
      </c>
      <c r="I67" s="52">
        <f t="shared" si="2"/>
        <v>89.51863354037268</v>
      </c>
      <c r="J67" s="51">
        <f>H67-'[2]Novembris'!H67</f>
        <v>3530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</row>
    <row r="68" spans="1:206" s="54" customFormat="1" ht="28.5" customHeight="1">
      <c r="A68" s="70" t="s">
        <v>171</v>
      </c>
      <c r="B68" s="49">
        <f>SUM(B24-B58)</f>
        <v>-43684556</v>
      </c>
      <c r="C68" s="49">
        <f>SUM(C24-C58)</f>
        <v>0</v>
      </c>
      <c r="D68" s="50">
        <f t="shared" si="0"/>
        <v>0</v>
      </c>
      <c r="E68" s="49">
        <f t="shared" si="1"/>
        <v>0</v>
      </c>
      <c r="F68" s="70" t="s">
        <v>171</v>
      </c>
      <c r="G68" s="51">
        <f>SUM(G24-G58)</f>
        <v>-44655</v>
      </c>
      <c r="H68" s="51">
        <f>SUM(H24-H58)</f>
        <v>-34340</v>
      </c>
      <c r="I68" s="52">
        <f t="shared" si="2"/>
        <v>76.90068301422014</v>
      </c>
      <c r="J68" s="51">
        <f>H68-'[2]Novembris'!H68</f>
        <v>2052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</row>
    <row r="69" spans="1:206" s="54" customFormat="1" ht="12.75">
      <c r="A69" s="53" t="s">
        <v>172</v>
      </c>
      <c r="B69" s="49">
        <f>SUM(B70)</f>
        <v>6739620</v>
      </c>
      <c r="C69" s="49"/>
      <c r="D69" s="50">
        <f t="shared" si="0"/>
        <v>0</v>
      </c>
      <c r="E69" s="49">
        <f t="shared" si="1"/>
        <v>0</v>
      </c>
      <c r="F69" s="53" t="s">
        <v>172</v>
      </c>
      <c r="G69" s="51">
        <f>SUM(G70)</f>
        <v>6740</v>
      </c>
      <c r="H69" s="51">
        <f>SUM(H70)</f>
        <v>5365</v>
      </c>
      <c r="I69" s="52">
        <f t="shared" si="2"/>
        <v>79.5994065281899</v>
      </c>
      <c r="J69" s="51">
        <f>H69-'[2]Novembris'!H69-1</f>
        <v>680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</row>
    <row r="70" spans="1:206" s="54" customFormat="1" ht="15.75" customHeight="1">
      <c r="A70" s="54" t="s">
        <v>173</v>
      </c>
      <c r="B70" s="55">
        <v>6739620</v>
      </c>
      <c r="C70" s="55"/>
      <c r="D70" s="56">
        <f>IF(ISERROR(C70/B70)," ",(C70/B70))</f>
        <v>0</v>
      </c>
      <c r="E70" s="49">
        <f>C70</f>
        <v>0</v>
      </c>
      <c r="F70" s="54" t="s">
        <v>173</v>
      </c>
      <c r="G70" s="55">
        <f>ROUND(B70/1000,0)</f>
        <v>6740</v>
      </c>
      <c r="H70" s="55">
        <v>5365</v>
      </c>
      <c r="I70" s="72">
        <f t="shared" si="2"/>
        <v>79.5994065281899</v>
      </c>
      <c r="J70" s="55">
        <f>H70-'[2]Novembris'!H70-1</f>
        <v>680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</row>
    <row r="71" spans="1:206" s="54" customFormat="1" ht="15.75" customHeight="1">
      <c r="A71" s="54" t="s">
        <v>174</v>
      </c>
      <c r="B71" s="55">
        <f>SUM(B70)</f>
        <v>6739620</v>
      </c>
      <c r="C71" s="55">
        <f>SUM(C70)</f>
        <v>0</v>
      </c>
      <c r="D71" s="56">
        <f>IF(ISERROR(C71/B71)," ",(C71/B71))</f>
        <v>0</v>
      </c>
      <c r="E71" s="49">
        <f>C71</f>
        <v>0</v>
      </c>
      <c r="F71" s="54" t="s">
        <v>174</v>
      </c>
      <c r="G71" s="55">
        <f>SUM(G70)</f>
        <v>6740</v>
      </c>
      <c r="H71" s="55">
        <f>SUM(H70)</f>
        <v>5365</v>
      </c>
      <c r="I71" s="72">
        <f t="shared" si="2"/>
        <v>79.5994065281899</v>
      </c>
      <c r="J71" s="55">
        <f>H71-'[2]Novembris'!H71-1</f>
        <v>680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</row>
    <row r="72" spans="1:206" s="54" customFormat="1" ht="30.75" customHeight="1">
      <c r="A72" s="70" t="s">
        <v>175</v>
      </c>
      <c r="B72" s="49">
        <f>SUM(B68-B69)</f>
        <v>-50424176</v>
      </c>
      <c r="C72" s="49">
        <f>SUM(C68-C69)</f>
        <v>0</v>
      </c>
      <c r="D72" s="50">
        <f>IF(ISERROR(C72/B72)," ",(C72/B72))</f>
        <v>0</v>
      </c>
      <c r="E72" s="49">
        <f>C72</f>
        <v>0</v>
      </c>
      <c r="F72" s="70" t="s">
        <v>175</v>
      </c>
      <c r="G72" s="51">
        <f>SUM(G68-G69)</f>
        <v>-51395</v>
      </c>
      <c r="H72" s="51">
        <f>SUM(H68-H69)</f>
        <v>-39705</v>
      </c>
      <c r="I72" s="52">
        <f t="shared" si="2"/>
        <v>77.25459675065667</v>
      </c>
      <c r="J72" s="51">
        <f>H72-'[2]Novembris'!H72</f>
        <v>1371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</row>
    <row r="73" spans="1:206" s="75" customFormat="1" ht="12.75">
      <c r="A73" s="73"/>
      <c r="B73" s="74"/>
      <c r="F73" s="27"/>
      <c r="G73" s="7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</row>
    <row r="74" spans="1:206" s="75" customFormat="1" ht="12.75">
      <c r="A74" s="73"/>
      <c r="B74" s="74"/>
      <c r="F74" s="76"/>
      <c r="G74" s="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</row>
    <row r="76" spans="1:10" ht="12.75">
      <c r="A76" s="75"/>
      <c r="F76" s="77" t="s">
        <v>176</v>
      </c>
      <c r="G76" s="45"/>
      <c r="H76" s="78"/>
      <c r="I76" s="43"/>
      <c r="J76" s="43"/>
    </row>
    <row r="78" spans="1:10" ht="12.75">
      <c r="A78" s="77" t="s">
        <v>177</v>
      </c>
      <c r="B78" s="45"/>
      <c r="C78" s="78"/>
      <c r="D78" s="78"/>
      <c r="E78" s="78"/>
      <c r="F78" s="77"/>
      <c r="G78" s="45"/>
      <c r="H78" s="78"/>
      <c r="I78" s="78"/>
      <c r="J78" s="78"/>
    </row>
    <row r="79" spans="1:10" ht="12.75">
      <c r="A79" s="2"/>
      <c r="F79" s="2"/>
      <c r="G79" s="44"/>
      <c r="H79" s="43"/>
      <c r="I79" s="43"/>
      <c r="J79" s="43"/>
    </row>
    <row r="80" spans="6:10" ht="12.75">
      <c r="F80" s="2" t="s">
        <v>178</v>
      </c>
      <c r="G80" s="44"/>
      <c r="H80" s="43"/>
      <c r="I80" s="43"/>
      <c r="J80" s="43"/>
    </row>
    <row r="81" spans="6:10" ht="12.75">
      <c r="F81" s="2" t="s">
        <v>100</v>
      </c>
      <c r="I81" s="43"/>
      <c r="J81" s="43"/>
    </row>
    <row r="82" ht="12.75"/>
    <row r="83" ht="12.75"/>
    <row r="84" ht="12.75"/>
    <row r="85" ht="12.75"/>
    <row r="86" ht="12.75"/>
    <row r="87" ht="15" customHeight="1"/>
    <row r="88" ht="16.5" customHeight="1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</sheetData>
  <mergeCells count="2">
    <mergeCell ref="A4:E4"/>
    <mergeCell ref="F4:J4"/>
  </mergeCells>
  <printOptions/>
  <pageMargins left="0.75" right="0.19" top="0.74" bottom="0.35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W56"/>
  <sheetViews>
    <sheetView workbookViewId="0" topLeftCell="A1">
      <selection activeCell="E62" sqref="E62"/>
    </sheetView>
  </sheetViews>
  <sheetFormatPr defaultColWidth="9.140625" defaultRowHeight="12.75"/>
  <cols>
    <col min="1" max="1" width="64.8515625" style="455" customWidth="1"/>
    <col min="2" max="2" width="19.140625" style="455" customWidth="1"/>
    <col min="154" max="16384" width="9.140625" style="455" customWidth="1"/>
  </cols>
  <sheetData>
    <row r="1" spans="2:153" s="39" customFormat="1" ht="12.75">
      <c r="B1" s="43" t="s">
        <v>25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</row>
    <row r="2" spans="1:153" s="39" customFormat="1" ht="12.75">
      <c r="A2" s="43" t="s">
        <v>26</v>
      </c>
      <c r="B2" s="4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</row>
    <row r="3" spans="3:153" s="2" customFormat="1" ht="12.7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</row>
    <row r="4" spans="1:153" s="2" customFormat="1" ht="15.75">
      <c r="A4" s="545" t="s">
        <v>27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</row>
    <row r="5" spans="1:153" s="2" customFormat="1" ht="15.75">
      <c r="A5" s="46" t="s">
        <v>28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</row>
    <row r="6" spans="1:153" s="2" customFormat="1" ht="12.75">
      <c r="A6" s="459"/>
      <c r="B6" s="459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</row>
    <row r="7" spans="1:153" s="2" customFormat="1" ht="12.75">
      <c r="A7" s="605"/>
      <c r="B7" s="609" t="s">
        <v>245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</row>
    <row r="8" spans="1:153" s="2" customFormat="1" ht="12.75">
      <c r="A8" s="610" t="s">
        <v>59</v>
      </c>
      <c r="B8" s="611" t="s">
        <v>29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</row>
    <row r="9" spans="1:153" s="60" customFormat="1" ht="12.75">
      <c r="A9" s="612">
        <v>1</v>
      </c>
      <c r="B9" s="613">
        <v>2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</row>
    <row r="10" spans="1:153" s="60" customFormat="1" ht="23.25" customHeight="1">
      <c r="A10" s="614" t="s">
        <v>30</v>
      </c>
      <c r="B10" s="615">
        <f>SUM(B11:B16)</f>
        <v>31487349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</row>
    <row r="11" spans="1:153" s="60" customFormat="1" ht="23.25" customHeight="1">
      <c r="A11" s="616" t="s">
        <v>31</v>
      </c>
      <c r="B11" s="617">
        <v>9182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</row>
    <row r="12" spans="1:153" s="60" customFormat="1" ht="19.5" customHeight="1">
      <c r="A12" s="618" t="s">
        <v>32</v>
      </c>
      <c r="B12" s="619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</row>
    <row r="13" spans="1:153" s="60" customFormat="1" ht="17.25" customHeight="1">
      <c r="A13" s="620" t="s">
        <v>33</v>
      </c>
      <c r="B13" s="621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</row>
    <row r="14" spans="1:153" s="60" customFormat="1" ht="23.25" customHeight="1">
      <c r="A14" s="616" t="s">
        <v>34</v>
      </c>
      <c r="B14" s="617">
        <v>6903010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</row>
    <row r="15" spans="1:153" s="60" customFormat="1" ht="23.25" customHeight="1">
      <c r="A15" s="616" t="s">
        <v>35</v>
      </c>
      <c r="B15" s="617">
        <v>24575157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spans="1:153" s="60" customFormat="1" ht="23.25" customHeight="1">
      <c r="A16" s="616" t="s">
        <v>36</v>
      </c>
      <c r="B16" s="617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</row>
    <row r="17" spans="1:153" s="60" customFormat="1" ht="23.25" customHeight="1">
      <c r="A17" s="622" t="s">
        <v>37</v>
      </c>
      <c r="B17" s="615">
        <f>SUM(B18:B19)</f>
        <v>31478167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</row>
    <row r="18" spans="1:153" s="60" customFormat="1" ht="23.25" customHeight="1">
      <c r="A18" s="616" t="s">
        <v>38</v>
      </c>
      <c r="B18" s="617">
        <v>31478167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</row>
    <row r="19" spans="1:153" s="60" customFormat="1" ht="23.25" customHeight="1">
      <c r="A19" s="616" t="s">
        <v>39</v>
      </c>
      <c r="B19" s="617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</row>
    <row r="20" spans="1:153" s="60" customFormat="1" ht="23.25" customHeight="1">
      <c r="A20" s="623" t="s">
        <v>40</v>
      </c>
      <c r="B20" s="624">
        <f>SUM(B10-B17)</f>
        <v>9182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</row>
    <row r="21" spans="1:153" s="572" customFormat="1" ht="12.75">
      <c r="A21" s="75"/>
      <c r="B21" s="75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</row>
    <row r="22" spans="1:153" s="572" customFormat="1" ht="12.75">
      <c r="A22" s="75"/>
      <c r="B22" s="75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</row>
    <row r="23" spans="1:153" s="572" customFormat="1" ht="12.75">
      <c r="A23" s="75"/>
      <c r="B23" s="75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</row>
    <row r="24" spans="1:153" s="572" customFormat="1" ht="12.75">
      <c r="A24" s="75"/>
      <c r="B24" s="75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</row>
    <row r="25" spans="1:153" s="75" customFormat="1" ht="12.75">
      <c r="A25" s="572" t="s">
        <v>41</v>
      </c>
      <c r="B25" s="452" t="s">
        <v>620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</row>
    <row r="26" spans="1:153" s="75" customFormat="1" ht="12.75">
      <c r="A26" s="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</row>
    <row r="27" spans="3:153" s="2" customFormat="1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</row>
    <row r="28" spans="1:153" s="2" customFormat="1" ht="14.25">
      <c r="A28" s="248"/>
      <c r="B28" s="445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</row>
    <row r="29" spans="1:153" s="2" customFormat="1" ht="14.25">
      <c r="A29" s="248"/>
      <c r="B29" s="445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</row>
    <row r="30" spans="1:153" s="2" customFormat="1" ht="14.25">
      <c r="A30" s="248"/>
      <c r="B30" s="49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</row>
    <row r="31" spans="1:153" s="2" customFormat="1" ht="14.25">
      <c r="A31" s="24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</row>
    <row r="32" spans="1:153" s="2" customFormat="1" ht="14.25">
      <c r="A32" s="248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spans="1:153" s="2" customFormat="1" ht="14.25">
      <c r="A33" s="248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</row>
    <row r="34" spans="1:153" s="2" customFormat="1" ht="14.25">
      <c r="A34" s="248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153" s="2" customFormat="1" ht="14.25">
      <c r="A35" s="248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</row>
    <row r="36" spans="1:153" s="2" customFormat="1" ht="14.25">
      <c r="A36" s="248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</row>
    <row r="37" spans="1:153" s="2" customFormat="1" ht="14.25">
      <c r="A37" s="248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</row>
    <row r="38" spans="1:153" s="2" customFormat="1" ht="14.25">
      <c r="A38" s="24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s="2" customFormat="1" ht="14.25">
      <c r="A39" s="248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ht="14.25">
      <c r="A40" s="248"/>
    </row>
    <row r="41" ht="14.25">
      <c r="A41" s="248"/>
    </row>
    <row r="42" ht="14.25">
      <c r="A42" s="248"/>
    </row>
    <row r="43" ht="14.25">
      <c r="A43" s="248"/>
    </row>
    <row r="44" ht="14.25">
      <c r="A44" s="248"/>
    </row>
    <row r="45" ht="14.25">
      <c r="A45" s="248"/>
    </row>
    <row r="46" ht="14.25">
      <c r="A46" s="248"/>
    </row>
    <row r="47" ht="14.25">
      <c r="A47" s="248"/>
    </row>
    <row r="48" ht="14.25">
      <c r="A48" s="248"/>
    </row>
    <row r="49" ht="14.25">
      <c r="A49" s="248"/>
    </row>
    <row r="50" ht="14.25">
      <c r="A50" s="248"/>
    </row>
    <row r="51" ht="14.25">
      <c r="A51" s="248"/>
    </row>
    <row r="52" ht="14.25">
      <c r="A52" s="248"/>
    </row>
    <row r="53" ht="14.25">
      <c r="A53" s="248"/>
    </row>
    <row r="54" ht="14.25">
      <c r="A54" s="248"/>
    </row>
    <row r="55" ht="14.25">
      <c r="A55" s="248"/>
    </row>
    <row r="56" ht="14.25">
      <c r="A56" s="24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E62" sqref="E62"/>
    </sheetView>
  </sheetViews>
  <sheetFormatPr defaultColWidth="9.140625" defaultRowHeight="12.75"/>
  <cols>
    <col min="1" max="1" width="19.140625" style="455" customWidth="1"/>
    <col min="2" max="3" width="13.140625" style="455" customWidth="1"/>
    <col min="4" max="4" width="14.00390625" style="455" customWidth="1"/>
    <col min="5" max="5" width="16.57421875" style="455" customWidth="1"/>
    <col min="6" max="6" width="9.7109375" style="455" customWidth="1"/>
    <col min="7" max="8" width="8.8515625" style="455" customWidth="1"/>
    <col min="9" max="9" width="14.8515625" style="455" customWidth="1"/>
    <col min="10" max="16384" width="9.140625" style="455" customWidth="1"/>
  </cols>
  <sheetData>
    <row r="1" spans="1:10" ht="12.75" customHeight="1">
      <c r="A1" s="43" t="s">
        <v>42</v>
      </c>
      <c r="B1" s="43"/>
      <c r="C1" s="43"/>
      <c r="D1" s="43"/>
      <c r="E1" s="43"/>
      <c r="F1" s="43"/>
      <c r="G1" s="43"/>
      <c r="H1" s="43"/>
      <c r="I1" s="36" t="s">
        <v>43</v>
      </c>
      <c r="J1" s="461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164" t="s">
        <v>44</v>
      </c>
      <c r="B4" s="421"/>
      <c r="C4" s="421"/>
      <c r="D4" s="421"/>
      <c r="E4" s="421"/>
      <c r="F4" s="421"/>
      <c r="G4" s="421"/>
      <c r="H4" s="421"/>
      <c r="I4" s="421"/>
    </row>
    <row r="5" spans="1:9" ht="15.75">
      <c r="A5" s="164" t="s">
        <v>45</v>
      </c>
      <c r="B5" s="474"/>
      <c r="C5" s="164"/>
      <c r="D5" s="164"/>
      <c r="E5" s="164"/>
      <c r="F5" s="165"/>
      <c r="G5" s="165"/>
      <c r="H5" s="165"/>
      <c r="I5" s="165"/>
    </row>
    <row r="6" spans="1:9" ht="15.75">
      <c r="A6" s="545"/>
      <c r="B6" s="2"/>
      <c r="C6" s="2"/>
      <c r="D6" s="2"/>
      <c r="E6" s="2"/>
      <c r="F6" s="2"/>
      <c r="G6" s="2"/>
      <c r="H6" s="2"/>
      <c r="I6" s="2"/>
    </row>
    <row r="7" spans="1:9" ht="11.25">
      <c r="A7" s="459"/>
      <c r="B7" s="459"/>
      <c r="C7" s="459"/>
      <c r="D7" s="459"/>
      <c r="E7" s="459"/>
      <c r="F7" s="459"/>
      <c r="G7" s="459"/>
      <c r="H7" s="459"/>
      <c r="I7" s="459" t="s">
        <v>46</v>
      </c>
    </row>
    <row r="8" spans="1:9" ht="56.25">
      <c r="A8" s="5" t="s">
        <v>47</v>
      </c>
      <c r="B8" s="5" t="s">
        <v>48</v>
      </c>
      <c r="C8" s="5" t="s">
        <v>49</v>
      </c>
      <c r="D8" s="5" t="s">
        <v>50</v>
      </c>
      <c r="E8" s="5" t="s">
        <v>51</v>
      </c>
      <c r="F8" s="5" t="s">
        <v>52</v>
      </c>
      <c r="G8" s="625" t="s">
        <v>53</v>
      </c>
      <c r="H8" s="626"/>
      <c r="I8" s="5" t="s">
        <v>54</v>
      </c>
    </row>
    <row r="9" spans="1:9" ht="11.25">
      <c r="A9" s="5"/>
      <c r="B9" s="5"/>
      <c r="C9" s="5"/>
      <c r="D9" s="5"/>
      <c r="E9" s="5"/>
      <c r="F9" s="5"/>
      <c r="G9" s="5" t="s">
        <v>55</v>
      </c>
      <c r="H9" s="5" t="s">
        <v>56</v>
      </c>
      <c r="I9" s="5"/>
    </row>
    <row r="10" spans="1:9" ht="11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ht="12">
      <c r="A11" s="197" t="s">
        <v>751</v>
      </c>
      <c r="B11" s="225">
        <v>350000</v>
      </c>
      <c r="C11" s="225">
        <v>3835655</v>
      </c>
      <c r="D11" s="462">
        <f>11087+11087+11087+11111</f>
        <v>44372</v>
      </c>
      <c r="E11" s="225">
        <v>19465993</v>
      </c>
      <c r="F11" s="462"/>
      <c r="G11" s="462"/>
      <c r="H11" s="462"/>
      <c r="I11" s="225">
        <f aca="true" t="shared" si="0" ref="I11:I43">SUM(B11:H11)</f>
        <v>23696020</v>
      </c>
    </row>
    <row r="12" spans="1:9" ht="12">
      <c r="A12" s="197" t="s">
        <v>752</v>
      </c>
      <c r="B12" s="462">
        <v>534000</v>
      </c>
      <c r="C12" s="462">
        <v>524016</v>
      </c>
      <c r="D12" s="462">
        <f>1090+1090+1090+1088</f>
        <v>4358</v>
      </c>
      <c r="E12" s="225">
        <v>3193534</v>
      </c>
      <c r="F12" s="462"/>
      <c r="G12" s="462"/>
      <c r="H12" s="462">
        <v>11250</v>
      </c>
      <c r="I12" s="225">
        <f t="shared" si="0"/>
        <v>4267158</v>
      </c>
    </row>
    <row r="13" spans="1:9" ht="12">
      <c r="A13" s="197" t="s">
        <v>753</v>
      </c>
      <c r="B13" s="462">
        <v>651223</v>
      </c>
      <c r="C13" s="462">
        <v>417353</v>
      </c>
      <c r="D13" s="462">
        <f>3087+3087+3087+3086</f>
        <v>12347</v>
      </c>
      <c r="E13" s="225">
        <v>1992363</v>
      </c>
      <c r="F13" s="462"/>
      <c r="G13" s="462">
        <v>91</v>
      </c>
      <c r="H13" s="462">
        <v>6092</v>
      </c>
      <c r="I13" s="225">
        <f t="shared" si="0"/>
        <v>3079469</v>
      </c>
    </row>
    <row r="14" spans="1:9" ht="12">
      <c r="A14" s="197" t="s">
        <v>754</v>
      </c>
      <c r="B14" s="462">
        <v>39000</v>
      </c>
      <c r="C14" s="462">
        <v>120126</v>
      </c>
      <c r="D14" s="462">
        <f>194+194+194+192</f>
        <v>774</v>
      </c>
      <c r="E14" s="225">
        <v>1514120</v>
      </c>
      <c r="F14" s="462"/>
      <c r="G14" s="462"/>
      <c r="H14" s="462"/>
      <c r="I14" s="225">
        <f t="shared" si="0"/>
        <v>1674020</v>
      </c>
    </row>
    <row r="15" spans="1:9" ht="12">
      <c r="A15" s="197" t="s">
        <v>755</v>
      </c>
      <c r="B15" s="462">
        <v>662999</v>
      </c>
      <c r="C15" s="462">
        <v>612265</v>
      </c>
      <c r="D15" s="462">
        <f>1090+1090+1090+1088</f>
        <v>4358</v>
      </c>
      <c r="E15" s="225">
        <v>2302091</v>
      </c>
      <c r="F15" s="462"/>
      <c r="G15" s="462"/>
      <c r="H15" s="462"/>
      <c r="I15" s="225">
        <f t="shared" si="0"/>
        <v>3581713</v>
      </c>
    </row>
    <row r="16" spans="1:9" ht="12">
      <c r="A16" s="197" t="s">
        <v>756</v>
      </c>
      <c r="B16" s="462">
        <v>85893</v>
      </c>
      <c r="C16" s="462">
        <v>441353</v>
      </c>
      <c r="D16" s="462">
        <f>908+908+908+907</f>
        <v>3631</v>
      </c>
      <c r="E16" s="462">
        <v>1167601</v>
      </c>
      <c r="F16" s="462"/>
      <c r="G16" s="462"/>
      <c r="H16" s="462">
        <v>7500</v>
      </c>
      <c r="I16" s="225">
        <f t="shared" si="0"/>
        <v>1705978</v>
      </c>
    </row>
    <row r="17" spans="1:9" ht="12">
      <c r="A17" s="197" t="s">
        <v>757</v>
      </c>
      <c r="B17" s="462">
        <v>276000</v>
      </c>
      <c r="C17" s="462">
        <v>43854</v>
      </c>
      <c r="D17" s="462">
        <f>726+726+726+727</f>
        <v>2905</v>
      </c>
      <c r="E17" s="225">
        <v>1194728</v>
      </c>
      <c r="F17" s="462"/>
      <c r="G17" s="462"/>
      <c r="H17" s="462">
        <v>11250</v>
      </c>
      <c r="I17" s="225">
        <f t="shared" si="0"/>
        <v>1528737</v>
      </c>
    </row>
    <row r="18" spans="1:9" ht="12">
      <c r="A18" s="197" t="s">
        <v>760</v>
      </c>
      <c r="B18" s="462">
        <f>370000+22000+65000</f>
        <v>457000</v>
      </c>
      <c r="C18" s="462">
        <v>414085</v>
      </c>
      <c r="D18" s="462">
        <f>726+726+726+727</f>
        <v>2905</v>
      </c>
      <c r="E18" s="225">
        <v>1641660</v>
      </c>
      <c r="F18" s="462"/>
      <c r="G18" s="462"/>
      <c r="H18" s="462">
        <v>15750</v>
      </c>
      <c r="I18" s="225">
        <f t="shared" si="0"/>
        <v>2531400</v>
      </c>
    </row>
    <row r="19" spans="1:9" ht="12">
      <c r="A19" s="197" t="s">
        <v>761</v>
      </c>
      <c r="B19" s="462">
        <v>104000</v>
      </c>
      <c r="C19" s="462">
        <v>467196</v>
      </c>
      <c r="D19" s="462">
        <f>908+908+908+908</f>
        <v>3632</v>
      </c>
      <c r="E19" s="462">
        <v>1008555</v>
      </c>
      <c r="F19" s="462"/>
      <c r="G19" s="462">
        <v>4841</v>
      </c>
      <c r="H19" s="462"/>
      <c r="I19" s="225">
        <f t="shared" si="0"/>
        <v>1588224</v>
      </c>
    </row>
    <row r="20" spans="1:9" ht="12">
      <c r="A20" s="197" t="s">
        <v>762</v>
      </c>
      <c r="B20" s="462">
        <f>50000+191000+9980+2000</f>
        <v>252980</v>
      </c>
      <c r="C20" s="462">
        <v>382885</v>
      </c>
      <c r="D20" s="462">
        <f>1453+1453+1453+1451</f>
        <v>5810</v>
      </c>
      <c r="E20" s="462">
        <v>1153624</v>
      </c>
      <c r="F20" s="462"/>
      <c r="G20" s="462">
        <v>3875</v>
      </c>
      <c r="H20" s="462"/>
      <c r="I20" s="225">
        <f t="shared" si="0"/>
        <v>1799174</v>
      </c>
    </row>
    <row r="21" spans="1:9" ht="12">
      <c r="A21" s="197" t="s">
        <v>763</v>
      </c>
      <c r="B21" s="462">
        <f>334000+20000+28000</f>
        <v>382000</v>
      </c>
      <c r="C21" s="462">
        <v>644465</v>
      </c>
      <c r="D21" s="462">
        <f>1271+1271+1271+1271</f>
        <v>5084</v>
      </c>
      <c r="E21" s="225">
        <v>1874325</v>
      </c>
      <c r="F21" s="462"/>
      <c r="G21" s="462">
        <v>1750</v>
      </c>
      <c r="H21" s="462">
        <v>9750</v>
      </c>
      <c r="I21" s="225">
        <f t="shared" si="0"/>
        <v>2917374</v>
      </c>
    </row>
    <row r="22" spans="1:9" ht="12">
      <c r="A22" s="197" t="s">
        <v>764</v>
      </c>
      <c r="B22" s="462">
        <f>190000+5000+62000+14000+8000+15000</f>
        <v>294000</v>
      </c>
      <c r="C22" s="225">
        <v>1141208</v>
      </c>
      <c r="D22" s="462">
        <f>1453+1453+1453+1451</f>
        <v>5810</v>
      </c>
      <c r="E22" s="225">
        <v>2231946</v>
      </c>
      <c r="F22" s="462"/>
      <c r="G22" s="462">
        <v>3000</v>
      </c>
      <c r="H22" s="462">
        <v>19838</v>
      </c>
      <c r="I22" s="225">
        <f t="shared" si="0"/>
        <v>3695802</v>
      </c>
    </row>
    <row r="23" spans="1:9" ht="12">
      <c r="A23" s="197" t="s">
        <v>765</v>
      </c>
      <c r="B23" s="462">
        <f>27000+28000+20000+34000+178000+41000+27000+42000</f>
        <v>397000</v>
      </c>
      <c r="C23" s="462">
        <v>351619</v>
      </c>
      <c r="D23" s="462">
        <f>545+545+545+544</f>
        <v>2179</v>
      </c>
      <c r="E23" s="225">
        <v>1342753</v>
      </c>
      <c r="F23" s="462"/>
      <c r="G23" s="462">
        <v>10495</v>
      </c>
      <c r="H23" s="462">
        <v>37500</v>
      </c>
      <c r="I23" s="225">
        <f t="shared" si="0"/>
        <v>2141546</v>
      </c>
    </row>
    <row r="24" spans="1:9" ht="12">
      <c r="A24" s="197" t="s">
        <v>766</v>
      </c>
      <c r="B24" s="462">
        <f>328000+8000</f>
        <v>336000</v>
      </c>
      <c r="C24" s="462">
        <v>155240</v>
      </c>
      <c r="D24" s="462">
        <f>908+908+908+908</f>
        <v>3632</v>
      </c>
      <c r="E24" s="225">
        <v>1612785</v>
      </c>
      <c r="F24" s="462"/>
      <c r="G24" s="462"/>
      <c r="H24" s="462">
        <v>40763</v>
      </c>
      <c r="I24" s="225">
        <f t="shared" si="0"/>
        <v>2148420</v>
      </c>
    </row>
    <row r="25" spans="1:9" ht="12">
      <c r="A25" s="197" t="s">
        <v>767</v>
      </c>
      <c r="B25" s="462">
        <v>420000</v>
      </c>
      <c r="C25" s="462">
        <v>155991</v>
      </c>
      <c r="D25" s="462">
        <f>545+545+545+544</f>
        <v>2179</v>
      </c>
      <c r="E25" s="462">
        <v>1085949</v>
      </c>
      <c r="F25" s="462"/>
      <c r="G25" s="462">
        <v>2983</v>
      </c>
      <c r="H25" s="462">
        <v>5250</v>
      </c>
      <c r="I25" s="225">
        <f t="shared" si="0"/>
        <v>1672352</v>
      </c>
    </row>
    <row r="26" spans="1:9" ht="12">
      <c r="A26" s="197" t="s">
        <v>768</v>
      </c>
      <c r="B26" s="462"/>
      <c r="C26" s="462">
        <v>307386</v>
      </c>
      <c r="D26" s="462">
        <f>726+726+726+727</f>
        <v>2905</v>
      </c>
      <c r="E26" s="225">
        <v>1306577</v>
      </c>
      <c r="F26" s="462"/>
      <c r="G26" s="462"/>
      <c r="H26" s="462"/>
      <c r="I26" s="225">
        <f t="shared" si="0"/>
        <v>1616868</v>
      </c>
    </row>
    <row r="27" spans="1:9" ht="12">
      <c r="A27" s="197" t="s">
        <v>769</v>
      </c>
      <c r="B27" s="462">
        <f>393000+8000</f>
        <v>401000</v>
      </c>
      <c r="C27" s="462">
        <v>508307</v>
      </c>
      <c r="D27" s="462">
        <f>908+908+908+908</f>
        <v>3632</v>
      </c>
      <c r="E27" s="225">
        <v>1873919</v>
      </c>
      <c r="F27" s="462"/>
      <c r="G27" s="462">
        <v>1076</v>
      </c>
      <c r="H27" s="462">
        <v>19819</v>
      </c>
      <c r="I27" s="225">
        <f t="shared" si="0"/>
        <v>2807753</v>
      </c>
    </row>
    <row r="28" spans="1:9" ht="12">
      <c r="A28" s="197" t="s">
        <v>770</v>
      </c>
      <c r="B28" s="462">
        <v>100000</v>
      </c>
      <c r="C28" s="462">
        <v>163481</v>
      </c>
      <c r="D28" s="462">
        <f>578+578+578+576</f>
        <v>2310</v>
      </c>
      <c r="E28" s="225">
        <v>1398967</v>
      </c>
      <c r="F28" s="462"/>
      <c r="G28" s="462"/>
      <c r="H28" s="462">
        <v>5250</v>
      </c>
      <c r="I28" s="225">
        <f t="shared" si="0"/>
        <v>1670008</v>
      </c>
    </row>
    <row r="29" spans="1:9" ht="12">
      <c r="A29" s="197" t="s">
        <v>771</v>
      </c>
      <c r="B29" s="462">
        <f>261000+94000+291000</f>
        <v>646000</v>
      </c>
      <c r="C29" s="462">
        <v>508884</v>
      </c>
      <c r="D29" s="462">
        <f>908+908+908+908</f>
        <v>3632</v>
      </c>
      <c r="E29" s="225">
        <v>1551454</v>
      </c>
      <c r="F29" s="462"/>
      <c r="G29" s="462">
        <v>4050</v>
      </c>
      <c r="H29" s="462">
        <v>41400</v>
      </c>
      <c r="I29" s="225">
        <f t="shared" si="0"/>
        <v>2755420</v>
      </c>
    </row>
    <row r="30" spans="1:9" ht="12">
      <c r="A30" s="197" t="s">
        <v>772</v>
      </c>
      <c r="B30" s="462">
        <f>20000+5999+10000+26000</f>
        <v>61999</v>
      </c>
      <c r="C30" s="462">
        <v>576943</v>
      </c>
      <c r="D30" s="462">
        <f>908+908+908+907</f>
        <v>3631</v>
      </c>
      <c r="E30" s="225">
        <v>1753331</v>
      </c>
      <c r="F30" s="462"/>
      <c r="G30" s="462">
        <v>10125</v>
      </c>
      <c r="H30" s="462">
        <v>31500</v>
      </c>
      <c r="I30" s="225">
        <f t="shared" si="0"/>
        <v>2437529</v>
      </c>
    </row>
    <row r="31" spans="1:9" ht="12">
      <c r="A31" s="197" t="s">
        <v>773</v>
      </c>
      <c r="B31" s="462">
        <f>300000+120000+28000</f>
        <v>448000</v>
      </c>
      <c r="C31" s="462">
        <v>179200</v>
      </c>
      <c r="D31" s="462">
        <f>908+908+908+907</f>
        <v>3631</v>
      </c>
      <c r="E31" s="225">
        <v>1453633</v>
      </c>
      <c r="F31" s="462"/>
      <c r="G31" s="462">
        <v>1250</v>
      </c>
      <c r="H31" s="462">
        <v>10200</v>
      </c>
      <c r="I31" s="225">
        <f t="shared" si="0"/>
        <v>2095914</v>
      </c>
    </row>
    <row r="32" spans="1:9" ht="12">
      <c r="A32" s="197" t="s">
        <v>774</v>
      </c>
      <c r="B32" s="462">
        <v>46000</v>
      </c>
      <c r="C32" s="462">
        <v>162941</v>
      </c>
      <c r="D32" s="462">
        <f>908+908+908+907</f>
        <v>3631</v>
      </c>
      <c r="E32" s="225">
        <v>1225548</v>
      </c>
      <c r="F32" s="462"/>
      <c r="G32" s="462">
        <v>10500</v>
      </c>
      <c r="H32" s="462">
        <v>30135</v>
      </c>
      <c r="I32" s="225">
        <f t="shared" si="0"/>
        <v>1478755</v>
      </c>
    </row>
    <row r="33" spans="1:9" ht="12">
      <c r="A33" s="197" t="s">
        <v>775</v>
      </c>
      <c r="B33" s="462">
        <f>280000+19997+15000+47000</f>
        <v>361997</v>
      </c>
      <c r="C33" s="462">
        <v>302021</v>
      </c>
      <c r="D33" s="462">
        <f>1634+1634+1634+1635</f>
        <v>6537</v>
      </c>
      <c r="E33" s="225">
        <v>1709876</v>
      </c>
      <c r="F33" s="462"/>
      <c r="G33" s="462"/>
      <c r="H33" s="462">
        <v>4425</v>
      </c>
      <c r="I33" s="225">
        <f t="shared" si="0"/>
        <v>2384856</v>
      </c>
    </row>
    <row r="34" spans="1:9" ht="12">
      <c r="A34" s="197" t="s">
        <v>776</v>
      </c>
      <c r="B34" s="462">
        <f>13000+12996+73000+57000+32000</f>
        <v>187996</v>
      </c>
      <c r="C34" s="462">
        <v>302298</v>
      </c>
      <c r="D34" s="462">
        <f>1453+1453+1453+1451</f>
        <v>5810</v>
      </c>
      <c r="E34" s="225">
        <v>2172538</v>
      </c>
      <c r="F34" s="462"/>
      <c r="G34" s="462">
        <v>742</v>
      </c>
      <c r="H34" s="462"/>
      <c r="I34" s="225">
        <f t="shared" si="0"/>
        <v>2669384</v>
      </c>
    </row>
    <row r="35" spans="1:9" ht="12">
      <c r="A35" s="197" t="s">
        <v>777</v>
      </c>
      <c r="B35" s="462">
        <f>151000+105500+7000</f>
        <v>263500</v>
      </c>
      <c r="C35" s="462">
        <v>425429</v>
      </c>
      <c r="D35" s="462">
        <f>1453+1453+1453+1451</f>
        <v>5810</v>
      </c>
      <c r="E35" s="225">
        <v>1594971</v>
      </c>
      <c r="F35" s="462"/>
      <c r="G35" s="462">
        <v>9992</v>
      </c>
      <c r="H35" s="462"/>
      <c r="I35" s="225">
        <f t="shared" si="0"/>
        <v>2299702</v>
      </c>
    </row>
    <row r="36" spans="1:9" ht="12">
      <c r="A36" s="197" t="s">
        <v>778</v>
      </c>
      <c r="B36" s="462">
        <f>51000+9000</f>
        <v>60000</v>
      </c>
      <c r="C36" s="462">
        <v>669228</v>
      </c>
      <c r="D36" s="462">
        <f>908+908+908+907</f>
        <v>3631</v>
      </c>
      <c r="E36" s="225">
        <v>1516110</v>
      </c>
      <c r="F36" s="462"/>
      <c r="G36" s="462">
        <v>1750</v>
      </c>
      <c r="H36" s="462">
        <v>36000</v>
      </c>
      <c r="I36" s="225">
        <f t="shared" si="0"/>
        <v>2286719</v>
      </c>
    </row>
    <row r="37" spans="1:9" ht="12">
      <c r="A37" s="197" t="s">
        <v>779</v>
      </c>
      <c r="B37" s="462">
        <f>185000+13000+10000+250000+87000+63000+20000+91000+13000+92000+61000</f>
        <v>885000</v>
      </c>
      <c r="C37" s="462">
        <v>613367</v>
      </c>
      <c r="D37" s="462">
        <f>2905+2905+2905+2906</f>
        <v>11621</v>
      </c>
      <c r="E37" s="225">
        <v>4019096</v>
      </c>
      <c r="F37" s="462"/>
      <c r="G37" s="462">
        <v>6220</v>
      </c>
      <c r="H37" s="462">
        <v>12000</v>
      </c>
      <c r="I37" s="225">
        <f t="shared" si="0"/>
        <v>5547304</v>
      </c>
    </row>
    <row r="38" spans="1:9" ht="12">
      <c r="A38" s="197" t="s">
        <v>780</v>
      </c>
      <c r="B38" s="462">
        <f>188000+219000+38000</f>
        <v>445000</v>
      </c>
      <c r="C38" s="462">
        <v>654870</v>
      </c>
      <c r="D38" s="462">
        <f>908+908+908+907</f>
        <v>3631</v>
      </c>
      <c r="E38" s="225">
        <v>1422632</v>
      </c>
      <c r="F38" s="462"/>
      <c r="G38" s="462"/>
      <c r="H38" s="462"/>
      <c r="I38" s="225">
        <f t="shared" si="0"/>
        <v>2526133</v>
      </c>
    </row>
    <row r="39" spans="1:9" ht="12">
      <c r="A39" s="197" t="s">
        <v>0</v>
      </c>
      <c r="B39" s="462">
        <f>10000+362000+29000+377000</f>
        <v>778000</v>
      </c>
      <c r="C39" s="462">
        <v>291856</v>
      </c>
      <c r="D39" s="462">
        <f>1271+1271+1271+1271</f>
        <v>5084</v>
      </c>
      <c r="E39" s="225">
        <v>1903437</v>
      </c>
      <c r="F39" s="462"/>
      <c r="G39" s="462">
        <v>5850</v>
      </c>
      <c r="H39" s="462">
        <v>5250</v>
      </c>
      <c r="I39" s="225">
        <f t="shared" si="0"/>
        <v>2989477</v>
      </c>
    </row>
    <row r="40" spans="1:9" ht="12">
      <c r="A40" s="197" t="s">
        <v>1</v>
      </c>
      <c r="B40" s="225">
        <f>222000+10000+11000+12000+45000+425+88000</f>
        <v>388425</v>
      </c>
      <c r="C40" s="462">
        <v>854049</v>
      </c>
      <c r="D40" s="462">
        <f>908+908+908+907</f>
        <v>3631</v>
      </c>
      <c r="E40" s="225">
        <v>1944217</v>
      </c>
      <c r="F40" s="225"/>
      <c r="G40" s="225">
        <v>820</v>
      </c>
      <c r="H40" s="225">
        <v>17639</v>
      </c>
      <c r="I40" s="225">
        <f t="shared" si="0"/>
        <v>3208781</v>
      </c>
    </row>
    <row r="41" spans="1:9" ht="12">
      <c r="A41" s="197" t="s">
        <v>2</v>
      </c>
      <c r="B41" s="462">
        <v>40000</v>
      </c>
      <c r="C41" s="462">
        <v>212075</v>
      </c>
      <c r="D41" s="462">
        <f>1453+1453+1453+1451</f>
        <v>5810</v>
      </c>
      <c r="E41" s="225">
        <v>1251166</v>
      </c>
      <c r="F41" s="225"/>
      <c r="G41" s="225">
        <v>3500</v>
      </c>
      <c r="H41" s="225">
        <v>24600</v>
      </c>
      <c r="I41" s="225">
        <f t="shared" si="0"/>
        <v>1537151</v>
      </c>
    </row>
    <row r="42" spans="1:9" ht="12">
      <c r="A42" s="197" t="s">
        <v>3</v>
      </c>
      <c r="B42" s="462">
        <v>300000</v>
      </c>
      <c r="C42" s="462">
        <v>864482</v>
      </c>
      <c r="D42" s="462">
        <f>1634+1634+1634+1635</f>
        <v>6537</v>
      </c>
      <c r="E42" s="225">
        <v>2325611</v>
      </c>
      <c r="F42" s="225"/>
      <c r="G42" s="225">
        <v>2614</v>
      </c>
      <c r="H42" s="225">
        <v>7500</v>
      </c>
      <c r="I42" s="225">
        <f t="shared" si="0"/>
        <v>3506744</v>
      </c>
    </row>
    <row r="43" spans="1:9" ht="12">
      <c r="A43" s="197" t="s">
        <v>4</v>
      </c>
      <c r="B43" s="462">
        <v>46996</v>
      </c>
      <c r="C43" s="462">
        <v>205282</v>
      </c>
      <c r="D43" s="462">
        <f>694+694+694+692</f>
        <v>2774</v>
      </c>
      <c r="E43" s="462">
        <v>535207</v>
      </c>
      <c r="F43" s="507"/>
      <c r="G43" s="225">
        <v>1575</v>
      </c>
      <c r="H43" s="225">
        <v>21000</v>
      </c>
      <c r="I43" s="225">
        <f t="shared" si="0"/>
        <v>812834</v>
      </c>
    </row>
    <row r="44" spans="1:9" ht="12.75">
      <c r="A44" s="381" t="s">
        <v>6</v>
      </c>
      <c r="B44" s="627">
        <f aca="true" t="shared" si="1" ref="B44:H44">SUM(B11:B43)</f>
        <v>10702008</v>
      </c>
      <c r="C44" s="627">
        <f t="shared" si="1"/>
        <v>17509410</v>
      </c>
      <c r="D44" s="627">
        <f t="shared" si="1"/>
        <v>188224</v>
      </c>
      <c r="E44" s="627">
        <f t="shared" si="1"/>
        <v>73740317</v>
      </c>
      <c r="F44" s="627">
        <f t="shared" si="1"/>
        <v>0</v>
      </c>
      <c r="G44" s="627">
        <f t="shared" si="1"/>
        <v>87099</v>
      </c>
      <c r="H44" s="627">
        <f t="shared" si="1"/>
        <v>431661</v>
      </c>
      <c r="I44" s="627">
        <f>SUM(B44:H45)</f>
        <v>102658719</v>
      </c>
    </row>
    <row r="45" spans="1:9" ht="12">
      <c r="A45" s="628"/>
      <c r="B45" s="629"/>
      <c r="C45" s="629"/>
      <c r="D45" s="629"/>
      <c r="E45" s="629"/>
      <c r="F45" s="629"/>
      <c r="G45" s="629"/>
      <c r="H45" s="629"/>
      <c r="I45" s="629"/>
    </row>
    <row r="46" spans="1:9" ht="12">
      <c r="A46" s="628"/>
      <c r="B46" s="629"/>
      <c r="C46" s="629"/>
      <c r="D46" s="630"/>
      <c r="E46" s="629"/>
      <c r="F46" s="629"/>
      <c r="G46" s="629"/>
      <c r="H46" s="629"/>
      <c r="I46" s="629"/>
    </row>
    <row r="47" spans="1:9" ht="12">
      <c r="A47" s="628"/>
      <c r="B47" s="629"/>
      <c r="C47" s="629"/>
      <c r="D47" s="629"/>
      <c r="E47" s="629"/>
      <c r="F47" s="629"/>
      <c r="G47" s="629"/>
      <c r="H47" s="629"/>
      <c r="I47" s="629"/>
    </row>
    <row r="48" spans="1:8" ht="12.75">
      <c r="A48" s="631"/>
      <c r="B48" s="632"/>
      <c r="C48" s="633"/>
      <c r="D48" s="634"/>
      <c r="E48" s="634"/>
      <c r="F48" s="634"/>
      <c r="G48" s="634"/>
      <c r="H48" s="634"/>
    </row>
    <row r="49" spans="1:9" s="2" customFormat="1" ht="12">
      <c r="A49" s="574" t="s">
        <v>659</v>
      </c>
      <c r="B49" s="574"/>
      <c r="C49" s="635"/>
      <c r="D49" s="636"/>
      <c r="E49" s="637"/>
      <c r="F49" s="638"/>
      <c r="G49" s="636"/>
      <c r="H49" s="637"/>
      <c r="I49" s="452" t="s">
        <v>620</v>
      </c>
    </row>
    <row r="50" spans="1:9" ht="12">
      <c r="A50" s="639"/>
      <c r="B50" s="128"/>
      <c r="C50" s="128"/>
      <c r="D50" s="128"/>
      <c r="E50" s="640"/>
      <c r="F50" s="641"/>
      <c r="G50" s="641"/>
      <c r="H50" s="641"/>
      <c r="I50" s="640"/>
    </row>
    <row r="62" ht="11.25">
      <c r="A62" s="39" t="s">
        <v>621</v>
      </c>
    </row>
    <row r="63" ht="11.25">
      <c r="A63" s="455" t="s">
        <v>100</v>
      </c>
    </row>
  </sheetData>
  <printOptions/>
  <pageMargins left="1.21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G44">
      <selection activeCell="G51" sqref="G51"/>
    </sheetView>
  </sheetViews>
  <sheetFormatPr defaultColWidth="9.140625" defaultRowHeight="12.75"/>
  <cols>
    <col min="1" max="1" width="36.00390625" style="0" hidden="1" customWidth="1"/>
    <col min="2" max="2" width="13.8515625" style="0" hidden="1" customWidth="1"/>
    <col min="3" max="3" width="10.421875" style="0" hidden="1" customWidth="1"/>
    <col min="4" max="4" width="13.8515625" style="0" hidden="1" customWidth="1"/>
    <col min="5" max="5" width="9.140625" style="0" hidden="1" customWidth="1"/>
    <col min="6" max="6" width="11.57421875" style="0" hidden="1" customWidth="1"/>
    <col min="7" max="7" width="40.8515625" style="0" customWidth="1"/>
    <col min="8" max="8" width="12.28125" style="0" customWidth="1"/>
    <col min="9" max="9" width="10.140625" style="0" customWidth="1"/>
    <col min="10" max="10" width="10.28125" style="0" customWidth="1"/>
    <col min="12" max="12" width="10.57421875" style="0" customWidth="1"/>
    <col min="13" max="13" width="12.28125" style="0" hidden="1" customWidth="1"/>
    <col min="14" max="14" width="12.421875" style="0" hidden="1" customWidth="1"/>
    <col min="15" max="15" width="12.00390625" style="0" hidden="1" customWidth="1"/>
    <col min="16" max="16" width="16.421875" style="0" hidden="1" customWidth="1"/>
    <col min="17" max="17" width="16.7109375" style="0" hidden="1" customWidth="1"/>
    <col min="18" max="18" width="13.00390625" style="0" hidden="1" customWidth="1"/>
    <col min="19" max="20" width="9.140625" style="0" hidden="1" customWidth="1"/>
    <col min="21" max="21" width="14.140625" style="0" hidden="1" customWidth="1"/>
    <col min="22" max="22" width="9.140625" style="0" hidden="1" customWidth="1"/>
    <col min="23" max="23" width="12.28125" style="0" hidden="1" customWidth="1"/>
    <col min="24" max="24" width="9.140625" style="0" hidden="1" customWidth="1"/>
    <col min="25" max="25" width="12.00390625" style="0" hidden="1" customWidth="1"/>
  </cols>
  <sheetData>
    <row r="1" spans="1:12" ht="19.5" customHeight="1">
      <c r="A1" s="43"/>
      <c r="B1" s="43"/>
      <c r="C1" s="79"/>
      <c r="D1" s="43"/>
      <c r="E1" s="43"/>
      <c r="F1" s="36" t="s">
        <v>179</v>
      </c>
      <c r="G1" s="43"/>
      <c r="H1" s="43"/>
      <c r="I1" s="43"/>
      <c r="J1" s="43"/>
      <c r="K1" s="43"/>
      <c r="L1" s="36" t="s">
        <v>179</v>
      </c>
    </row>
    <row r="2" spans="1:12" ht="12.75">
      <c r="A2" s="32" t="s">
        <v>180</v>
      </c>
      <c r="B2" s="32"/>
      <c r="C2" s="80"/>
      <c r="D2" s="32"/>
      <c r="E2" s="32"/>
      <c r="F2" s="43"/>
      <c r="G2" s="32" t="s">
        <v>181</v>
      </c>
      <c r="H2" s="32"/>
      <c r="I2" s="32"/>
      <c r="J2" s="32"/>
      <c r="K2" s="32"/>
      <c r="L2" s="43"/>
    </row>
    <row r="3" spans="1:12" ht="11.25" customHeight="1">
      <c r="A3" s="81"/>
      <c r="B3" s="43"/>
      <c r="C3" s="79"/>
      <c r="D3" s="43"/>
      <c r="E3" s="43"/>
      <c r="F3" s="43"/>
      <c r="G3" s="81"/>
      <c r="H3" s="43"/>
      <c r="I3" s="43"/>
      <c r="J3" s="43"/>
      <c r="K3" s="43"/>
      <c r="L3" s="43"/>
    </row>
    <row r="4" spans="1:12" ht="15.75">
      <c r="A4" s="82" t="s">
        <v>182</v>
      </c>
      <c r="B4" s="32"/>
      <c r="C4" s="80"/>
      <c r="D4" s="32"/>
      <c r="E4" s="32"/>
      <c r="F4" s="43"/>
      <c r="G4" s="644" t="s">
        <v>182</v>
      </c>
      <c r="H4" s="644"/>
      <c r="I4" s="644"/>
      <c r="J4" s="644"/>
      <c r="K4" s="644"/>
      <c r="L4" s="644"/>
    </row>
    <row r="5" spans="1:12" ht="15.75">
      <c r="A5" s="82"/>
      <c r="B5" s="32"/>
      <c r="C5" s="80"/>
      <c r="D5" s="32"/>
      <c r="E5" s="32"/>
      <c r="F5" s="43"/>
      <c r="G5" s="46"/>
      <c r="H5" s="46"/>
      <c r="I5" s="46"/>
      <c r="J5" s="46"/>
      <c r="K5" s="46"/>
      <c r="L5" s="46"/>
    </row>
    <row r="6" spans="1:12" ht="13.5" customHeight="1">
      <c r="A6" s="81"/>
      <c r="B6" s="43"/>
      <c r="C6" s="79"/>
      <c r="D6" s="43"/>
      <c r="E6" s="83"/>
      <c r="F6" s="83" t="s">
        <v>105</v>
      </c>
      <c r="G6" s="81"/>
      <c r="H6" s="43"/>
      <c r="I6" s="43"/>
      <c r="J6" s="43"/>
      <c r="K6" s="83"/>
      <c r="L6" s="83" t="s">
        <v>105</v>
      </c>
    </row>
    <row r="7" spans="1:16" ht="51">
      <c r="A7" s="84" t="s">
        <v>59</v>
      </c>
      <c r="B7" s="84" t="s">
        <v>106</v>
      </c>
      <c r="C7" s="85" t="s">
        <v>183</v>
      </c>
      <c r="D7" s="84" t="s">
        <v>107</v>
      </c>
      <c r="E7" s="84" t="s">
        <v>184</v>
      </c>
      <c r="F7" s="84" t="s">
        <v>63</v>
      </c>
      <c r="G7" s="86" t="s">
        <v>59</v>
      </c>
      <c r="H7" s="86" t="s">
        <v>106</v>
      </c>
      <c r="I7" s="86" t="s">
        <v>183</v>
      </c>
      <c r="J7" s="86" t="s">
        <v>107</v>
      </c>
      <c r="K7" s="86" t="s">
        <v>184</v>
      </c>
      <c r="L7" s="84" t="s">
        <v>63</v>
      </c>
      <c r="N7" t="s">
        <v>107</v>
      </c>
      <c r="O7" s="84" t="s">
        <v>107</v>
      </c>
      <c r="P7" s="87" t="s">
        <v>185</v>
      </c>
    </row>
    <row r="8" spans="1:15" s="39" customFormat="1" ht="9.75" customHeight="1">
      <c r="A8" s="4">
        <v>1</v>
      </c>
      <c r="B8" s="88">
        <v>2</v>
      </c>
      <c r="C8" s="89">
        <v>3</v>
      </c>
      <c r="D8" s="90">
        <v>4</v>
      </c>
      <c r="E8" s="90">
        <v>5</v>
      </c>
      <c r="F8" s="88">
        <v>6</v>
      </c>
      <c r="G8" s="91">
        <v>1</v>
      </c>
      <c r="H8" s="92">
        <v>2</v>
      </c>
      <c r="I8" s="93">
        <v>3</v>
      </c>
      <c r="J8" s="93">
        <v>4</v>
      </c>
      <c r="K8" s="93">
        <v>5</v>
      </c>
      <c r="L8" s="92">
        <v>6</v>
      </c>
      <c r="N8" s="39" t="s">
        <v>186</v>
      </c>
      <c r="O8" s="39" t="s">
        <v>187</v>
      </c>
    </row>
    <row r="9" spans="1:25" s="43" customFormat="1" ht="12.75" customHeight="1">
      <c r="A9" s="94" t="s">
        <v>188</v>
      </c>
      <c r="B9" s="95">
        <v>706682046</v>
      </c>
      <c r="C9" s="96">
        <v>96.8</v>
      </c>
      <c r="D9" s="95">
        <f>D10+D18+D38+D40</f>
        <v>681441325.5100001</v>
      </c>
      <c r="E9" s="97">
        <f aca="true" t="shared" si="0" ref="E9:E37">IF(ISERROR(D9/B9)," ",(D9/B9))</f>
        <v>0.9642827766279491</v>
      </c>
      <c r="F9" s="95">
        <f>F10+F18+F38+F40</f>
        <v>62695456.86999997</v>
      </c>
      <c r="G9" s="94" t="s">
        <v>188</v>
      </c>
      <c r="H9" s="95">
        <f>ROUND(B9/1000,0)</f>
        <v>706682</v>
      </c>
      <c r="I9" s="96">
        <v>96.8</v>
      </c>
      <c r="J9" s="95">
        <f>J10+J18+J38+J40</f>
        <v>681441</v>
      </c>
      <c r="K9" s="98">
        <f>IF(ISERROR(J9/H9)," ",(J9/H9))*100</f>
        <v>96.42823787785737</v>
      </c>
      <c r="L9" s="95">
        <f>J9-'[3]Novembris'!J9-1</f>
        <v>62695</v>
      </c>
      <c r="M9" s="95"/>
      <c r="N9" s="95">
        <v>681422</v>
      </c>
      <c r="O9" s="95">
        <f>O10+O18+O38+O40</f>
        <v>618745</v>
      </c>
      <c r="P9" s="99">
        <f aca="true" t="shared" si="1" ref="P9:P41">N9-O9</f>
        <v>62677</v>
      </c>
      <c r="R9" s="31"/>
      <c r="U9" s="100">
        <v>276137764.06</v>
      </c>
      <c r="W9" s="43">
        <v>231157322</v>
      </c>
      <c r="Y9" s="100">
        <f>U9-W9</f>
        <v>44980442.06</v>
      </c>
    </row>
    <row r="10" spans="1:25" s="43" customFormat="1" ht="15.75" customHeight="1">
      <c r="A10" s="101" t="s">
        <v>189</v>
      </c>
      <c r="B10" s="95">
        <f>SUM(B11,B13,B17)</f>
        <v>552794000</v>
      </c>
      <c r="C10" s="102">
        <v>100</v>
      </c>
      <c r="D10" s="95">
        <f>SUM(D11,D13,D17)</f>
        <v>543644950.2400001</v>
      </c>
      <c r="E10" s="97">
        <f t="shared" si="0"/>
        <v>0.98344944091289</v>
      </c>
      <c r="F10" s="95">
        <f>F11+F13+F17</f>
        <v>44456485.71999997</v>
      </c>
      <c r="G10" s="101" t="s">
        <v>189</v>
      </c>
      <c r="H10" s="6">
        <f>SUM(H11,H13,H17)</f>
        <v>552794</v>
      </c>
      <c r="I10" s="102">
        <v>100</v>
      </c>
      <c r="J10" s="6">
        <f>SUM(J11,J13,J17)</f>
        <v>543646</v>
      </c>
      <c r="K10" s="98">
        <f aca="true" t="shared" si="2" ref="K10:K41">IF(ISERROR(J10/H10)," ",(J10/H10))*100</f>
        <v>98.34513399204768</v>
      </c>
      <c r="L10" s="6">
        <f>L11+L13+L17</f>
        <v>44458</v>
      </c>
      <c r="M10" s="6"/>
      <c r="N10" s="43">
        <v>543645</v>
      </c>
      <c r="O10" s="31">
        <v>499188</v>
      </c>
      <c r="P10" s="99">
        <f t="shared" si="1"/>
        <v>44457</v>
      </c>
      <c r="R10" s="31"/>
      <c r="S10" s="31"/>
      <c r="U10" s="43">
        <v>229454163</v>
      </c>
      <c r="W10" s="43">
        <v>181242696</v>
      </c>
      <c r="Y10" s="100">
        <f aca="true" t="shared" si="3" ref="Y10:Y40">U10-W10</f>
        <v>48211467</v>
      </c>
    </row>
    <row r="11" spans="1:25" s="43" customFormat="1" ht="12.75">
      <c r="A11" s="101" t="s">
        <v>190</v>
      </c>
      <c r="B11" s="95">
        <f>SUM(B12)</f>
        <v>74655000</v>
      </c>
      <c r="C11" s="96"/>
      <c r="D11" s="95">
        <f>SUM(D12)</f>
        <v>73720569.13</v>
      </c>
      <c r="E11" s="97">
        <f t="shared" si="0"/>
        <v>0.9874833451208893</v>
      </c>
      <c r="F11" s="95">
        <f>F12</f>
        <v>6629385.889999993</v>
      </c>
      <c r="G11" s="101" t="s">
        <v>190</v>
      </c>
      <c r="H11" s="6">
        <f>SUM(H12)</f>
        <v>74655</v>
      </c>
      <c r="I11" s="103">
        <v>100</v>
      </c>
      <c r="J11" s="6">
        <f>SUM(J12)</f>
        <v>73721</v>
      </c>
      <c r="K11" s="98">
        <f t="shared" si="2"/>
        <v>98.74891166030406</v>
      </c>
      <c r="L11" s="6">
        <f>L12</f>
        <v>6630</v>
      </c>
      <c r="M11" s="6"/>
      <c r="N11" s="43">
        <v>73721</v>
      </c>
      <c r="O11" s="31">
        <v>67091</v>
      </c>
      <c r="P11" s="99">
        <f t="shared" si="1"/>
        <v>6630</v>
      </c>
      <c r="R11" s="31"/>
      <c r="U11" s="43">
        <v>40758145</v>
      </c>
      <c r="W11" s="43">
        <v>29701128</v>
      </c>
      <c r="Y11" s="100">
        <f t="shared" si="3"/>
        <v>11057017</v>
      </c>
    </row>
    <row r="12" spans="1:25" s="2" customFormat="1" ht="12.75">
      <c r="A12" s="60" t="s">
        <v>191</v>
      </c>
      <c r="B12" s="104">
        <v>74655000</v>
      </c>
      <c r="C12" s="103">
        <v>100</v>
      </c>
      <c r="D12" s="104">
        <v>73720569.13</v>
      </c>
      <c r="E12" s="105">
        <f t="shared" si="0"/>
        <v>0.9874833451208893</v>
      </c>
      <c r="F12" s="104">
        <f>D12-'[3]Novembris'!D12</f>
        <v>6629385.889999993</v>
      </c>
      <c r="G12" s="62" t="s">
        <v>191</v>
      </c>
      <c r="H12" s="106">
        <f>ROUND(B12/1000,0)</f>
        <v>74655</v>
      </c>
      <c r="I12" s="103">
        <v>100</v>
      </c>
      <c r="J12" s="106">
        <f>ROUND(D12/1000,0)</f>
        <v>73721</v>
      </c>
      <c r="K12" s="107">
        <f t="shared" si="2"/>
        <v>98.74891166030406</v>
      </c>
      <c r="L12" s="106">
        <f>J12-'[3]Novembris'!J12</f>
        <v>6630</v>
      </c>
      <c r="M12" s="106"/>
      <c r="N12" s="2">
        <v>73721</v>
      </c>
      <c r="O12" s="31">
        <v>67091</v>
      </c>
      <c r="P12" s="99">
        <f t="shared" si="1"/>
        <v>6630</v>
      </c>
      <c r="R12" s="31"/>
      <c r="U12" s="2">
        <v>40758145</v>
      </c>
      <c r="W12" s="2">
        <v>29701128</v>
      </c>
      <c r="Y12" s="108">
        <f t="shared" si="3"/>
        <v>11057017</v>
      </c>
    </row>
    <row r="13" spans="1:25" s="43" customFormat="1" ht="12.75">
      <c r="A13" s="101" t="s">
        <v>192</v>
      </c>
      <c r="B13" s="95">
        <f>SUM(B14:B16)</f>
        <v>478139000</v>
      </c>
      <c r="C13" s="109"/>
      <c r="D13" s="95">
        <f>SUM(D14:D16)</f>
        <v>469949184.54</v>
      </c>
      <c r="E13" s="97">
        <f t="shared" si="0"/>
        <v>0.9828714757424096</v>
      </c>
      <c r="F13" s="95">
        <f>F14+F15+F16</f>
        <v>40060409.23999998</v>
      </c>
      <c r="G13" s="101" t="s">
        <v>192</v>
      </c>
      <c r="H13" s="6">
        <f>SUM(H14:H16)+1</f>
        <v>478139</v>
      </c>
      <c r="I13" s="109"/>
      <c r="J13" s="6">
        <f>SUM(J14:J16)</f>
        <v>469950</v>
      </c>
      <c r="K13" s="98">
        <f t="shared" si="2"/>
        <v>98.28731812297261</v>
      </c>
      <c r="L13" s="106">
        <f>J13-'[3]Novembris'!J13</f>
        <v>40062</v>
      </c>
      <c r="M13" s="6"/>
      <c r="N13" s="43">
        <v>469949</v>
      </c>
      <c r="O13" s="31">
        <v>429888</v>
      </c>
      <c r="P13" s="99">
        <f t="shared" si="1"/>
        <v>40061</v>
      </c>
      <c r="R13" s="31"/>
      <c r="U13" s="43">
        <v>186021570</v>
      </c>
      <c r="W13" s="43">
        <v>151541568</v>
      </c>
      <c r="Y13" s="100">
        <f t="shared" si="3"/>
        <v>34480002</v>
      </c>
    </row>
    <row r="14" spans="1:25" s="2" customFormat="1" ht="12.75">
      <c r="A14" s="60" t="s">
        <v>193</v>
      </c>
      <c r="B14" s="104">
        <v>346759678</v>
      </c>
      <c r="C14" s="110">
        <v>98.1</v>
      </c>
      <c r="D14" s="104">
        <v>337866712.88</v>
      </c>
      <c r="E14" s="105">
        <f t="shared" si="0"/>
        <v>0.9743540968451355</v>
      </c>
      <c r="F14" s="104">
        <f>D14-'[3]Novembris'!D14</f>
        <v>28542112.449999988</v>
      </c>
      <c r="G14" s="54" t="s">
        <v>193</v>
      </c>
      <c r="H14" s="106">
        <f>ROUND(B14/1000,0)-1</f>
        <v>346759</v>
      </c>
      <c r="I14" s="110">
        <v>98.1</v>
      </c>
      <c r="J14" s="106">
        <f aca="true" t="shared" si="4" ref="J14:J29">ROUND(D14/1000,0)</f>
        <v>337867</v>
      </c>
      <c r="K14" s="107">
        <f t="shared" si="2"/>
        <v>97.43568299597126</v>
      </c>
      <c r="L14" s="106">
        <f>J14-'[3]Novembris'!J14</f>
        <v>28542</v>
      </c>
      <c r="M14" s="106"/>
      <c r="N14" s="2">
        <v>337867</v>
      </c>
      <c r="O14" s="31">
        <v>309325</v>
      </c>
      <c r="P14" s="99">
        <f t="shared" si="1"/>
        <v>28542</v>
      </c>
      <c r="R14" s="31"/>
      <c r="U14" s="2">
        <v>134484914</v>
      </c>
      <c r="W14" s="2">
        <v>106978603</v>
      </c>
      <c r="Y14" s="108">
        <f t="shared" si="3"/>
        <v>27506311</v>
      </c>
    </row>
    <row r="15" spans="1:25" s="2" customFormat="1" ht="12.75">
      <c r="A15" s="60" t="s">
        <v>194</v>
      </c>
      <c r="B15" s="104">
        <v>117579322</v>
      </c>
      <c r="C15" s="110">
        <v>99.9</v>
      </c>
      <c r="D15" s="111">
        <v>117667471.74</v>
      </c>
      <c r="E15" s="105">
        <f t="shared" si="0"/>
        <v>1.0007497044420786</v>
      </c>
      <c r="F15" s="104">
        <f>D15-'[3]Novembris'!D15</f>
        <v>10198792.61999999</v>
      </c>
      <c r="G15" s="54" t="s">
        <v>194</v>
      </c>
      <c r="H15" s="106">
        <f>ROUND(B15/1000,0)</f>
        <v>117579</v>
      </c>
      <c r="I15" s="110">
        <v>99.9</v>
      </c>
      <c r="J15" s="106">
        <f>ROUND(D15/1000,0)+1</f>
        <v>117668</v>
      </c>
      <c r="K15" s="107">
        <f t="shared" si="2"/>
        <v>100.07569378885685</v>
      </c>
      <c r="L15" s="106">
        <f>J15-'[3]Novembris'!J15</f>
        <v>10200</v>
      </c>
      <c r="M15" s="106"/>
      <c r="N15" s="2">
        <v>117667</v>
      </c>
      <c r="O15" s="31">
        <v>107468</v>
      </c>
      <c r="P15" s="99">
        <f t="shared" si="1"/>
        <v>10199</v>
      </c>
      <c r="R15" s="31"/>
      <c r="U15" s="2">
        <v>45578744</v>
      </c>
      <c r="W15" s="2">
        <v>35731797</v>
      </c>
      <c r="Y15" s="108">
        <f t="shared" si="3"/>
        <v>9846947</v>
      </c>
    </row>
    <row r="16" spans="1:25" s="2" customFormat="1" ht="12.75">
      <c r="A16" s="112" t="s">
        <v>195</v>
      </c>
      <c r="B16" s="104">
        <v>13800000</v>
      </c>
      <c r="C16" s="110">
        <v>100.3</v>
      </c>
      <c r="D16" s="111">
        <v>14414999.92</v>
      </c>
      <c r="E16" s="105">
        <f t="shared" si="0"/>
        <v>1.0445652115942028</v>
      </c>
      <c r="F16" s="104">
        <f>D16-'[3]Novembris'!D16</f>
        <v>1319504.17</v>
      </c>
      <c r="G16" s="113" t="s">
        <v>195</v>
      </c>
      <c r="H16" s="106">
        <f>ROUND(B16/1000,0)</f>
        <v>13800</v>
      </c>
      <c r="I16" s="92">
        <v>100.3</v>
      </c>
      <c r="J16" s="106">
        <f t="shared" si="4"/>
        <v>14415</v>
      </c>
      <c r="K16" s="107">
        <f t="shared" si="2"/>
        <v>104.45652173913042</v>
      </c>
      <c r="L16" s="106">
        <f>J16-'[3]Novembris'!J16</f>
        <v>1320</v>
      </c>
      <c r="M16" s="106"/>
      <c r="N16" s="2">
        <v>14415</v>
      </c>
      <c r="O16" s="31">
        <v>13095</v>
      </c>
      <c r="P16" s="99">
        <f t="shared" si="1"/>
        <v>1320</v>
      </c>
      <c r="R16" s="31"/>
      <c r="U16" s="2">
        <v>5957912</v>
      </c>
      <c r="W16" s="2">
        <v>4565264</v>
      </c>
      <c r="Y16" s="108">
        <f t="shared" si="3"/>
        <v>1392648</v>
      </c>
    </row>
    <row r="17" spans="1:25" s="43" customFormat="1" ht="15" customHeight="1">
      <c r="A17" s="114" t="s">
        <v>196</v>
      </c>
      <c r="B17" s="115"/>
      <c r="C17" s="92"/>
      <c r="D17" s="116">
        <v>-24803.43</v>
      </c>
      <c r="E17" s="117" t="str">
        <f t="shared" si="0"/>
        <v> </v>
      </c>
      <c r="F17" s="115">
        <f>D17-'[3]Novembris'!D17</f>
        <v>-2233309.41</v>
      </c>
      <c r="G17" s="70" t="s">
        <v>196</v>
      </c>
      <c r="H17" s="6"/>
      <c r="I17" s="92"/>
      <c r="J17" s="6">
        <f t="shared" si="4"/>
        <v>-25</v>
      </c>
      <c r="K17" s="98"/>
      <c r="L17" s="106">
        <f>J17-'[3]Novembris'!J17</f>
        <v>-2234</v>
      </c>
      <c r="M17" s="6"/>
      <c r="N17" s="43">
        <v>-25</v>
      </c>
      <c r="O17" s="31">
        <v>2209</v>
      </c>
      <c r="P17" s="99">
        <f t="shared" si="1"/>
        <v>-2234</v>
      </c>
      <c r="R17" s="31"/>
      <c r="U17" s="43">
        <v>2674448</v>
      </c>
      <c r="W17" s="43">
        <v>4265904</v>
      </c>
      <c r="Y17" s="100">
        <f t="shared" si="3"/>
        <v>-1591456</v>
      </c>
    </row>
    <row r="18" spans="1:25" s="43" customFormat="1" ht="12.75">
      <c r="A18" s="101" t="s">
        <v>197</v>
      </c>
      <c r="B18" s="95">
        <v>61140583</v>
      </c>
      <c r="C18" s="103">
        <v>103.4</v>
      </c>
      <c r="D18" s="116">
        <f>SUM(D19,D20,D21,D22,D23,D24,D30,D31)</f>
        <v>64378147.79</v>
      </c>
      <c r="E18" s="97">
        <f t="shared" si="0"/>
        <v>1.0529527955269906</v>
      </c>
      <c r="F18" s="95">
        <f>SUM(F19,F20,F21,F22,F23,F24,F30,F31)</f>
        <v>5440213.099999998</v>
      </c>
      <c r="G18" s="101" t="s">
        <v>197</v>
      </c>
      <c r="H18" s="6">
        <f>ROUND(B18/1000,0)-1</f>
        <v>61140</v>
      </c>
      <c r="I18" s="103">
        <v>103.4</v>
      </c>
      <c r="J18" s="6">
        <f>ROUND(D18/1000,0)-1</f>
        <v>64377</v>
      </c>
      <c r="K18" s="98">
        <f t="shared" si="2"/>
        <v>105.29440628066733</v>
      </c>
      <c r="L18" s="6">
        <f>J18-'[3]Novembris'!J18</f>
        <v>5439</v>
      </c>
      <c r="M18" s="6"/>
      <c r="N18" s="43">
        <v>64377</v>
      </c>
      <c r="O18" s="31">
        <v>58938</v>
      </c>
      <c r="P18" s="99">
        <f t="shared" si="1"/>
        <v>5439</v>
      </c>
      <c r="R18" s="31"/>
      <c r="S18" s="31"/>
      <c r="U18" s="43">
        <v>24422097.060000002</v>
      </c>
      <c r="W18" s="43">
        <v>19583717</v>
      </c>
      <c r="Y18" s="100">
        <f t="shared" si="3"/>
        <v>4838380.060000002</v>
      </c>
    </row>
    <row r="19" spans="1:25" s="2" customFormat="1" ht="16.5" customHeight="1">
      <c r="A19" s="61" t="s">
        <v>198</v>
      </c>
      <c r="B19" s="118">
        <v>2000330</v>
      </c>
      <c r="C19" s="119">
        <v>98.1</v>
      </c>
      <c r="D19" s="111">
        <v>1723494.74</v>
      </c>
      <c r="E19" s="105">
        <f t="shared" si="0"/>
        <v>0.8616052051411517</v>
      </c>
      <c r="F19" s="104">
        <f>D19-'[3]Novembris'!D19</f>
        <v>32970.419999999925</v>
      </c>
      <c r="G19" s="62" t="s">
        <v>198</v>
      </c>
      <c r="H19" s="106">
        <f aca="true" t="shared" si="5" ref="H19:H41">ROUND(B19/1000,0)</f>
        <v>2000</v>
      </c>
      <c r="I19" s="119">
        <v>98.1</v>
      </c>
      <c r="J19" s="54">
        <f>ROUND(D19/1000,0)</f>
        <v>1723</v>
      </c>
      <c r="K19" s="107">
        <f t="shared" si="2"/>
        <v>86.15</v>
      </c>
      <c r="L19" s="106">
        <f>J19-'[3]Novembris'!J19</f>
        <v>32</v>
      </c>
      <c r="M19" s="54"/>
      <c r="N19" s="2">
        <v>1723</v>
      </c>
      <c r="O19" s="31">
        <v>1691</v>
      </c>
      <c r="P19" s="99">
        <f t="shared" si="1"/>
        <v>32</v>
      </c>
      <c r="R19" s="31"/>
      <c r="U19" s="2">
        <v>423682</v>
      </c>
      <c r="W19" s="2">
        <v>224955</v>
      </c>
      <c r="Y19" s="108">
        <f t="shared" si="3"/>
        <v>198727</v>
      </c>
    </row>
    <row r="20" spans="1:25" s="2" customFormat="1" ht="24.75" customHeight="1">
      <c r="A20" s="60" t="s">
        <v>199</v>
      </c>
      <c r="B20" s="118">
        <v>11842400</v>
      </c>
      <c r="C20" s="110">
        <v>103.4</v>
      </c>
      <c r="D20" s="111">
        <v>12170486.01</v>
      </c>
      <c r="E20" s="105">
        <f t="shared" si="0"/>
        <v>1.0277043513139228</v>
      </c>
      <c r="F20" s="104">
        <f>D20-'[3]Novembris'!D20</f>
        <v>482380.6400000006</v>
      </c>
      <c r="G20" s="62" t="s">
        <v>200</v>
      </c>
      <c r="H20" s="106">
        <f t="shared" si="5"/>
        <v>11842</v>
      </c>
      <c r="I20" s="110">
        <v>103.4</v>
      </c>
      <c r="J20" s="106">
        <f t="shared" si="4"/>
        <v>12170</v>
      </c>
      <c r="K20" s="107">
        <f t="shared" si="2"/>
        <v>102.76980239824354</v>
      </c>
      <c r="L20" s="106">
        <f>J20-'[3]Novembris'!J20</f>
        <v>482</v>
      </c>
      <c r="M20" s="106"/>
      <c r="N20" s="2">
        <v>12170</v>
      </c>
      <c r="O20" s="31">
        <v>11688</v>
      </c>
      <c r="P20" s="99">
        <f t="shared" si="1"/>
        <v>482</v>
      </c>
      <c r="R20" s="31"/>
      <c r="U20" s="2">
        <v>5026465</v>
      </c>
      <c r="W20" s="2">
        <v>4321229</v>
      </c>
      <c r="Y20" s="108">
        <f t="shared" si="3"/>
        <v>705236</v>
      </c>
    </row>
    <row r="21" spans="1:25" s="2" customFormat="1" ht="24" customHeight="1">
      <c r="A21" s="61" t="s">
        <v>201</v>
      </c>
      <c r="B21" s="118">
        <v>16107167</v>
      </c>
      <c r="C21" s="110">
        <v>103.7</v>
      </c>
      <c r="D21" s="111">
        <v>17185962.41</v>
      </c>
      <c r="E21" s="105">
        <f t="shared" si="0"/>
        <v>1.066976111317403</v>
      </c>
      <c r="F21" s="104">
        <f>D21-'[3]Novembris'!D21</f>
        <v>1798973.9100000001</v>
      </c>
      <c r="G21" s="62" t="s">
        <v>201</v>
      </c>
      <c r="H21" s="106">
        <f t="shared" si="5"/>
        <v>16107</v>
      </c>
      <c r="I21" s="110">
        <v>103.7</v>
      </c>
      <c r="J21" s="106">
        <f t="shared" si="4"/>
        <v>17186</v>
      </c>
      <c r="K21" s="107">
        <f t="shared" si="2"/>
        <v>106.69895076674737</v>
      </c>
      <c r="L21" s="106">
        <f>J21-'[3]Novembris'!J21</f>
        <v>1799</v>
      </c>
      <c r="M21" s="106"/>
      <c r="N21" s="2">
        <v>17186</v>
      </c>
      <c r="O21" s="31">
        <v>15387</v>
      </c>
      <c r="P21" s="99">
        <f t="shared" si="1"/>
        <v>1799</v>
      </c>
      <c r="R21" s="31"/>
      <c r="U21" s="2">
        <v>6046375</v>
      </c>
      <c r="W21" s="2">
        <v>5358767</v>
      </c>
      <c r="Y21" s="108">
        <f t="shared" si="3"/>
        <v>687608</v>
      </c>
    </row>
    <row r="22" spans="1:25" s="2" customFormat="1" ht="26.25" customHeight="1">
      <c r="A22" s="61" t="s">
        <v>202</v>
      </c>
      <c r="B22" s="118">
        <v>790000</v>
      </c>
      <c r="C22" s="110">
        <v>109.6</v>
      </c>
      <c r="D22" s="111">
        <v>910372.33</v>
      </c>
      <c r="E22" s="105">
        <f t="shared" si="0"/>
        <v>1.1523700379746835</v>
      </c>
      <c r="F22" s="104">
        <f>D22-'[3]Novembris'!D22</f>
        <v>147832.09999999998</v>
      </c>
      <c r="G22" s="62" t="s">
        <v>202</v>
      </c>
      <c r="H22" s="106">
        <f t="shared" si="5"/>
        <v>790</v>
      </c>
      <c r="I22" s="110">
        <v>109.6</v>
      </c>
      <c r="J22" s="106">
        <f t="shared" si="4"/>
        <v>910</v>
      </c>
      <c r="K22" s="107">
        <f t="shared" si="2"/>
        <v>115.18987341772151</v>
      </c>
      <c r="L22" s="106">
        <f>J22-'[3]Novembris'!J22</f>
        <v>147</v>
      </c>
      <c r="M22" s="106"/>
      <c r="N22" s="2">
        <v>910</v>
      </c>
      <c r="O22" s="31">
        <v>763</v>
      </c>
      <c r="P22" s="99">
        <f t="shared" si="1"/>
        <v>147</v>
      </c>
      <c r="R22" s="31"/>
      <c r="U22" s="2">
        <v>351857</v>
      </c>
      <c r="W22" s="2">
        <v>291928</v>
      </c>
      <c r="Y22" s="108">
        <f t="shared" si="3"/>
        <v>59929</v>
      </c>
    </row>
    <row r="23" spans="1:25" s="2" customFormat="1" ht="12" customHeight="1">
      <c r="A23" s="61" t="s">
        <v>203</v>
      </c>
      <c r="B23" s="118">
        <v>400000</v>
      </c>
      <c r="C23" s="110">
        <v>80.1</v>
      </c>
      <c r="D23" s="111">
        <v>480543.35</v>
      </c>
      <c r="E23" s="105">
        <f t="shared" si="0"/>
        <v>1.2013583749999999</v>
      </c>
      <c r="F23" s="104">
        <f>D23-'[3]Novembris'!D23</f>
        <v>176854.99</v>
      </c>
      <c r="G23" s="61" t="s">
        <v>203</v>
      </c>
      <c r="H23" s="106">
        <f t="shared" si="5"/>
        <v>400</v>
      </c>
      <c r="I23" s="110">
        <v>80.1</v>
      </c>
      <c r="J23" s="106">
        <f t="shared" si="4"/>
        <v>481</v>
      </c>
      <c r="K23" s="107">
        <f t="shared" si="2"/>
        <v>120.24999999999999</v>
      </c>
      <c r="L23" s="106">
        <f>J23-'[3]Novembris'!J23</f>
        <v>177</v>
      </c>
      <c r="M23" s="106"/>
      <c r="N23" s="106">
        <v>481</v>
      </c>
      <c r="O23" s="31">
        <v>304</v>
      </c>
      <c r="P23" s="99">
        <f t="shared" si="1"/>
        <v>177</v>
      </c>
      <c r="R23" s="31"/>
      <c r="U23" s="2">
        <v>1988493</v>
      </c>
      <c r="W23" s="2">
        <v>1698262</v>
      </c>
      <c r="Y23" s="108">
        <f t="shared" si="3"/>
        <v>290231</v>
      </c>
    </row>
    <row r="24" spans="1:16" ht="12.75">
      <c r="A24" s="120" t="s">
        <v>204</v>
      </c>
      <c r="B24" s="118">
        <v>6620000</v>
      </c>
      <c r="C24" s="103">
        <v>109.3</v>
      </c>
      <c r="D24" s="121">
        <f>6816967.45+418841.47</f>
        <v>7235808.92</v>
      </c>
      <c r="E24" s="105">
        <f t="shared" si="0"/>
        <v>1.093022495468278</v>
      </c>
      <c r="F24" s="60">
        <f>D24-'[3]Novembris'!D24</f>
        <v>995198.1699999999</v>
      </c>
      <c r="G24" s="120" t="s">
        <v>204</v>
      </c>
      <c r="H24" s="106">
        <f t="shared" si="5"/>
        <v>6620</v>
      </c>
      <c r="I24" s="103">
        <v>109.3</v>
      </c>
      <c r="J24" s="106">
        <f>ROUND(D24/1000,0)</f>
        <v>7236</v>
      </c>
      <c r="K24" s="107">
        <f t="shared" si="2"/>
        <v>109.30513595166163</v>
      </c>
      <c r="L24" s="106">
        <f>J24-'[3]Novembris'!J24</f>
        <v>996</v>
      </c>
      <c r="M24" s="120"/>
      <c r="N24">
        <v>7236</v>
      </c>
      <c r="O24" s="31">
        <v>6240</v>
      </c>
      <c r="P24" s="99">
        <f t="shared" si="1"/>
        <v>996</v>
      </c>
    </row>
    <row r="25" spans="1:16" ht="12.75">
      <c r="A25" s="120"/>
      <c r="B25" s="118"/>
      <c r="C25" s="103"/>
      <c r="D25" s="121"/>
      <c r="E25" s="105"/>
      <c r="F25" s="60">
        <f>D25-'[3]Novembris'!D25</f>
        <v>0</v>
      </c>
      <c r="G25" s="120" t="s">
        <v>205</v>
      </c>
      <c r="H25" s="106"/>
      <c r="I25" s="103"/>
      <c r="J25" s="106"/>
      <c r="K25" s="107"/>
      <c r="L25" s="106">
        <f>J25-'[3]Novembris'!J25</f>
        <v>0</v>
      </c>
      <c r="M25" s="120"/>
      <c r="O25" s="31"/>
      <c r="P25" s="99">
        <f t="shared" si="1"/>
        <v>0</v>
      </c>
    </row>
    <row r="26" spans="1:16" ht="22.5">
      <c r="A26" s="69" t="s">
        <v>206</v>
      </c>
      <c r="B26" s="104">
        <v>2200000</v>
      </c>
      <c r="C26" s="103">
        <v>100</v>
      </c>
      <c r="D26" s="121">
        <v>1951037.65</v>
      </c>
      <c r="E26" s="105">
        <f t="shared" si="0"/>
        <v>0.8868352954545454</v>
      </c>
      <c r="F26" s="121">
        <f>D26-'[3]Novembris'!D26</f>
        <v>123577.29999999981</v>
      </c>
      <c r="G26" s="63" t="s">
        <v>207</v>
      </c>
      <c r="H26" s="106">
        <f t="shared" si="5"/>
        <v>2200</v>
      </c>
      <c r="I26" s="103">
        <v>100</v>
      </c>
      <c r="J26" s="106">
        <f t="shared" si="4"/>
        <v>1951</v>
      </c>
      <c r="K26" s="107">
        <f t="shared" si="2"/>
        <v>88.68181818181819</v>
      </c>
      <c r="L26" s="106">
        <f>J26-'[3]Novembris'!J26</f>
        <v>124</v>
      </c>
      <c r="M26" s="120"/>
      <c r="N26">
        <v>1951</v>
      </c>
      <c r="O26" s="31">
        <v>1827</v>
      </c>
      <c r="P26" s="99">
        <f t="shared" si="1"/>
        <v>124</v>
      </c>
    </row>
    <row r="27" spans="1:16" ht="12.75">
      <c r="A27" s="69" t="s">
        <v>208</v>
      </c>
      <c r="B27" s="122">
        <v>4200000</v>
      </c>
      <c r="C27" s="103">
        <v>103</v>
      </c>
      <c r="D27" s="121">
        <v>1005000</v>
      </c>
      <c r="E27" s="105">
        <f t="shared" si="0"/>
        <v>0.2392857142857143</v>
      </c>
      <c r="F27" s="121">
        <f>D27-'[3]Novembris'!D27</f>
        <v>-2782363.19</v>
      </c>
      <c r="G27" s="69" t="s">
        <v>209</v>
      </c>
      <c r="H27" s="106">
        <f t="shared" si="5"/>
        <v>4200</v>
      </c>
      <c r="I27" s="103">
        <v>103</v>
      </c>
      <c r="J27" s="106">
        <f t="shared" si="4"/>
        <v>1005</v>
      </c>
      <c r="K27" s="107">
        <f t="shared" si="2"/>
        <v>23.92857142857143</v>
      </c>
      <c r="L27" s="106">
        <f>J27-'[3]Novembris'!J27</f>
        <v>-2782</v>
      </c>
      <c r="M27" s="120"/>
      <c r="N27">
        <v>1005</v>
      </c>
      <c r="O27" s="31">
        <v>3787</v>
      </c>
      <c r="P27" s="99">
        <f t="shared" si="1"/>
        <v>-2782</v>
      </c>
    </row>
    <row r="28" spans="1:16" ht="15.75" customHeight="1">
      <c r="A28" s="63" t="s">
        <v>210</v>
      </c>
      <c r="B28" s="122">
        <v>220000</v>
      </c>
      <c r="C28" s="103">
        <v>107.7</v>
      </c>
      <c r="D28" s="60">
        <v>245150</v>
      </c>
      <c r="E28" s="105">
        <f t="shared" si="0"/>
        <v>1.1143181818181818</v>
      </c>
      <c r="F28" s="121">
        <f>D28-'[3]Novembris'!D28</f>
        <v>8320</v>
      </c>
      <c r="G28" s="63" t="s">
        <v>211</v>
      </c>
      <c r="H28" s="106">
        <f t="shared" si="5"/>
        <v>220</v>
      </c>
      <c r="I28" s="103">
        <v>107.7</v>
      </c>
      <c r="J28" s="106">
        <f t="shared" si="4"/>
        <v>245</v>
      </c>
      <c r="K28" s="107">
        <f t="shared" si="2"/>
        <v>111.36363636363636</v>
      </c>
      <c r="L28" s="106">
        <f>J28-'[3]Novembris'!J28</f>
        <v>8</v>
      </c>
      <c r="M28" s="120"/>
      <c r="N28">
        <v>245</v>
      </c>
      <c r="O28" s="31">
        <v>237</v>
      </c>
      <c r="P28" s="99">
        <f t="shared" si="1"/>
        <v>8</v>
      </c>
    </row>
    <row r="29" spans="1:16" s="39" customFormat="1" ht="0.75" customHeight="1">
      <c r="A29" s="63" t="s">
        <v>212</v>
      </c>
      <c r="B29" s="123"/>
      <c r="C29" s="59"/>
      <c r="D29" s="124">
        <f>D24-D26-D27-D28</f>
        <v>4034621.2699999996</v>
      </c>
      <c r="E29" s="105" t="str">
        <f t="shared" si="0"/>
        <v> </v>
      </c>
      <c r="F29" s="124">
        <f>D29-'[3]Novembris'!D29</f>
        <v>3645664.059999999</v>
      </c>
      <c r="G29" s="63" t="s">
        <v>213</v>
      </c>
      <c r="H29" s="20"/>
      <c r="I29" s="59"/>
      <c r="J29" s="106">
        <f t="shared" si="4"/>
        <v>4035</v>
      </c>
      <c r="K29" s="125" t="s">
        <v>66</v>
      </c>
      <c r="L29" s="106">
        <f>J29-'[3]Novembris'!J29</f>
        <v>3646</v>
      </c>
      <c r="M29" s="126"/>
      <c r="N29" s="39">
        <v>4035</v>
      </c>
      <c r="O29" s="127">
        <v>389</v>
      </c>
      <c r="P29" s="99">
        <f t="shared" si="1"/>
        <v>3646</v>
      </c>
    </row>
    <row r="30" spans="1:25" s="2" customFormat="1" ht="12.75">
      <c r="A30" s="60" t="s">
        <v>214</v>
      </c>
      <c r="B30" s="118">
        <v>8416685</v>
      </c>
      <c r="C30" s="103">
        <v>110</v>
      </c>
      <c r="D30" s="111">
        <v>9099829.02</v>
      </c>
      <c r="E30" s="105">
        <f t="shared" si="0"/>
        <v>1.0811654493425855</v>
      </c>
      <c r="F30" s="104">
        <f>D30-'[3]Novembris'!D30</f>
        <v>655213.5899999999</v>
      </c>
      <c r="G30" s="54" t="s">
        <v>214</v>
      </c>
      <c r="H30" s="106">
        <f>ROUND(B30/1000,0)-1</f>
        <v>8416</v>
      </c>
      <c r="I30" s="103">
        <v>110</v>
      </c>
      <c r="J30" s="106">
        <f>ROUND(D30/1000,0)</f>
        <v>9100</v>
      </c>
      <c r="K30" s="107">
        <f aca="true" t="shared" si="6" ref="K30:K37">IF(ISERROR(J30/H30)," ",(J30/H30))*100</f>
        <v>108.1273764258555</v>
      </c>
      <c r="L30" s="106">
        <f>J30-'[3]Novembris'!J30</f>
        <v>655</v>
      </c>
      <c r="M30" s="106"/>
      <c r="N30" s="2">
        <v>9100</v>
      </c>
      <c r="O30" s="128">
        <v>8445</v>
      </c>
      <c r="P30" s="99">
        <f t="shared" si="1"/>
        <v>655</v>
      </c>
      <c r="R30" s="31"/>
      <c r="U30" s="2">
        <v>3625379</v>
      </c>
      <c r="W30" s="2">
        <v>2701683</v>
      </c>
      <c r="Y30" s="108">
        <f>U30-W30</f>
        <v>923696</v>
      </c>
    </row>
    <row r="31" spans="1:25" s="2" customFormat="1" ht="15.75" customHeight="1">
      <c r="A31" s="60" t="s">
        <v>215</v>
      </c>
      <c r="B31" s="118">
        <v>14964001</v>
      </c>
      <c r="C31" s="110">
        <v>102.5</v>
      </c>
      <c r="D31" s="111">
        <v>15571651.01</v>
      </c>
      <c r="E31" s="105">
        <f t="shared" si="0"/>
        <v>1.0406074558535514</v>
      </c>
      <c r="F31" s="104">
        <f>D31-'[3]Novembris'!D31</f>
        <v>1150789.2799999975</v>
      </c>
      <c r="G31" s="54" t="s">
        <v>216</v>
      </c>
      <c r="H31" s="106">
        <f t="shared" si="5"/>
        <v>14964</v>
      </c>
      <c r="I31" s="110">
        <v>102.5</v>
      </c>
      <c r="J31" s="106">
        <f>ROUND(D31/1000,0)-1</f>
        <v>15571</v>
      </c>
      <c r="K31" s="107">
        <f t="shared" si="6"/>
        <v>104.05640203154236</v>
      </c>
      <c r="L31" s="106">
        <f>J31-'[3]Novembris'!J31</f>
        <v>1151</v>
      </c>
      <c r="M31" s="106"/>
      <c r="N31" s="2">
        <v>15571</v>
      </c>
      <c r="O31" s="128">
        <v>14420</v>
      </c>
      <c r="P31" s="99">
        <f t="shared" si="1"/>
        <v>1151</v>
      </c>
      <c r="R31" s="31"/>
      <c r="U31" s="2">
        <v>6791598.37</v>
      </c>
      <c r="W31" s="2">
        <v>4620450</v>
      </c>
      <c r="Y31" s="108">
        <f>U31-W31</f>
        <v>2171148.37</v>
      </c>
    </row>
    <row r="32" spans="1:25" s="2" customFormat="1" ht="12" customHeight="1">
      <c r="A32" s="60"/>
      <c r="B32" s="118"/>
      <c r="C32" s="110"/>
      <c r="D32" s="111"/>
      <c r="E32" s="105"/>
      <c r="F32" s="104">
        <f>D32-'[3]Novembris'!D32</f>
        <v>0</v>
      </c>
      <c r="G32" s="54" t="s">
        <v>205</v>
      </c>
      <c r="H32" s="106"/>
      <c r="I32" s="110"/>
      <c r="J32" s="106"/>
      <c r="K32" s="107"/>
      <c r="L32" s="106">
        <f>J32-'[3]Novembris'!J32</f>
        <v>0</v>
      </c>
      <c r="M32" s="106"/>
      <c r="O32" s="128"/>
      <c r="P32" s="99">
        <f t="shared" si="1"/>
        <v>0</v>
      </c>
      <c r="R32" s="31"/>
      <c r="Y32" s="108"/>
    </row>
    <row r="33" spans="1:25" s="2" customFormat="1" ht="22.5" customHeight="1">
      <c r="A33" s="129" t="s">
        <v>217</v>
      </c>
      <c r="B33" s="104">
        <v>1201200</v>
      </c>
      <c r="C33" s="103">
        <v>100</v>
      </c>
      <c r="D33" s="111">
        <v>1201200</v>
      </c>
      <c r="E33" s="105">
        <f t="shared" si="0"/>
        <v>1</v>
      </c>
      <c r="F33" s="104">
        <f>D33-'[3]Novembris'!D33</f>
        <v>100100</v>
      </c>
      <c r="G33" s="130" t="s">
        <v>218</v>
      </c>
      <c r="H33" s="131">
        <f t="shared" si="5"/>
        <v>1201</v>
      </c>
      <c r="I33" s="103">
        <v>100</v>
      </c>
      <c r="J33" s="106">
        <f aca="true" t="shared" si="7" ref="J33:J41">ROUND(D33/1000,0)</f>
        <v>1201</v>
      </c>
      <c r="K33" s="107">
        <f t="shared" si="6"/>
        <v>100</v>
      </c>
      <c r="L33" s="106">
        <f>J33-'[3]Novembris'!J33</f>
        <v>100</v>
      </c>
      <c r="M33" s="106"/>
      <c r="N33" s="2">
        <v>1201</v>
      </c>
      <c r="O33" s="128">
        <v>1101</v>
      </c>
      <c r="P33" s="99">
        <f t="shared" si="1"/>
        <v>100</v>
      </c>
      <c r="R33" s="31"/>
      <c r="U33" s="2">
        <v>500500</v>
      </c>
      <c r="W33" s="2">
        <v>400400</v>
      </c>
      <c r="Y33" s="100">
        <f>U33-W33</f>
        <v>100100</v>
      </c>
    </row>
    <row r="34" spans="1:25" s="2" customFormat="1" ht="14.25" customHeight="1">
      <c r="A34" s="129" t="s">
        <v>219</v>
      </c>
      <c r="B34" s="104">
        <v>7700000</v>
      </c>
      <c r="C34" s="103">
        <v>100</v>
      </c>
      <c r="D34" s="111">
        <v>7700005</v>
      </c>
      <c r="E34" s="105">
        <f t="shared" si="0"/>
        <v>1.0000006493506493</v>
      </c>
      <c r="F34" s="104">
        <f>D34-'[3]Novembris'!D34</f>
        <v>641600</v>
      </c>
      <c r="G34" s="132" t="s">
        <v>219</v>
      </c>
      <c r="H34" s="131">
        <f t="shared" si="5"/>
        <v>7700</v>
      </c>
      <c r="I34" s="103">
        <v>100</v>
      </c>
      <c r="J34" s="106">
        <f t="shared" si="7"/>
        <v>7700</v>
      </c>
      <c r="K34" s="107">
        <f t="shared" si="6"/>
        <v>100</v>
      </c>
      <c r="L34" s="106">
        <f>J34-'[3]Novembris'!J34</f>
        <v>642</v>
      </c>
      <c r="M34" s="106"/>
      <c r="N34" s="2">
        <v>7700</v>
      </c>
      <c r="O34" s="128">
        <v>7058</v>
      </c>
      <c r="P34" s="99">
        <f t="shared" si="1"/>
        <v>642</v>
      </c>
      <c r="R34" s="31"/>
      <c r="Y34" s="100"/>
    </row>
    <row r="35" spans="1:25" s="2" customFormat="1" ht="13.5" customHeight="1">
      <c r="A35" s="129" t="s">
        <v>220</v>
      </c>
      <c r="B35" s="104">
        <v>205713</v>
      </c>
      <c r="C35" s="103"/>
      <c r="D35" s="111">
        <v>205713</v>
      </c>
      <c r="E35" s="105">
        <f t="shared" si="0"/>
        <v>1</v>
      </c>
      <c r="F35" s="104">
        <f>D35-'[3]Novembris'!D35</f>
        <v>-25575</v>
      </c>
      <c r="G35" s="132" t="s">
        <v>220</v>
      </c>
      <c r="H35" s="131">
        <f t="shared" si="5"/>
        <v>206</v>
      </c>
      <c r="I35" s="103"/>
      <c r="J35" s="106">
        <f t="shared" si="7"/>
        <v>206</v>
      </c>
      <c r="K35" s="107">
        <f t="shared" si="6"/>
        <v>100</v>
      </c>
      <c r="L35" s="106">
        <f>J35-'[3]Novembris'!J35</f>
        <v>-25</v>
      </c>
      <c r="M35" s="106"/>
      <c r="N35" s="2">
        <v>206</v>
      </c>
      <c r="O35" s="128">
        <v>231</v>
      </c>
      <c r="P35" s="99">
        <f t="shared" si="1"/>
        <v>-25</v>
      </c>
      <c r="R35" s="31"/>
      <c r="Y35" s="100"/>
    </row>
    <row r="36" spans="1:16" ht="12" customHeight="1">
      <c r="A36" s="133" t="s">
        <v>221</v>
      </c>
      <c r="B36" s="17">
        <v>216000</v>
      </c>
      <c r="C36" s="120"/>
      <c r="D36" s="120">
        <v>215074.52</v>
      </c>
      <c r="E36" s="105">
        <f t="shared" si="0"/>
        <v>0.9957153703703703</v>
      </c>
      <c r="F36" s="60">
        <f>D36-'[3]Novembris'!D36</f>
        <v>215074.52</v>
      </c>
      <c r="G36" s="71" t="s">
        <v>221</v>
      </c>
      <c r="H36" s="131">
        <f t="shared" si="5"/>
        <v>216</v>
      </c>
      <c r="I36" s="120"/>
      <c r="J36" s="120">
        <f t="shared" si="7"/>
        <v>215</v>
      </c>
      <c r="K36" s="107">
        <f t="shared" si="6"/>
        <v>99.53703703703704</v>
      </c>
      <c r="L36" s="106">
        <f>J36-'[3]Novembris'!J36</f>
        <v>215</v>
      </c>
      <c r="M36" s="120"/>
      <c r="N36">
        <v>215</v>
      </c>
      <c r="O36" s="128">
        <v>0</v>
      </c>
      <c r="P36" s="99">
        <f t="shared" si="1"/>
        <v>215</v>
      </c>
    </row>
    <row r="37" spans="1:25" s="2" customFormat="1" ht="0.75" customHeight="1" hidden="1">
      <c r="A37" s="134" t="s">
        <v>222</v>
      </c>
      <c r="B37" s="122">
        <f>B31-B33-B34-B35-B36</f>
        <v>5641088</v>
      </c>
      <c r="C37" s="110"/>
      <c r="D37" s="122">
        <f>D31-D33-D34-D35-D36</f>
        <v>6249658.49</v>
      </c>
      <c r="E37" s="105">
        <f t="shared" si="0"/>
        <v>1.1078817579162035</v>
      </c>
      <c r="F37" s="104">
        <v>725415.39</v>
      </c>
      <c r="G37" s="135" t="s">
        <v>222</v>
      </c>
      <c r="H37" s="131">
        <f t="shared" si="5"/>
        <v>5641</v>
      </c>
      <c r="I37" s="110"/>
      <c r="J37" s="106">
        <f t="shared" si="7"/>
        <v>6250</v>
      </c>
      <c r="K37" s="107">
        <f t="shared" si="6"/>
        <v>110.7959581634462</v>
      </c>
      <c r="L37" s="106">
        <f>J37-'[3]Novembris'!J37</f>
        <v>220</v>
      </c>
      <c r="M37" s="106"/>
      <c r="N37" s="2">
        <v>6250</v>
      </c>
      <c r="O37" s="128">
        <v>6030</v>
      </c>
      <c r="P37" s="99">
        <f t="shared" si="1"/>
        <v>220</v>
      </c>
      <c r="R37" s="31"/>
      <c r="U37" s="2">
        <v>6291098.37</v>
      </c>
      <c r="W37" s="2">
        <v>4220050</v>
      </c>
      <c r="Y37" s="100">
        <f>U37-W37</f>
        <v>2071048.37</v>
      </c>
    </row>
    <row r="38" spans="1:25" s="43" customFormat="1" ht="12.75">
      <c r="A38" s="136" t="s">
        <v>223</v>
      </c>
      <c r="B38" s="95">
        <f>SUM(B39)</f>
        <v>61661269</v>
      </c>
      <c r="C38" s="96">
        <f>C39</f>
        <v>90.6</v>
      </c>
      <c r="D38" s="95">
        <f>D39</f>
        <v>55457801.27</v>
      </c>
      <c r="E38" s="97">
        <f>IF(ISERROR(D38/B38)," ",(D38/B38))</f>
        <v>0.8993944200207752</v>
      </c>
      <c r="F38" s="95">
        <f>F39</f>
        <v>4462334.840000004</v>
      </c>
      <c r="G38" s="136" t="s">
        <v>223</v>
      </c>
      <c r="H38" s="137">
        <f t="shared" si="5"/>
        <v>61661</v>
      </c>
      <c r="I38" s="96">
        <f>I39</f>
        <v>90.6</v>
      </c>
      <c r="J38" s="137">
        <f t="shared" si="7"/>
        <v>55458</v>
      </c>
      <c r="K38" s="98">
        <f t="shared" si="2"/>
        <v>89.94015666304472</v>
      </c>
      <c r="L38" s="6">
        <f>J38-'[3]Novembris'!J38</f>
        <v>4463</v>
      </c>
      <c r="M38" s="137"/>
      <c r="N38" s="43">
        <v>0</v>
      </c>
      <c r="O38" s="128">
        <v>50995</v>
      </c>
      <c r="P38" s="99">
        <f t="shared" si="1"/>
        <v>-50995</v>
      </c>
      <c r="R38" s="31"/>
      <c r="U38" s="43">
        <v>22261504</v>
      </c>
      <c r="W38" s="43">
        <v>17785847</v>
      </c>
      <c r="Y38" s="100">
        <f t="shared" si="3"/>
        <v>4475657</v>
      </c>
    </row>
    <row r="39" spans="1:25" s="2" customFormat="1" ht="24">
      <c r="A39" s="61" t="s">
        <v>224</v>
      </c>
      <c r="B39" s="104">
        <v>61661269</v>
      </c>
      <c r="C39" s="110">
        <v>90.6</v>
      </c>
      <c r="D39" s="104">
        <v>55457801.27</v>
      </c>
      <c r="E39" s="105">
        <f>IF(ISERROR(D39/B39)," ",(D39/B39))</f>
        <v>0.8993944200207752</v>
      </c>
      <c r="F39" s="104">
        <f>D39-'[3]Novembris'!D39</f>
        <v>4462334.840000004</v>
      </c>
      <c r="G39" s="61" t="s">
        <v>224</v>
      </c>
      <c r="H39" s="131">
        <f t="shared" si="5"/>
        <v>61661</v>
      </c>
      <c r="I39" s="110">
        <v>90.6</v>
      </c>
      <c r="J39" s="131">
        <f t="shared" si="7"/>
        <v>55458</v>
      </c>
      <c r="K39" s="107">
        <f t="shared" si="2"/>
        <v>89.94015666304472</v>
      </c>
      <c r="L39" s="106">
        <f>J39-'[3]Novembris'!J39</f>
        <v>4463</v>
      </c>
      <c r="M39" s="131"/>
      <c r="N39" s="2">
        <v>55458</v>
      </c>
      <c r="O39" s="128">
        <v>50995</v>
      </c>
      <c r="P39" s="99">
        <f t="shared" si="1"/>
        <v>4463</v>
      </c>
      <c r="R39" s="31"/>
      <c r="U39" s="2">
        <v>22261504</v>
      </c>
      <c r="W39" s="2">
        <v>17785847</v>
      </c>
      <c r="Y39" s="108">
        <f t="shared" si="3"/>
        <v>4475657</v>
      </c>
    </row>
    <row r="40" spans="1:25" s="43" customFormat="1" ht="12.75">
      <c r="A40" s="136" t="s">
        <v>225</v>
      </c>
      <c r="B40" s="95">
        <v>31086194</v>
      </c>
      <c r="C40" s="96">
        <v>60.3</v>
      </c>
      <c r="D40" s="116">
        <f>14167425+3793001.21</f>
        <v>17960426.21</v>
      </c>
      <c r="E40" s="117">
        <f>IF(ISERROR(D40/B40)," ",(D40/B40))</f>
        <v>0.5777621477238417</v>
      </c>
      <c r="F40" s="115">
        <f>D40-'[3]Novembris'!D40</f>
        <v>8336423.210000001</v>
      </c>
      <c r="G40" s="136" t="s">
        <v>226</v>
      </c>
      <c r="H40" s="137">
        <f t="shared" si="5"/>
        <v>31086</v>
      </c>
      <c r="I40" s="96">
        <v>60.3</v>
      </c>
      <c r="J40" s="137">
        <f t="shared" si="7"/>
        <v>17960</v>
      </c>
      <c r="K40" s="98">
        <f t="shared" si="2"/>
        <v>57.77520427201955</v>
      </c>
      <c r="L40" s="6">
        <f>J40-'[3]Novembris'!J40</f>
        <v>8336</v>
      </c>
      <c r="M40" s="131"/>
      <c r="N40" s="43">
        <v>17942</v>
      </c>
      <c r="O40" s="128">
        <v>9624</v>
      </c>
      <c r="P40" s="99">
        <f t="shared" si="1"/>
        <v>8318</v>
      </c>
      <c r="R40" s="31"/>
      <c r="W40" s="43">
        <v>12545062</v>
      </c>
      <c r="Y40" s="100">
        <f t="shared" si="3"/>
        <v>-12545062</v>
      </c>
    </row>
    <row r="41" spans="1:25" s="43" customFormat="1" ht="12.75">
      <c r="A41" s="138" t="s">
        <v>227</v>
      </c>
      <c r="B41" s="99">
        <v>1200000</v>
      </c>
      <c r="C41" s="139"/>
      <c r="D41" s="140">
        <v>3793001.21</v>
      </c>
      <c r="E41" s="117">
        <f>IF(ISERROR(D41/B41)," ",(D41/B41))</f>
        <v>3.1608343416666664</v>
      </c>
      <c r="F41" s="141">
        <f>D41-'[3]Novembris'!D41</f>
        <v>2580727.61</v>
      </c>
      <c r="G41" s="142" t="s">
        <v>228</v>
      </c>
      <c r="H41" s="106">
        <f t="shared" si="5"/>
        <v>1200</v>
      </c>
      <c r="I41" s="92"/>
      <c r="J41" s="106">
        <f t="shared" si="7"/>
        <v>3793</v>
      </c>
      <c r="K41" s="107">
        <f t="shared" si="2"/>
        <v>316.0833333333333</v>
      </c>
      <c r="L41" s="106">
        <f>J41-'[3]Novembris'!J41</f>
        <v>2581</v>
      </c>
      <c r="M41" s="143"/>
      <c r="N41" s="43">
        <v>3793</v>
      </c>
      <c r="O41" s="128">
        <v>1212</v>
      </c>
      <c r="P41" s="99">
        <f t="shared" si="1"/>
        <v>2581</v>
      </c>
      <c r="R41" s="31"/>
      <c r="Y41" s="100"/>
    </row>
    <row r="42" spans="1:25" s="43" customFormat="1" ht="12.75">
      <c r="A42" s="144"/>
      <c r="B42" s="99"/>
      <c r="C42" s="139"/>
      <c r="D42" s="140"/>
      <c r="E42" s="145"/>
      <c r="F42" s="141"/>
      <c r="G42" s="144"/>
      <c r="H42" s="146"/>
      <c r="I42" s="139"/>
      <c r="J42" s="146"/>
      <c r="K42" s="147"/>
      <c r="L42" s="148"/>
      <c r="M42" s="149"/>
      <c r="O42" s="128"/>
      <c r="P42" s="99"/>
      <c r="R42" s="31"/>
      <c r="Y42" s="100"/>
    </row>
    <row r="43" spans="1:19" s="43" customFormat="1" ht="12" customHeight="1">
      <c r="A43" s="144"/>
      <c r="B43" s="148"/>
      <c r="C43" s="150"/>
      <c r="D43" s="143"/>
      <c r="E43" s="151"/>
      <c r="F43" s="143"/>
      <c r="G43" s="152" t="s">
        <v>229</v>
      </c>
      <c r="J43" s="143"/>
      <c r="K43" s="151"/>
      <c r="L43" s="143"/>
      <c r="N43" s="143"/>
      <c r="P43" s="143"/>
      <c r="S43" s="31"/>
    </row>
    <row r="44" spans="1:14" s="43" customFormat="1" ht="12.75">
      <c r="A44" s="152" t="s">
        <v>230</v>
      </c>
      <c r="B44" s="153"/>
      <c r="C44" s="154"/>
      <c r="D44" s="143"/>
      <c r="E44" s="151"/>
      <c r="G44" s="152" t="s">
        <v>231</v>
      </c>
      <c r="H44" s="153"/>
      <c r="I44" s="155"/>
      <c r="J44" s="143"/>
      <c r="K44" s="151"/>
      <c r="L44" s="143"/>
      <c r="N44" s="143"/>
    </row>
    <row r="45" spans="1:12" s="43" customFormat="1" ht="12.75">
      <c r="A45" s="152" t="s">
        <v>232</v>
      </c>
      <c r="B45" s="153"/>
      <c r="C45" s="154"/>
      <c r="D45" s="143"/>
      <c r="E45" s="151"/>
      <c r="G45" s="156" t="s">
        <v>233</v>
      </c>
      <c r="H45" s="153"/>
      <c r="I45" s="155"/>
      <c r="J45" s="143"/>
      <c r="K45" s="151"/>
      <c r="L45" s="75"/>
    </row>
    <row r="46" spans="1:11" s="43" customFormat="1" ht="12.75">
      <c r="A46" s="156" t="s">
        <v>234</v>
      </c>
      <c r="B46" s="157"/>
      <c r="C46" s="158"/>
      <c r="D46" s="159"/>
      <c r="E46" s="160"/>
      <c r="H46" s="161"/>
      <c r="I46" s="161"/>
      <c r="J46" s="162"/>
      <c r="K46" s="160"/>
    </row>
    <row r="47" spans="1:11" s="43" customFormat="1" ht="12.75">
      <c r="A47" s="152"/>
      <c r="B47" s="40"/>
      <c r="C47" s="163"/>
      <c r="D47" s="30"/>
      <c r="E47" s="160"/>
      <c r="K47" s="160"/>
    </row>
    <row r="48" spans="1:7" s="43" customFormat="1" ht="12.75">
      <c r="A48" s="161"/>
      <c r="C48" s="79"/>
      <c r="G48" s="43" t="s">
        <v>235</v>
      </c>
    </row>
    <row r="49" spans="1:3" s="43" customFormat="1" ht="12.75">
      <c r="A49" s="161"/>
      <c r="C49" s="79"/>
    </row>
    <row r="50" spans="1:10" s="43" customFormat="1" ht="12.75">
      <c r="A50" s="43" t="s">
        <v>236</v>
      </c>
      <c r="B50" s="29"/>
      <c r="C50" s="79"/>
      <c r="D50" s="30"/>
      <c r="H50" s="29"/>
      <c r="I50" s="79"/>
      <c r="J50" s="30"/>
    </row>
    <row r="51" spans="1:3" s="43" customFormat="1" ht="12.75">
      <c r="A51" s="161"/>
      <c r="C51" s="79"/>
    </row>
    <row r="52" spans="1:7" s="43" customFormat="1" ht="12.75">
      <c r="A52" s="43" t="s">
        <v>178</v>
      </c>
      <c r="C52" s="79"/>
      <c r="G52" s="43" t="s">
        <v>237</v>
      </c>
    </row>
    <row r="53" spans="1:3" s="43" customFormat="1" ht="12.75">
      <c r="A53" s="43" t="s">
        <v>238</v>
      </c>
      <c r="C53" s="79"/>
    </row>
    <row r="54" s="43" customFormat="1" ht="12.75">
      <c r="C54" s="79"/>
    </row>
  </sheetData>
  <mergeCells count="1">
    <mergeCell ref="G4:L4"/>
  </mergeCells>
  <printOptions/>
  <pageMargins left="0.75" right="0.19" top="0.43" bottom="0.37" header="0.17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43"/>
  <sheetViews>
    <sheetView workbookViewId="0" topLeftCell="H88">
      <selection activeCell="I91" sqref="I91"/>
    </sheetView>
  </sheetViews>
  <sheetFormatPr defaultColWidth="9.140625" defaultRowHeight="12.75"/>
  <cols>
    <col min="1" max="1" width="29.57421875" style="43" hidden="1" customWidth="1"/>
    <col min="2" max="2" width="11.8515625" style="43" hidden="1" customWidth="1"/>
    <col min="3" max="3" width="12.421875" style="43" hidden="1" customWidth="1"/>
    <col min="4" max="4" width="11.140625" style="43" hidden="1" customWidth="1"/>
    <col min="5" max="5" width="7.421875" style="43" hidden="1" customWidth="1"/>
    <col min="6" max="6" width="9.140625" style="43" hidden="1" customWidth="1"/>
    <col min="7" max="7" width="1.8515625" style="43" hidden="1" customWidth="1"/>
    <col min="8" max="8" width="31.28125" style="43" customWidth="1"/>
    <col min="9" max="9" width="12.421875" style="43" customWidth="1"/>
    <col min="10" max="10" width="12.28125" style="43" customWidth="1"/>
    <col min="11" max="12" width="9.57421875" style="43" customWidth="1"/>
    <col min="13" max="13" width="11.57421875" style="43" customWidth="1"/>
    <col min="14" max="14" width="9.28125" style="43" customWidth="1"/>
    <col min="15" max="15" width="0.13671875" style="43" hidden="1" customWidth="1"/>
    <col min="16" max="18" width="16.421875" style="0" hidden="1" customWidth="1"/>
    <col min="19" max="19" width="11.421875" style="43" hidden="1" customWidth="1"/>
    <col min="20" max="20" width="12.7109375" style="43" hidden="1" customWidth="1"/>
    <col min="21" max="21" width="11.57421875" style="43" hidden="1" customWidth="1"/>
    <col min="22" max="27" width="11.421875" style="43" hidden="1" customWidth="1"/>
    <col min="28" max="16384" width="11.421875" style="43" customWidth="1"/>
  </cols>
  <sheetData>
    <row r="1" spans="1:18" ht="17.25" customHeight="1">
      <c r="A1" s="32" t="s">
        <v>239</v>
      </c>
      <c r="B1" s="32"/>
      <c r="C1" s="32"/>
      <c r="D1" s="32"/>
      <c r="E1" s="32"/>
      <c r="F1" s="32"/>
      <c r="G1" s="43" t="s">
        <v>240</v>
      </c>
      <c r="H1" s="32" t="s">
        <v>239</v>
      </c>
      <c r="I1" s="32"/>
      <c r="J1" s="32"/>
      <c r="K1" s="32"/>
      <c r="L1" s="32"/>
      <c r="M1" s="32"/>
      <c r="N1" s="43" t="s">
        <v>240</v>
      </c>
      <c r="P1" s="43"/>
      <c r="Q1" s="43"/>
      <c r="R1" s="43"/>
    </row>
    <row r="2" spans="1:18" ht="17.25" customHeight="1">
      <c r="A2" s="32"/>
      <c r="B2" s="32"/>
      <c r="C2" s="32"/>
      <c r="D2" s="32"/>
      <c r="E2" s="32"/>
      <c r="F2" s="32"/>
      <c r="H2" s="32"/>
      <c r="I2" s="32"/>
      <c r="J2" s="32"/>
      <c r="K2" s="32"/>
      <c r="L2" s="32"/>
      <c r="M2" s="32"/>
      <c r="P2" s="43"/>
      <c r="Q2" s="43"/>
      <c r="R2" s="43"/>
    </row>
    <row r="3" spans="1:18" ht="10.5" customHeight="1">
      <c r="A3" s="32"/>
      <c r="B3" s="32"/>
      <c r="C3" s="32"/>
      <c r="D3" s="32"/>
      <c r="E3" s="32"/>
      <c r="F3" s="32"/>
      <c r="H3" s="32"/>
      <c r="I3" s="32"/>
      <c r="J3" s="32"/>
      <c r="K3" s="32"/>
      <c r="L3" s="32"/>
      <c r="M3" s="32"/>
      <c r="P3" s="43"/>
      <c r="Q3" s="43"/>
      <c r="R3" s="43"/>
    </row>
    <row r="4" spans="1:18" ht="18.75" customHeight="1">
      <c r="A4" s="164" t="s">
        <v>241</v>
      </c>
      <c r="B4" s="165"/>
      <c r="C4" s="165"/>
      <c r="D4" s="165"/>
      <c r="E4" s="165"/>
      <c r="F4" s="165"/>
      <c r="H4" s="164" t="s">
        <v>242</v>
      </c>
      <c r="I4" s="165"/>
      <c r="J4" s="165"/>
      <c r="K4" s="165"/>
      <c r="L4" s="165"/>
      <c r="M4" s="165"/>
      <c r="P4" s="43"/>
      <c r="Q4" s="43"/>
      <c r="R4" s="43"/>
    </row>
    <row r="5" spans="1:18" ht="15.75" customHeight="1">
      <c r="A5" s="646" t="s">
        <v>243</v>
      </c>
      <c r="B5" s="646"/>
      <c r="C5" s="646"/>
      <c r="D5" s="646"/>
      <c r="E5" s="646"/>
      <c r="F5" s="646"/>
      <c r="G5" s="75"/>
      <c r="H5" s="646" t="s">
        <v>243</v>
      </c>
      <c r="I5" s="646"/>
      <c r="J5" s="646"/>
      <c r="K5" s="646"/>
      <c r="L5" s="646"/>
      <c r="M5" s="646"/>
      <c r="P5" s="43"/>
      <c r="Q5" s="43"/>
      <c r="R5" s="43"/>
    </row>
    <row r="6" spans="1:18" ht="14.25" customHeight="1">
      <c r="A6" s="645" t="s">
        <v>244</v>
      </c>
      <c r="B6" s="645"/>
      <c r="C6" s="645"/>
      <c r="D6" s="645"/>
      <c r="E6" s="645"/>
      <c r="F6" s="645"/>
      <c r="G6" s="75"/>
      <c r="H6" s="645" t="s">
        <v>244</v>
      </c>
      <c r="I6" s="645"/>
      <c r="J6" s="645"/>
      <c r="K6" s="645"/>
      <c r="L6" s="645"/>
      <c r="M6" s="645"/>
      <c r="P6" s="43"/>
      <c r="Q6" s="43"/>
      <c r="R6" s="43"/>
    </row>
    <row r="7" spans="1:18" ht="14.25" customHeight="1">
      <c r="A7" s="83"/>
      <c r="B7" s="83"/>
      <c r="C7" s="83"/>
      <c r="D7" s="83"/>
      <c r="E7" s="83"/>
      <c r="F7" s="83"/>
      <c r="G7" s="75"/>
      <c r="H7" s="83"/>
      <c r="I7" s="83"/>
      <c r="J7" s="83"/>
      <c r="K7" s="83"/>
      <c r="L7" s="83"/>
      <c r="M7" s="83"/>
      <c r="P7" s="43"/>
      <c r="Q7" s="43"/>
      <c r="R7" s="43"/>
    </row>
    <row r="8" spans="1:18" ht="12" customHeight="1">
      <c r="A8" s="139"/>
      <c r="B8" s="139"/>
      <c r="C8" s="139"/>
      <c r="D8" s="139"/>
      <c r="E8" s="139"/>
      <c r="F8" s="139"/>
      <c r="G8" s="75"/>
      <c r="H8" s="139"/>
      <c r="I8" s="139"/>
      <c r="J8" s="139"/>
      <c r="K8" s="139"/>
      <c r="L8" s="139"/>
      <c r="M8" s="139"/>
      <c r="P8" s="43"/>
      <c r="Q8" s="43"/>
      <c r="R8" s="43"/>
    </row>
    <row r="9" spans="1:18" ht="15" customHeight="1">
      <c r="A9" s="166">
        <v>36905</v>
      </c>
      <c r="G9" s="43" t="s">
        <v>245</v>
      </c>
      <c r="H9" s="645"/>
      <c r="I9" s="645"/>
      <c r="J9" s="645"/>
      <c r="K9" s="645"/>
      <c r="L9" s="645"/>
      <c r="M9" s="645"/>
      <c r="N9" s="43" t="s">
        <v>105</v>
      </c>
      <c r="P9" s="43"/>
      <c r="Q9" s="43"/>
      <c r="R9" s="43"/>
    </row>
    <row r="10" spans="1:23" ht="87.75" customHeight="1">
      <c r="A10" s="84" t="s">
        <v>59</v>
      </c>
      <c r="B10" s="84" t="s">
        <v>106</v>
      </c>
      <c r="C10" s="84" t="s">
        <v>246</v>
      </c>
      <c r="D10" s="84" t="s">
        <v>107</v>
      </c>
      <c r="E10" s="84" t="s">
        <v>247</v>
      </c>
      <c r="F10" s="84" t="s">
        <v>248</v>
      </c>
      <c r="G10" s="84" t="s">
        <v>63</v>
      </c>
      <c r="H10" s="84" t="s">
        <v>59</v>
      </c>
      <c r="I10" s="84" t="s">
        <v>106</v>
      </c>
      <c r="J10" s="84" t="s">
        <v>246</v>
      </c>
      <c r="K10" s="84" t="s">
        <v>107</v>
      </c>
      <c r="L10" s="84" t="s">
        <v>247</v>
      </c>
      <c r="M10" s="84" t="s">
        <v>249</v>
      </c>
      <c r="N10" s="84" t="s">
        <v>63</v>
      </c>
      <c r="O10" s="84" t="str">
        <f>H10</f>
        <v>Rādītāji</v>
      </c>
      <c r="P10" s="84" t="s">
        <v>250</v>
      </c>
      <c r="Q10" s="84"/>
      <c r="R10" s="84"/>
      <c r="S10" s="43" t="s">
        <v>251</v>
      </c>
      <c r="T10" s="87"/>
      <c r="V10" s="43" t="s">
        <v>252</v>
      </c>
      <c r="W10" s="43" t="s">
        <v>253</v>
      </c>
    </row>
    <row r="11" spans="1:18" ht="10.5" customHeight="1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92">
        <v>7</v>
      </c>
      <c r="H11" s="84">
        <v>1</v>
      </c>
      <c r="I11" s="84">
        <v>2</v>
      </c>
      <c r="J11" s="84">
        <v>3</v>
      </c>
      <c r="K11" s="84">
        <v>4</v>
      </c>
      <c r="L11" s="84">
        <v>5</v>
      </c>
      <c r="M11" s="84">
        <v>6</v>
      </c>
      <c r="N11" s="92">
        <v>7</v>
      </c>
      <c r="O11" s="84">
        <f aca="true" t="shared" si="0" ref="O11:O74">H11</f>
        <v>1</v>
      </c>
      <c r="P11" s="43"/>
      <c r="Q11" s="43"/>
      <c r="R11" s="43"/>
    </row>
    <row r="12" spans="1:18" ht="10.5" customHeight="1">
      <c r="A12" s="84"/>
      <c r="B12" s="84"/>
      <c r="C12" s="84"/>
      <c r="D12" s="84"/>
      <c r="E12" s="84"/>
      <c r="F12" s="84"/>
      <c r="G12" s="92"/>
      <c r="H12" s="84"/>
      <c r="I12" s="84"/>
      <c r="J12" s="84"/>
      <c r="K12" s="84"/>
      <c r="L12" s="84"/>
      <c r="M12" s="84"/>
      <c r="N12" s="92"/>
      <c r="O12" s="84"/>
      <c r="P12" s="43" t="s">
        <v>254</v>
      </c>
      <c r="Q12" s="43" t="s">
        <v>255</v>
      </c>
      <c r="R12" s="43" t="s">
        <v>256</v>
      </c>
    </row>
    <row r="13" spans="1:104" s="83" customFormat="1" ht="12.75" customHeight="1">
      <c r="A13" s="96" t="s">
        <v>257</v>
      </c>
      <c r="B13" s="167">
        <f>SUM(B14:B15)</f>
        <v>776755242</v>
      </c>
      <c r="C13" s="167">
        <f>SUM(C14:C15)</f>
        <v>776755242</v>
      </c>
      <c r="D13" s="167">
        <f>SUM(D14:D15)-1</f>
        <v>752970176.65</v>
      </c>
      <c r="E13" s="168">
        <f aca="true" t="shared" si="1" ref="E13:E76">IF(ISERROR(D13/B13)," ",(D13/B13))*100</f>
        <v>96.937894453244</v>
      </c>
      <c r="F13" s="168">
        <f aca="true" t="shared" si="2" ref="F13:F76">IF(ISERROR(D13/C13)," ",(D13/C13))*100</f>
        <v>96.937894453244</v>
      </c>
      <c r="G13" s="167">
        <f>SUM(G14:G15)</f>
        <v>86566941.05000001</v>
      </c>
      <c r="H13" s="96" t="s">
        <v>257</v>
      </c>
      <c r="I13" s="167">
        <f>SUM(I14:I15)</f>
        <v>776755</v>
      </c>
      <c r="J13" s="167">
        <f>SUM(J14:J15)</f>
        <v>776755</v>
      </c>
      <c r="K13" s="167">
        <f>SUM(K14:K15)</f>
        <v>752970</v>
      </c>
      <c r="L13" s="98">
        <f>IF(ISERROR(ROUND(K13,0)/ROUND(I13,0))," ",(ROUND(K13,)/ROUND(I13,)))*100</f>
        <v>96.93790191244344</v>
      </c>
      <c r="M13" s="98">
        <f>IF(ISERROR(ROUND(K13,0)/ROUND(J13,0))," ",(ROUND(K13,)/ROUND(J13,)))*100</f>
        <v>96.93790191244344</v>
      </c>
      <c r="N13" s="167">
        <f>SUM(N14:N15)</f>
        <v>86567</v>
      </c>
      <c r="O13" s="84" t="str">
        <f t="shared" si="0"/>
        <v>   Izdevumi - kopā </v>
      </c>
      <c r="P13" s="169">
        <f>K13</f>
        <v>752970</v>
      </c>
      <c r="Q13" s="169">
        <v>666403</v>
      </c>
      <c r="R13" s="169">
        <f>P13-Q13</f>
        <v>86567</v>
      </c>
      <c r="S13" s="30">
        <v>86567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</row>
    <row r="14" spans="1:104" s="75" customFormat="1" ht="12.75" customHeight="1">
      <c r="A14" s="113" t="s">
        <v>258</v>
      </c>
      <c r="B14" s="170">
        <f>B17+B20+B23+B26+B29+B32+B35+B38+B41+B44+B47+B50+B53+B56+B59+B62+B65+B68+B70+B73+B76+B79+B81+B83+B86+B88+B91+B94+B97</f>
        <v>705633474</v>
      </c>
      <c r="C14" s="170">
        <f>C17+C20+C23+C26+C29+C32+C35+C38+C41+C44+C47+C50+C53+C56+C59+C62+C65+C68+C70+C73+C76+C79+C81+C83+C86+C88+C91+C94+C97</f>
        <v>705633474</v>
      </c>
      <c r="D14" s="170">
        <f>D17+D20+D23+D26+D29+D32+D35+D38+D41+D44+D47+D50+D53+D56+D59+D62+D65+D68+D70+D73+D76+D79+D81+D83+D86+D88+D91+D94+D97-1</f>
        <v>687965817.42</v>
      </c>
      <c r="E14" s="171">
        <f t="shared" si="1"/>
        <v>97.49619919816898</v>
      </c>
      <c r="F14" s="171">
        <f t="shared" si="2"/>
        <v>97.49619919816898</v>
      </c>
      <c r="G14" s="170">
        <f>G17+G20+G23+G26+G29+G32+G35+G38+G41+G44+G47+G50+G53+G56+G59+G62+G65+G68+G70+G73+G76+G79+G81+G83+G86+G88+G91+G94+G97</f>
        <v>72269823.29</v>
      </c>
      <c r="H14" s="113" t="s">
        <v>258</v>
      </c>
      <c r="I14" s="170">
        <f>I17+I20+I23+I26+I29+I32+I35+I38+I41+I44+I47+I50+I53+I56+I59+I62+I65+I68+I70+I73+I76+I79+I81+I83+I86+I88+I91+I94+I97+1</f>
        <v>705633</v>
      </c>
      <c r="J14" s="170">
        <f>J17+J20+J23+J26+J29+J32+J35+J38+J41+J44+J47+J50+J53+J56+J59+J62+J65+J68+J70+J73+J76+J79+J81+J83+J86+J88+J91+J94+J97+1</f>
        <v>705633</v>
      </c>
      <c r="K14" s="170">
        <f>K17+K20+K23+K26+K29+K32+K35+K38+K41+K44+K47+K50+K53+K56+K59+K62+K65+K70+K73+K76+K83+K88+K91+K94+K68+K79+K81+K86+K97</f>
        <v>687966</v>
      </c>
      <c r="L14" s="107">
        <f>IF(ISERROR(ROUND(K14,0)/ROUND(I14,0))," ",(ROUND(K14,)/ROUND(I14,)))*100</f>
        <v>97.49629056464197</v>
      </c>
      <c r="M14" s="107">
        <f>IF(ISERROR(ROUND(K14,0)/ROUND(J14,0))," ",(ROUND(K14,)/ROUND(J14,)))*100</f>
        <v>97.49629056464197</v>
      </c>
      <c r="N14" s="172">
        <f>N17+N20+N23+N26+N29+N32+N35+N38+N41+N44+N47+N50+N53+N56+N59+N62+N65+N68+N70+N73+N76+N79+N81+N83+N86+N88+N91+N94+N97</f>
        <v>72270</v>
      </c>
      <c r="O14" s="84" t="str">
        <f t="shared" si="0"/>
        <v>     Uzturēšanas izdevumi</v>
      </c>
      <c r="P14" s="169">
        <f aca="true" t="shared" si="3" ref="P14:P77">K14</f>
        <v>687966</v>
      </c>
      <c r="Q14" s="169">
        <v>615697</v>
      </c>
      <c r="R14" s="169">
        <f aca="true" t="shared" si="4" ref="R14:R77">P14-Q14</f>
        <v>72269</v>
      </c>
      <c r="S14" s="30">
        <v>72269</v>
      </c>
      <c r="U14" s="43"/>
      <c r="V14" s="43">
        <f>S14</f>
        <v>72269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</row>
    <row r="15" spans="1:104" s="75" customFormat="1" ht="12.75" customHeight="1">
      <c r="A15" s="113" t="s">
        <v>259</v>
      </c>
      <c r="B15" s="170">
        <f>B18+B21+B24+B27+B30+B33+B36+B39+B42+B45+B48+B51+B54+B57+B60+B63+B66+B71+B74+B77+B84+B89+B92+B95</f>
        <v>71121768</v>
      </c>
      <c r="C15" s="170">
        <f>C18+C21+C24+C27+C30+C33+C36+C39+C42+C45+C48+C51+C54+C57+C60+C63+C66+C71+C74+C77+C84+C89+C92+C95</f>
        <v>71121768</v>
      </c>
      <c r="D15" s="170">
        <f>D18+D21+D24+D27+D30+D33+D36+D39+D42+D45+D48+D51+D54+D57+D60+D63+D66+D71+D74+D77+D84+D89+D92+D95</f>
        <v>65004360.230000004</v>
      </c>
      <c r="E15" s="171">
        <f t="shared" si="1"/>
        <v>91.39868433810588</v>
      </c>
      <c r="F15" s="171">
        <f t="shared" si="2"/>
        <v>91.39868433810588</v>
      </c>
      <c r="G15" s="170">
        <f>G18+G21+G24+G27+G30+G33+G36+G39+G42+G45+G48+G51+G54+G57+G60+G63+G66+G71+G74+G77+G84+G89+G92+G95</f>
        <v>14297117.76</v>
      </c>
      <c r="H15" s="113" t="s">
        <v>259</v>
      </c>
      <c r="I15" s="170">
        <f>I18+I21+I24+I27+I30+I33+I36+I39+I42+I45+I48+I51+I54+I57+I60+I63+I66+I71+I74+I77+I84+I89+I92+I95</f>
        <v>71122</v>
      </c>
      <c r="J15" s="170">
        <f>J18+J21+J24+J27+J30+J33+J36+J39+J42+J45+J48+J51+J54+J57+J60+J63+J66+J71+J74+J77+J84+J89+J92+J95+1</f>
        <v>71122</v>
      </c>
      <c r="K15" s="170">
        <f>K18+K21+K24+K27+K30+K33+K36+K39+K42+K45+K48+K51+K54+K57+K60+K63+K66+K71+K74+K77+K84+K89+K92+K95</f>
        <v>65004</v>
      </c>
      <c r="L15" s="107">
        <f>IF(ISERROR(ROUND(K15,0)/ROUND(I15,0))," ",(ROUND(K15,)/ROUND(I15,)))*100</f>
        <v>91.397879699671</v>
      </c>
      <c r="M15" s="107">
        <f>IF(ISERROR(ROUND(K15,0)/ROUND(J15,0))," ",(ROUND(K15,)/ROUND(J15,)))*100</f>
        <v>91.397879699671</v>
      </c>
      <c r="N15" s="170">
        <f>N18+N21+N24+N27+N30+N33+N36+N39+N42+N45+N48+N51+N54+N57+N60+N63+N66+N71+N74+N77+N84+N89+N92+N95</f>
        <v>14297</v>
      </c>
      <c r="O15" s="113" t="s">
        <v>260</v>
      </c>
      <c r="P15" s="169">
        <f t="shared" si="3"/>
        <v>65004</v>
      </c>
      <c r="Q15" s="169">
        <v>50706</v>
      </c>
      <c r="R15" s="169">
        <f t="shared" si="4"/>
        <v>14298</v>
      </c>
      <c r="S15" s="30">
        <v>14298</v>
      </c>
      <c r="U15" s="43"/>
      <c r="V15" s="43"/>
      <c r="W15" s="43">
        <f>S15</f>
        <v>14298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</row>
    <row r="16" spans="1:104" s="75" customFormat="1" ht="12.75" customHeight="1">
      <c r="A16" s="70" t="s">
        <v>261</v>
      </c>
      <c r="B16" s="173">
        <f>SUM(B17:B18)</f>
        <v>1079902</v>
      </c>
      <c r="C16" s="173">
        <f>SUM(C17:C18)</f>
        <v>1079902</v>
      </c>
      <c r="D16" s="173">
        <f>SUM(D17:D18)</f>
        <v>1079902</v>
      </c>
      <c r="E16" s="168">
        <f t="shared" si="1"/>
        <v>100</v>
      </c>
      <c r="F16" s="168">
        <f t="shared" si="2"/>
        <v>100</v>
      </c>
      <c r="G16" s="173">
        <f>SUM(G17:G18)</f>
        <v>112954.41</v>
      </c>
      <c r="H16" s="70" t="s">
        <v>262</v>
      </c>
      <c r="I16" s="173">
        <f>SUM(I17:I18)</f>
        <v>1080</v>
      </c>
      <c r="J16" s="173">
        <f>SUM(J17:J18)</f>
        <v>1080</v>
      </c>
      <c r="K16" s="173">
        <f>ROUND(D16/1000,0)</f>
        <v>1080</v>
      </c>
      <c r="L16" s="98">
        <f aca="true" t="shared" si="5" ref="L16:L79">IF(ISERROR(ROUND(K16,0)/ROUND(I16,0))," ",(ROUND(K16,)/ROUND(I16,)))*100</f>
        <v>100</v>
      </c>
      <c r="M16" s="98">
        <f aca="true" t="shared" si="6" ref="M16:M79">IF(ISERROR(ROUND(K16,0)/ROUND(J16,0))," ",(ROUND(K16,)/ROUND(J16,)))*100</f>
        <v>100</v>
      </c>
      <c r="N16" s="173">
        <f>ROUND(G16/1000,0)</f>
        <v>113</v>
      </c>
      <c r="O16" s="84" t="str">
        <f t="shared" si="0"/>
        <v>Valsts prezidenta kanceleja</v>
      </c>
      <c r="P16" s="169">
        <f t="shared" si="3"/>
        <v>1080</v>
      </c>
      <c r="Q16" s="169">
        <v>967</v>
      </c>
      <c r="R16" s="169">
        <f t="shared" si="4"/>
        <v>113</v>
      </c>
      <c r="S16" s="30">
        <v>113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</row>
    <row r="17" spans="1:104" s="75" customFormat="1" ht="12.75" customHeight="1">
      <c r="A17" s="113" t="s">
        <v>258</v>
      </c>
      <c r="B17" s="174">
        <v>974002</v>
      </c>
      <c r="C17" s="174">
        <v>974002</v>
      </c>
      <c r="D17" s="175">
        <v>974002</v>
      </c>
      <c r="E17" s="171">
        <f t="shared" si="1"/>
        <v>100</v>
      </c>
      <c r="F17" s="171">
        <f t="shared" si="2"/>
        <v>100</v>
      </c>
      <c r="G17" s="174">
        <v>62748.72</v>
      </c>
      <c r="H17" s="113" t="s">
        <v>258</v>
      </c>
      <c r="I17" s="174">
        <f aca="true" t="shared" si="7" ref="I17:K18">ROUND(B17/1000,0)</f>
        <v>974</v>
      </c>
      <c r="J17" s="174">
        <f>ROUND(C17/1000,0)</f>
        <v>974</v>
      </c>
      <c r="K17" s="174">
        <f>ROUND(D17/1000,0)</f>
        <v>974</v>
      </c>
      <c r="L17" s="107">
        <f t="shared" si="5"/>
        <v>100</v>
      </c>
      <c r="M17" s="107">
        <f t="shared" si="6"/>
        <v>100</v>
      </c>
      <c r="N17" s="174">
        <f>ROUND(G17/1000,0)</f>
        <v>63</v>
      </c>
      <c r="O17" s="84" t="str">
        <f t="shared" si="0"/>
        <v>     Uzturēšanas izdevumi</v>
      </c>
      <c r="P17" s="169">
        <f t="shared" si="3"/>
        <v>974</v>
      </c>
      <c r="Q17" s="169">
        <v>911</v>
      </c>
      <c r="R17" s="169">
        <f t="shared" si="4"/>
        <v>63</v>
      </c>
      <c r="S17" s="30">
        <v>63</v>
      </c>
      <c r="U17" s="43"/>
      <c r="V17" s="43">
        <f>S17</f>
        <v>63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</row>
    <row r="18" spans="1:104" s="75" customFormat="1" ht="12.75" customHeight="1">
      <c r="A18" s="113" t="s">
        <v>259</v>
      </c>
      <c r="B18" s="174">
        <v>105900</v>
      </c>
      <c r="C18" s="174">
        <v>105900</v>
      </c>
      <c r="D18" s="175">
        <v>105900</v>
      </c>
      <c r="E18" s="171">
        <f t="shared" si="1"/>
        <v>100</v>
      </c>
      <c r="F18" s="171">
        <f t="shared" si="2"/>
        <v>100</v>
      </c>
      <c r="G18" s="174">
        <v>50205.69</v>
      </c>
      <c r="H18" s="113" t="s">
        <v>259</v>
      </c>
      <c r="I18" s="174">
        <f t="shared" si="7"/>
        <v>106</v>
      </c>
      <c r="J18" s="174">
        <f>ROUND(C18/1000,0)</f>
        <v>106</v>
      </c>
      <c r="K18" s="174">
        <f t="shared" si="7"/>
        <v>106</v>
      </c>
      <c r="L18" s="107">
        <f t="shared" si="5"/>
        <v>100</v>
      </c>
      <c r="M18" s="107">
        <f t="shared" si="6"/>
        <v>100</v>
      </c>
      <c r="N18" s="174">
        <f aca="true" t="shared" si="8" ref="N18:N81">ROUND(G18/1000,0)</f>
        <v>50</v>
      </c>
      <c r="O18" s="84" t="str">
        <f t="shared" si="0"/>
        <v>     Izdevumi kapitālieguldījumiem</v>
      </c>
      <c r="P18" s="169">
        <f t="shared" si="3"/>
        <v>106</v>
      </c>
      <c r="Q18" s="169">
        <v>56</v>
      </c>
      <c r="R18" s="169">
        <f t="shared" si="4"/>
        <v>50</v>
      </c>
      <c r="S18" s="30">
        <v>50</v>
      </c>
      <c r="U18" s="43" t="s">
        <v>263</v>
      </c>
      <c r="V18" s="43"/>
      <c r="W18" s="43">
        <f>S18</f>
        <v>50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</row>
    <row r="19" spans="1:104" s="75" customFormat="1" ht="12.75" customHeight="1">
      <c r="A19" s="176" t="s">
        <v>264</v>
      </c>
      <c r="B19" s="173">
        <f>SUM(B20:B21)</f>
        <v>6857526</v>
      </c>
      <c r="C19" s="173">
        <f>SUM(C20:C21)</f>
        <v>6857526</v>
      </c>
      <c r="D19" s="173">
        <f>SUM(D20:D21)</f>
        <v>6641351</v>
      </c>
      <c r="E19" s="168">
        <f t="shared" si="1"/>
        <v>96.84762405567255</v>
      </c>
      <c r="F19" s="168">
        <f t="shared" si="2"/>
        <v>96.84762405567255</v>
      </c>
      <c r="G19" s="173">
        <f>SUM(G20:G21)</f>
        <v>912521.11</v>
      </c>
      <c r="H19" s="176" t="s">
        <v>264</v>
      </c>
      <c r="I19" s="173">
        <f>SUM(I20:I21)</f>
        <v>6857</v>
      </c>
      <c r="J19" s="173">
        <f>SUM(J20:J21)</f>
        <v>6857</v>
      </c>
      <c r="K19" s="173">
        <f>SUM(K20:K21)</f>
        <v>6641</v>
      </c>
      <c r="L19" s="98">
        <f t="shared" si="5"/>
        <v>96.84993437363278</v>
      </c>
      <c r="M19" s="98">
        <f t="shared" si="6"/>
        <v>96.84993437363278</v>
      </c>
      <c r="N19" s="173">
        <f>ROUND(G19/1000,0)-1</f>
        <v>912</v>
      </c>
      <c r="O19" s="84" t="str">
        <f t="shared" si="0"/>
        <v>Saeima</v>
      </c>
      <c r="P19" s="169">
        <f t="shared" si="3"/>
        <v>6641</v>
      </c>
      <c r="Q19" s="169">
        <v>5729</v>
      </c>
      <c r="R19" s="169">
        <f t="shared" si="4"/>
        <v>912</v>
      </c>
      <c r="S19" s="30">
        <v>912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</row>
    <row r="20" spans="1:104" s="75" customFormat="1" ht="12.75" customHeight="1">
      <c r="A20" s="113" t="s">
        <v>258</v>
      </c>
      <c r="B20" s="174">
        <v>5715091</v>
      </c>
      <c r="C20" s="174">
        <v>5715091</v>
      </c>
      <c r="D20" s="174">
        <v>5503121</v>
      </c>
      <c r="E20" s="171">
        <f t="shared" si="1"/>
        <v>96.29104768410511</v>
      </c>
      <c r="F20" s="171">
        <f t="shared" si="2"/>
        <v>96.29104768410511</v>
      </c>
      <c r="G20" s="174">
        <v>672967.11</v>
      </c>
      <c r="H20" s="113" t="s">
        <v>258</v>
      </c>
      <c r="I20" s="174">
        <f aca="true" t="shared" si="9" ref="I20:K21">ROUND(B20/1000,0)</f>
        <v>5715</v>
      </c>
      <c r="J20" s="174">
        <f t="shared" si="9"/>
        <v>5715</v>
      </c>
      <c r="K20" s="174">
        <f t="shared" si="9"/>
        <v>5503</v>
      </c>
      <c r="L20" s="107">
        <f t="shared" si="5"/>
        <v>96.2904636920385</v>
      </c>
      <c r="M20" s="107">
        <f t="shared" si="6"/>
        <v>96.2904636920385</v>
      </c>
      <c r="N20" s="174">
        <f t="shared" si="8"/>
        <v>673</v>
      </c>
      <c r="O20" s="84" t="str">
        <f t="shared" si="0"/>
        <v>     Uzturēšanas izdevumi</v>
      </c>
      <c r="P20" s="169">
        <f t="shared" si="3"/>
        <v>5503</v>
      </c>
      <c r="Q20" s="169">
        <v>4830</v>
      </c>
      <c r="R20" s="169">
        <f t="shared" si="4"/>
        <v>673</v>
      </c>
      <c r="S20" s="30">
        <v>673</v>
      </c>
      <c r="U20" s="43"/>
      <c r="V20" s="43">
        <f>S20</f>
        <v>673</v>
      </c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</row>
    <row r="21" spans="1:104" s="75" customFormat="1" ht="12.75" customHeight="1">
      <c r="A21" s="113" t="s">
        <v>259</v>
      </c>
      <c r="B21" s="174">
        <v>1142435</v>
      </c>
      <c r="C21" s="174">
        <v>1142435</v>
      </c>
      <c r="D21" s="174">
        <v>1138230</v>
      </c>
      <c r="E21" s="171">
        <f t="shared" si="1"/>
        <v>99.63192654286676</v>
      </c>
      <c r="F21" s="171">
        <f t="shared" si="2"/>
        <v>99.63192654286676</v>
      </c>
      <c r="G21" s="174">
        <v>239554</v>
      </c>
      <c r="H21" s="113" t="s">
        <v>259</v>
      </c>
      <c r="I21" s="174">
        <f t="shared" si="9"/>
        <v>1142</v>
      </c>
      <c r="J21" s="174">
        <f t="shared" si="9"/>
        <v>1142</v>
      </c>
      <c r="K21" s="174">
        <f t="shared" si="9"/>
        <v>1138</v>
      </c>
      <c r="L21" s="107">
        <f t="shared" si="5"/>
        <v>99.64973730297724</v>
      </c>
      <c r="M21" s="107">
        <f t="shared" si="6"/>
        <v>99.64973730297724</v>
      </c>
      <c r="N21" s="174">
        <f>ROUND(G21/1000,0)-1</f>
        <v>239</v>
      </c>
      <c r="O21" s="84" t="str">
        <f t="shared" si="0"/>
        <v>     Izdevumi kapitālieguldījumiem</v>
      </c>
      <c r="P21" s="169">
        <f t="shared" si="3"/>
        <v>1138</v>
      </c>
      <c r="Q21" s="169">
        <v>899</v>
      </c>
      <c r="R21" s="169">
        <f t="shared" si="4"/>
        <v>239</v>
      </c>
      <c r="S21" s="30">
        <v>239</v>
      </c>
      <c r="U21" s="43"/>
      <c r="V21" s="43"/>
      <c r="W21" s="43">
        <f>S21</f>
        <v>239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</row>
    <row r="22" spans="1:104" s="75" customFormat="1" ht="12.75" customHeight="1">
      <c r="A22" s="176" t="s">
        <v>265</v>
      </c>
      <c r="B22" s="173">
        <f>SUM(B23:B24)</f>
        <v>4031850</v>
      </c>
      <c r="C22" s="173">
        <f>SUM(C23:C24)</f>
        <v>4031850</v>
      </c>
      <c r="D22" s="173">
        <f>SUM(D23:D24)</f>
        <v>3850871</v>
      </c>
      <c r="E22" s="168">
        <f t="shared" si="1"/>
        <v>95.51126654017386</v>
      </c>
      <c r="F22" s="168">
        <f t="shared" si="2"/>
        <v>95.51126654017386</v>
      </c>
      <c r="G22" s="173">
        <f>SUM(G23:G24)</f>
        <v>370395.41000000003</v>
      </c>
      <c r="H22" s="176" t="s">
        <v>265</v>
      </c>
      <c r="I22" s="173">
        <f>SUM(I23:I24)</f>
        <v>4032</v>
      </c>
      <c r="J22" s="173">
        <f>SUM(J23:J24)</f>
        <v>4032</v>
      </c>
      <c r="K22" s="173">
        <f>SUM(K23:K24)</f>
        <v>3851</v>
      </c>
      <c r="L22" s="98">
        <f t="shared" si="5"/>
        <v>95.5109126984127</v>
      </c>
      <c r="M22" s="98">
        <f t="shared" si="6"/>
        <v>95.5109126984127</v>
      </c>
      <c r="N22" s="173">
        <f t="shared" si="8"/>
        <v>370</v>
      </c>
      <c r="O22" s="84" t="str">
        <f t="shared" si="0"/>
        <v>Ministru Kabinets</v>
      </c>
      <c r="P22" s="169">
        <f t="shared" si="3"/>
        <v>3851</v>
      </c>
      <c r="Q22" s="169">
        <v>3480</v>
      </c>
      <c r="R22" s="169">
        <f t="shared" si="4"/>
        <v>371</v>
      </c>
      <c r="S22" s="30">
        <v>371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</row>
    <row r="23" spans="1:104" s="75" customFormat="1" ht="12.75" customHeight="1">
      <c r="A23" s="113" t="s">
        <v>258</v>
      </c>
      <c r="B23" s="174">
        <v>3895670</v>
      </c>
      <c r="C23" s="174">
        <v>3895670</v>
      </c>
      <c r="D23" s="174">
        <v>3715059</v>
      </c>
      <c r="E23" s="171">
        <f t="shared" si="1"/>
        <v>95.36380134867687</v>
      </c>
      <c r="F23" s="171">
        <f t="shared" si="2"/>
        <v>95.36380134867687</v>
      </c>
      <c r="G23" s="177">
        <v>356083.14</v>
      </c>
      <c r="H23" s="113" t="s">
        <v>258</v>
      </c>
      <c r="I23" s="174">
        <f aca="true" t="shared" si="10" ref="I23:K24">ROUND(B23/1000,0)</f>
        <v>3896</v>
      </c>
      <c r="J23" s="174">
        <f t="shared" si="10"/>
        <v>3896</v>
      </c>
      <c r="K23" s="174">
        <f t="shared" si="10"/>
        <v>3715</v>
      </c>
      <c r="L23" s="107">
        <f t="shared" si="5"/>
        <v>95.35420944558521</v>
      </c>
      <c r="M23" s="107">
        <f t="shared" si="6"/>
        <v>95.35420944558521</v>
      </c>
      <c r="N23" s="174">
        <f t="shared" si="8"/>
        <v>356</v>
      </c>
      <c r="O23" s="84" t="str">
        <f t="shared" si="0"/>
        <v>     Uzturēšanas izdevumi</v>
      </c>
      <c r="P23" s="169">
        <f t="shared" si="3"/>
        <v>3715</v>
      </c>
      <c r="Q23" s="169">
        <v>3359</v>
      </c>
      <c r="R23" s="169">
        <f t="shared" si="4"/>
        <v>356</v>
      </c>
      <c r="S23" s="30">
        <v>356</v>
      </c>
      <c r="U23" s="43"/>
      <c r="V23" s="43">
        <f>S23</f>
        <v>356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</row>
    <row r="24" spans="1:104" s="75" customFormat="1" ht="12.75" customHeight="1">
      <c r="A24" s="113" t="s">
        <v>259</v>
      </c>
      <c r="B24" s="174">
        <v>136180</v>
      </c>
      <c r="C24" s="174">
        <v>136180</v>
      </c>
      <c r="D24" s="174">
        <v>135812</v>
      </c>
      <c r="E24" s="171">
        <f t="shared" si="1"/>
        <v>99.72976942282273</v>
      </c>
      <c r="F24" s="171">
        <f t="shared" si="2"/>
        <v>99.72976942282273</v>
      </c>
      <c r="G24" s="177">
        <v>14312.27</v>
      </c>
      <c r="H24" s="113" t="s">
        <v>259</v>
      </c>
      <c r="I24" s="174">
        <f t="shared" si="10"/>
        <v>136</v>
      </c>
      <c r="J24" s="174">
        <f t="shared" si="10"/>
        <v>136</v>
      </c>
      <c r="K24" s="174">
        <f t="shared" si="10"/>
        <v>136</v>
      </c>
      <c r="L24" s="107">
        <f t="shared" si="5"/>
        <v>100</v>
      </c>
      <c r="M24" s="107">
        <f t="shared" si="6"/>
        <v>100</v>
      </c>
      <c r="N24" s="174">
        <f t="shared" si="8"/>
        <v>14</v>
      </c>
      <c r="O24" s="84" t="str">
        <f t="shared" si="0"/>
        <v>     Izdevumi kapitālieguldījumiem</v>
      </c>
      <c r="P24" s="169">
        <f t="shared" si="3"/>
        <v>136</v>
      </c>
      <c r="Q24" s="169">
        <v>121</v>
      </c>
      <c r="R24" s="169">
        <f t="shared" si="4"/>
        <v>15</v>
      </c>
      <c r="S24" s="30">
        <v>15</v>
      </c>
      <c r="U24" s="43"/>
      <c r="V24" s="43"/>
      <c r="W24" s="43">
        <f>S24</f>
        <v>15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</row>
    <row r="25" spans="1:104" s="75" customFormat="1" ht="12.75" customHeight="1">
      <c r="A25" s="176" t="s">
        <v>266</v>
      </c>
      <c r="B25" s="173">
        <f>SUM(B26:B27)</f>
        <v>42879448</v>
      </c>
      <c r="C25" s="173">
        <f>SUM(C26:C27)</f>
        <v>42879448</v>
      </c>
      <c r="D25" s="173">
        <f>SUM(D26:D27)</f>
        <v>42442146</v>
      </c>
      <c r="E25" s="168">
        <f t="shared" si="1"/>
        <v>98.98015944608241</v>
      </c>
      <c r="F25" s="168">
        <f t="shared" si="2"/>
        <v>98.98015944608241</v>
      </c>
      <c r="G25" s="178">
        <f>SUM(G26:G27)</f>
        <v>5416562.32</v>
      </c>
      <c r="H25" s="176" t="s">
        <v>266</v>
      </c>
      <c r="I25" s="173">
        <f>SUM(I26:I27)</f>
        <v>42879</v>
      </c>
      <c r="J25" s="173">
        <f>SUM(J26:J27)</f>
        <v>42879</v>
      </c>
      <c r="K25" s="173">
        <f>SUM(K26:K27)</f>
        <v>42442</v>
      </c>
      <c r="L25" s="98">
        <f t="shared" si="5"/>
        <v>98.98085309825322</v>
      </c>
      <c r="M25" s="98">
        <f t="shared" si="6"/>
        <v>98.98085309825322</v>
      </c>
      <c r="N25" s="173">
        <f>ROUND(G25/1000,0)-1</f>
        <v>5416</v>
      </c>
      <c r="O25" s="84" t="str">
        <f t="shared" si="0"/>
        <v>Aizsardzības ministrija</v>
      </c>
      <c r="P25" s="169">
        <f t="shared" si="3"/>
        <v>42442</v>
      </c>
      <c r="Q25" s="169">
        <v>37026</v>
      </c>
      <c r="R25" s="169">
        <f t="shared" si="4"/>
        <v>5416</v>
      </c>
      <c r="S25" s="30">
        <v>5416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</row>
    <row r="26" spans="1:104" s="75" customFormat="1" ht="12.75" customHeight="1">
      <c r="A26" s="113" t="s">
        <v>258</v>
      </c>
      <c r="B26" s="174">
        <v>39021388</v>
      </c>
      <c r="C26" s="174">
        <v>39021388</v>
      </c>
      <c r="D26" s="174">
        <v>38599714</v>
      </c>
      <c r="E26" s="171">
        <f t="shared" si="1"/>
        <v>98.91937723998952</v>
      </c>
      <c r="F26" s="171">
        <f t="shared" si="2"/>
        <v>98.91937723998952</v>
      </c>
      <c r="G26" s="177">
        <v>4428111.16</v>
      </c>
      <c r="H26" s="113" t="s">
        <v>258</v>
      </c>
      <c r="I26" s="174">
        <f aca="true" t="shared" si="11" ref="I26:K27">ROUND(B26/1000,0)</f>
        <v>39021</v>
      </c>
      <c r="J26" s="174">
        <f>ROUND(C26/1000,0)</f>
        <v>39021</v>
      </c>
      <c r="K26" s="174">
        <f>ROUND(D26/1000,0)</f>
        <v>38600</v>
      </c>
      <c r="L26" s="107">
        <f t="shared" si="5"/>
        <v>98.92109377002127</v>
      </c>
      <c r="M26" s="107">
        <f t="shared" si="6"/>
        <v>98.92109377002127</v>
      </c>
      <c r="N26" s="174">
        <f t="shared" si="8"/>
        <v>4428</v>
      </c>
      <c r="O26" s="84" t="str">
        <f t="shared" si="0"/>
        <v>     Uzturēšanas izdevumi</v>
      </c>
      <c r="P26" s="169">
        <f t="shared" si="3"/>
        <v>38600</v>
      </c>
      <c r="Q26" s="169">
        <v>34172</v>
      </c>
      <c r="R26" s="169">
        <f t="shared" si="4"/>
        <v>4428</v>
      </c>
      <c r="S26" s="30">
        <v>4428</v>
      </c>
      <c r="U26" s="43"/>
      <c r="V26" s="43">
        <f>S26</f>
        <v>4428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</row>
    <row r="27" spans="1:104" s="75" customFormat="1" ht="12.75" customHeight="1">
      <c r="A27" s="113" t="s">
        <v>259</v>
      </c>
      <c r="B27" s="174">
        <v>3858060</v>
      </c>
      <c r="C27" s="174">
        <v>3858060</v>
      </c>
      <c r="D27" s="174">
        <v>3842432</v>
      </c>
      <c r="E27" s="171">
        <f t="shared" si="1"/>
        <v>99.59492594723773</v>
      </c>
      <c r="F27" s="171">
        <f t="shared" si="2"/>
        <v>99.59492594723773</v>
      </c>
      <c r="G27" s="177">
        <v>988451.16</v>
      </c>
      <c r="H27" s="113" t="s">
        <v>259</v>
      </c>
      <c r="I27" s="174">
        <f t="shared" si="11"/>
        <v>3858</v>
      </c>
      <c r="J27" s="174">
        <f t="shared" si="11"/>
        <v>3858</v>
      </c>
      <c r="K27" s="174">
        <f t="shared" si="11"/>
        <v>3842</v>
      </c>
      <c r="L27" s="107">
        <f t="shared" si="5"/>
        <v>99.58527734577501</v>
      </c>
      <c r="M27" s="107">
        <f t="shared" si="6"/>
        <v>99.58527734577501</v>
      </c>
      <c r="N27" s="174">
        <f t="shared" si="8"/>
        <v>988</v>
      </c>
      <c r="O27" s="84" t="str">
        <f t="shared" si="0"/>
        <v>     Izdevumi kapitālieguldījumiem</v>
      </c>
      <c r="P27" s="169">
        <f t="shared" si="3"/>
        <v>3842</v>
      </c>
      <c r="Q27" s="169">
        <v>2854</v>
      </c>
      <c r="R27" s="169">
        <f t="shared" si="4"/>
        <v>988</v>
      </c>
      <c r="S27" s="30">
        <v>988</v>
      </c>
      <c r="U27" s="43"/>
      <c r="V27" s="43"/>
      <c r="W27" s="43">
        <f>S27</f>
        <v>988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</row>
    <row r="28" spans="1:104" s="75" customFormat="1" ht="12.75" customHeight="1">
      <c r="A28" s="176" t="s">
        <v>267</v>
      </c>
      <c r="B28" s="173">
        <f>SUM(B29:B30)</f>
        <v>12758649</v>
      </c>
      <c r="C28" s="173">
        <f>SUM(C29:C30)</f>
        <v>12758649</v>
      </c>
      <c r="D28" s="178">
        <f>SUM(D29:D30)</f>
        <v>12450295</v>
      </c>
      <c r="E28" s="168">
        <f t="shared" si="1"/>
        <v>97.58317671408626</v>
      </c>
      <c r="F28" s="168">
        <f t="shared" si="2"/>
        <v>97.58317671408626</v>
      </c>
      <c r="G28" s="178">
        <f>SUM(G29:G30)</f>
        <v>3022870.58</v>
      </c>
      <c r="H28" s="176" t="s">
        <v>267</v>
      </c>
      <c r="I28" s="173">
        <f>SUM(I29:I30)</f>
        <v>12758</v>
      </c>
      <c r="J28" s="173">
        <f>SUM(J29:J30)</f>
        <v>12758</v>
      </c>
      <c r="K28" s="173">
        <f>SUM(K29:K30)</f>
        <v>12450</v>
      </c>
      <c r="L28" s="98">
        <f t="shared" si="5"/>
        <v>97.58582849976484</v>
      </c>
      <c r="M28" s="98">
        <f t="shared" si="6"/>
        <v>97.58582849976484</v>
      </c>
      <c r="N28" s="173">
        <f t="shared" si="8"/>
        <v>3023</v>
      </c>
      <c r="O28" s="84" t="str">
        <f t="shared" si="0"/>
        <v>Ārlietu ministrija</v>
      </c>
      <c r="P28" s="169">
        <f t="shared" si="3"/>
        <v>12450</v>
      </c>
      <c r="Q28" s="169">
        <v>9427</v>
      </c>
      <c r="R28" s="169">
        <f t="shared" si="4"/>
        <v>3023</v>
      </c>
      <c r="S28" s="30">
        <v>3023</v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</row>
    <row r="29" spans="1:104" s="75" customFormat="1" ht="12.75" customHeight="1">
      <c r="A29" s="113" t="s">
        <v>258</v>
      </c>
      <c r="B29" s="174">
        <v>10421349</v>
      </c>
      <c r="C29" s="174">
        <v>10421349</v>
      </c>
      <c r="D29" s="177">
        <v>10113726</v>
      </c>
      <c r="E29" s="171">
        <f t="shared" si="1"/>
        <v>97.04814607014889</v>
      </c>
      <c r="F29" s="171">
        <f t="shared" si="2"/>
        <v>97.04814607014889</v>
      </c>
      <c r="G29" s="177">
        <v>968954.72</v>
      </c>
      <c r="H29" s="113" t="s">
        <v>258</v>
      </c>
      <c r="I29" s="174">
        <f aca="true" t="shared" si="12" ref="I29:K30">ROUND(B29/1000,0)</f>
        <v>10421</v>
      </c>
      <c r="J29" s="174">
        <f t="shared" si="12"/>
        <v>10421</v>
      </c>
      <c r="K29" s="174">
        <f t="shared" si="12"/>
        <v>10114</v>
      </c>
      <c r="L29" s="107">
        <f t="shared" si="5"/>
        <v>97.05402552538143</v>
      </c>
      <c r="M29" s="107">
        <f t="shared" si="6"/>
        <v>97.05402552538143</v>
      </c>
      <c r="N29" s="174">
        <f t="shared" si="8"/>
        <v>969</v>
      </c>
      <c r="O29" s="84" t="str">
        <f t="shared" si="0"/>
        <v>     Uzturēšanas izdevumi</v>
      </c>
      <c r="P29" s="169">
        <f t="shared" si="3"/>
        <v>10114</v>
      </c>
      <c r="Q29" s="169">
        <v>9145</v>
      </c>
      <c r="R29" s="169">
        <f t="shared" si="4"/>
        <v>969</v>
      </c>
      <c r="S29" s="30">
        <v>969</v>
      </c>
      <c r="U29" s="43"/>
      <c r="V29" s="43">
        <f>S29</f>
        <v>969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</row>
    <row r="30" spans="1:104" s="75" customFormat="1" ht="12.75" customHeight="1">
      <c r="A30" s="113" t="s">
        <v>259</v>
      </c>
      <c r="B30" s="174">
        <v>2337300</v>
      </c>
      <c r="C30" s="174">
        <v>2337300</v>
      </c>
      <c r="D30" s="177">
        <v>2336569</v>
      </c>
      <c r="E30" s="171">
        <f t="shared" si="1"/>
        <v>99.96872459675694</v>
      </c>
      <c r="F30" s="171">
        <f t="shared" si="2"/>
        <v>99.96872459675694</v>
      </c>
      <c r="G30" s="177">
        <v>2053915.86</v>
      </c>
      <c r="H30" s="113" t="s">
        <v>259</v>
      </c>
      <c r="I30" s="174">
        <f t="shared" si="12"/>
        <v>2337</v>
      </c>
      <c r="J30" s="174">
        <f t="shared" si="12"/>
        <v>2337</v>
      </c>
      <c r="K30" s="174">
        <f>ROUND(D30/1000,0)-1</f>
        <v>2336</v>
      </c>
      <c r="L30" s="107">
        <f t="shared" si="5"/>
        <v>99.95721009841677</v>
      </c>
      <c r="M30" s="107">
        <f t="shared" si="6"/>
        <v>99.95721009841677</v>
      </c>
      <c r="N30" s="174">
        <f t="shared" si="8"/>
        <v>2054</v>
      </c>
      <c r="O30" s="84" t="str">
        <f t="shared" si="0"/>
        <v>     Izdevumi kapitālieguldījumiem</v>
      </c>
      <c r="P30" s="169">
        <f t="shared" si="3"/>
        <v>2336</v>
      </c>
      <c r="Q30" s="169">
        <v>282</v>
      </c>
      <c r="R30" s="169">
        <f t="shared" si="4"/>
        <v>2054</v>
      </c>
      <c r="S30" s="30">
        <v>2054</v>
      </c>
      <c r="U30" s="43"/>
      <c r="V30" s="43"/>
      <c r="W30" s="43">
        <f>S30</f>
        <v>2054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</row>
    <row r="31" spans="1:104" s="75" customFormat="1" ht="12.75" customHeight="1">
      <c r="A31" s="176" t="s">
        <v>268</v>
      </c>
      <c r="B31" s="173">
        <f>SUM(B32:B33)</f>
        <v>11343234</v>
      </c>
      <c r="C31" s="173">
        <f>SUM(C32:C33)</f>
        <v>11343234</v>
      </c>
      <c r="D31" s="173">
        <f>SUM(D32:D33)-1</f>
        <v>7611109.25</v>
      </c>
      <c r="E31" s="168">
        <f t="shared" si="1"/>
        <v>67.09823009910578</v>
      </c>
      <c r="F31" s="168">
        <f t="shared" si="2"/>
        <v>67.09823009910578</v>
      </c>
      <c r="G31" s="178">
        <f>SUM(G32:G33)</f>
        <v>1397404.47</v>
      </c>
      <c r="H31" s="176" t="s">
        <v>268</v>
      </c>
      <c r="I31" s="173">
        <f>SUM(I32:I33)</f>
        <v>11343</v>
      </c>
      <c r="J31" s="178">
        <f>SUM(J32:J33)</f>
        <v>11343</v>
      </c>
      <c r="K31" s="173">
        <f>SUM(K32:K33)</f>
        <v>7611</v>
      </c>
      <c r="L31" s="98">
        <f t="shared" si="5"/>
        <v>67.09865115048929</v>
      </c>
      <c r="M31" s="98">
        <f t="shared" si="6"/>
        <v>67.09865115048929</v>
      </c>
      <c r="N31" s="173">
        <f>ROUND(G31/1000,0)+1</f>
        <v>1398</v>
      </c>
      <c r="O31" s="84" t="str">
        <f t="shared" si="0"/>
        <v>Ekonomikas ministrija</v>
      </c>
      <c r="P31" s="169">
        <f t="shared" si="3"/>
        <v>7611</v>
      </c>
      <c r="Q31" s="169">
        <v>6214</v>
      </c>
      <c r="R31" s="169">
        <f t="shared" si="4"/>
        <v>1397</v>
      </c>
      <c r="S31" s="30">
        <v>1397</v>
      </c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</row>
    <row r="32" spans="1:104" s="75" customFormat="1" ht="13.5" customHeight="1">
      <c r="A32" s="113" t="s">
        <v>258</v>
      </c>
      <c r="B32" s="174">
        <v>10319179</v>
      </c>
      <c r="C32" s="174">
        <v>10319179</v>
      </c>
      <c r="D32" s="174">
        <v>6890526.08</v>
      </c>
      <c r="E32" s="171">
        <f t="shared" si="1"/>
        <v>66.77397572035527</v>
      </c>
      <c r="F32" s="171">
        <f t="shared" si="2"/>
        <v>66.77397572035527</v>
      </c>
      <c r="G32" s="177">
        <v>1138659.93</v>
      </c>
      <c r="H32" s="113" t="s">
        <v>258</v>
      </c>
      <c r="I32" s="174">
        <f aca="true" t="shared" si="13" ref="I32:K34">ROUND(B32/1000,0)</f>
        <v>10319</v>
      </c>
      <c r="J32" s="174">
        <f t="shared" si="13"/>
        <v>10319</v>
      </c>
      <c r="K32" s="177">
        <f>ROUND(D32/1000,0)</f>
        <v>6891</v>
      </c>
      <c r="L32" s="107">
        <f t="shared" si="5"/>
        <v>66.7797267177052</v>
      </c>
      <c r="M32" s="107">
        <f t="shared" si="6"/>
        <v>66.7797267177052</v>
      </c>
      <c r="N32" s="174">
        <f t="shared" si="8"/>
        <v>1139</v>
      </c>
      <c r="O32" s="84" t="str">
        <f t="shared" si="0"/>
        <v>     Uzturēšanas izdevumi</v>
      </c>
      <c r="P32" s="169">
        <f t="shared" si="3"/>
        <v>6891</v>
      </c>
      <c r="Q32" s="169">
        <v>5752</v>
      </c>
      <c r="R32" s="169">
        <f t="shared" si="4"/>
        <v>1139</v>
      </c>
      <c r="S32" s="30">
        <v>1138</v>
      </c>
      <c r="U32" s="43"/>
      <c r="V32" s="43">
        <f>S32</f>
        <v>1138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</row>
    <row r="33" spans="1:104" s="75" customFormat="1" ht="12.75" customHeight="1">
      <c r="A33" s="113" t="s">
        <v>259</v>
      </c>
      <c r="B33" s="174">
        <v>1024055</v>
      </c>
      <c r="C33" s="174">
        <v>1024055</v>
      </c>
      <c r="D33" s="174">
        <v>720584.17</v>
      </c>
      <c r="E33" s="171">
        <f t="shared" si="1"/>
        <v>70.36576844017168</v>
      </c>
      <c r="F33" s="171">
        <f t="shared" si="2"/>
        <v>70.36576844017168</v>
      </c>
      <c r="G33" s="177">
        <v>258744.54</v>
      </c>
      <c r="H33" s="113" t="s">
        <v>259</v>
      </c>
      <c r="I33" s="174">
        <f t="shared" si="13"/>
        <v>1024</v>
      </c>
      <c r="J33" s="174">
        <f t="shared" si="13"/>
        <v>1024</v>
      </c>
      <c r="K33" s="174">
        <f>ROUND(D33/1000,0)-1</f>
        <v>720</v>
      </c>
      <c r="L33" s="107">
        <f t="shared" si="5"/>
        <v>70.3125</v>
      </c>
      <c r="M33" s="107">
        <f t="shared" si="6"/>
        <v>70.3125</v>
      </c>
      <c r="N33" s="174">
        <f t="shared" si="8"/>
        <v>259</v>
      </c>
      <c r="O33" s="84" t="str">
        <f t="shared" si="0"/>
        <v>     Izdevumi kapitālieguldījumiem</v>
      </c>
      <c r="P33" s="169">
        <f t="shared" si="3"/>
        <v>720</v>
      </c>
      <c r="Q33" s="169">
        <v>462</v>
      </c>
      <c r="R33" s="169">
        <f t="shared" si="4"/>
        <v>258</v>
      </c>
      <c r="S33" s="30">
        <v>259</v>
      </c>
      <c r="U33" s="43"/>
      <c r="V33" s="43"/>
      <c r="W33" s="43">
        <f>S33</f>
        <v>259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</row>
    <row r="34" spans="1:104" s="75" customFormat="1" ht="12.75" customHeight="1">
      <c r="A34" s="176" t="s">
        <v>269</v>
      </c>
      <c r="B34" s="173">
        <f>SUM(B35:B36)</f>
        <v>97282719</v>
      </c>
      <c r="C34" s="173">
        <f>SUM(C35:C36)</f>
        <v>97282719</v>
      </c>
      <c r="D34" s="178">
        <f>SUM(D35:D36)</f>
        <v>94268025.27</v>
      </c>
      <c r="E34" s="168">
        <f t="shared" si="1"/>
        <v>96.90110046163491</v>
      </c>
      <c r="F34" s="168">
        <f t="shared" si="2"/>
        <v>96.90110046163491</v>
      </c>
      <c r="G34" s="178">
        <f>SUM(G35:G36)</f>
        <v>7738621.24</v>
      </c>
      <c r="H34" s="176" t="s">
        <v>269</v>
      </c>
      <c r="I34" s="173">
        <f>SUM(I35:I36)</f>
        <v>97283</v>
      </c>
      <c r="J34" s="173">
        <f>SUM(J35:J36)</f>
        <v>97283</v>
      </c>
      <c r="K34" s="173">
        <f t="shared" si="13"/>
        <v>94268</v>
      </c>
      <c r="L34" s="98">
        <f t="shared" si="5"/>
        <v>96.90079458898266</v>
      </c>
      <c r="M34" s="98">
        <f t="shared" si="6"/>
        <v>96.90079458898266</v>
      </c>
      <c r="N34" s="173">
        <f>ROUND(G34/1000,0)+1</f>
        <v>7740</v>
      </c>
      <c r="O34" s="84" t="str">
        <f t="shared" si="0"/>
        <v>Finansu ministrija</v>
      </c>
      <c r="P34" s="169">
        <f t="shared" si="3"/>
        <v>94268</v>
      </c>
      <c r="Q34" s="169">
        <v>86529</v>
      </c>
      <c r="R34" s="169">
        <f t="shared" si="4"/>
        <v>7739</v>
      </c>
      <c r="S34" s="30">
        <v>7739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</row>
    <row r="35" spans="1:104" s="75" customFormat="1" ht="12.75" customHeight="1">
      <c r="A35" s="113" t="s">
        <v>258</v>
      </c>
      <c r="B35" s="174">
        <v>88806860</v>
      </c>
      <c r="C35" s="174">
        <v>88806860</v>
      </c>
      <c r="D35" s="177">
        <f>86778805.03-83427.97</f>
        <v>86695377.06</v>
      </c>
      <c r="E35" s="171">
        <f t="shared" si="1"/>
        <v>97.62238757231142</v>
      </c>
      <c r="F35" s="171">
        <f t="shared" si="2"/>
        <v>97.62238757231142</v>
      </c>
      <c r="G35" s="177">
        <f>7225183.24-83427.97</f>
        <v>7141755.2700000005</v>
      </c>
      <c r="H35" s="113" t="s">
        <v>258</v>
      </c>
      <c r="I35" s="174">
        <f aca="true" t="shared" si="14" ref="I35:K36">ROUND(B35/1000,0)</f>
        <v>88807</v>
      </c>
      <c r="J35" s="174">
        <f t="shared" si="14"/>
        <v>88807</v>
      </c>
      <c r="K35" s="174">
        <f t="shared" si="14"/>
        <v>86695</v>
      </c>
      <c r="L35" s="107">
        <f t="shared" si="5"/>
        <v>97.62180909162565</v>
      </c>
      <c r="M35" s="107">
        <f t="shared" si="6"/>
        <v>97.62180909162565</v>
      </c>
      <c r="N35" s="174">
        <f>ROUND(G35/1000,0)</f>
        <v>7142</v>
      </c>
      <c r="O35" s="84" t="str">
        <f t="shared" si="0"/>
        <v>     Uzturēšanas izdevumi</v>
      </c>
      <c r="P35" s="169">
        <f t="shared" si="3"/>
        <v>86695</v>
      </c>
      <c r="Q35" s="169">
        <v>79554</v>
      </c>
      <c r="R35" s="169">
        <f t="shared" si="4"/>
        <v>7141</v>
      </c>
      <c r="S35" s="30">
        <v>7141</v>
      </c>
      <c r="U35" s="43"/>
      <c r="V35" s="43">
        <f>S35</f>
        <v>7141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</row>
    <row r="36" spans="1:104" s="75" customFormat="1" ht="12.75" customHeight="1">
      <c r="A36" s="113" t="s">
        <v>259</v>
      </c>
      <c r="B36" s="174">
        <v>8475859</v>
      </c>
      <c r="C36" s="174">
        <v>8475859</v>
      </c>
      <c r="D36" s="177">
        <f>7489220.24+83427.97</f>
        <v>7572648.21</v>
      </c>
      <c r="E36" s="171">
        <f t="shared" si="1"/>
        <v>89.34372563300073</v>
      </c>
      <c r="F36" s="171">
        <f t="shared" si="2"/>
        <v>89.34372563300073</v>
      </c>
      <c r="G36" s="177">
        <f>513438+83427.97</f>
        <v>596865.97</v>
      </c>
      <c r="H36" s="113" t="s">
        <v>259</v>
      </c>
      <c r="I36" s="174">
        <f t="shared" si="14"/>
        <v>8476</v>
      </c>
      <c r="J36" s="174">
        <f t="shared" si="14"/>
        <v>8476</v>
      </c>
      <c r="K36" s="174">
        <f t="shared" si="14"/>
        <v>7573</v>
      </c>
      <c r="L36" s="107">
        <f t="shared" si="5"/>
        <v>89.3463898065125</v>
      </c>
      <c r="M36" s="107">
        <f t="shared" si="6"/>
        <v>89.3463898065125</v>
      </c>
      <c r="N36" s="174">
        <f>ROUND(G36/1000,0)+1</f>
        <v>598</v>
      </c>
      <c r="O36" s="84" t="str">
        <f t="shared" si="0"/>
        <v>     Izdevumi kapitālieguldījumiem</v>
      </c>
      <c r="P36" s="169">
        <f t="shared" si="3"/>
        <v>7573</v>
      </c>
      <c r="Q36" s="169">
        <v>6975</v>
      </c>
      <c r="R36" s="169">
        <f t="shared" si="4"/>
        <v>598</v>
      </c>
      <c r="S36" s="30">
        <v>598</v>
      </c>
      <c r="U36" s="43"/>
      <c r="V36" s="43"/>
      <c r="W36" s="43">
        <f>S36</f>
        <v>598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</row>
    <row r="37" spans="1:104" s="75" customFormat="1" ht="12.75" customHeight="1">
      <c r="A37" s="176" t="s">
        <v>270</v>
      </c>
      <c r="B37" s="173">
        <f>SUM(B38:B39)</f>
        <v>79939389</v>
      </c>
      <c r="C37" s="173">
        <f>SUM(C38:C39)</f>
        <v>79939389</v>
      </c>
      <c r="D37" s="178">
        <f>SUM(D38:D39)</f>
        <v>78436291.25</v>
      </c>
      <c r="E37" s="168">
        <f t="shared" si="1"/>
        <v>98.11970322915528</v>
      </c>
      <c r="F37" s="168">
        <f t="shared" si="2"/>
        <v>98.11970322915528</v>
      </c>
      <c r="G37" s="178">
        <f>SUM(G38:G39)</f>
        <v>6643815.71</v>
      </c>
      <c r="H37" s="176" t="s">
        <v>270</v>
      </c>
      <c r="I37" s="173">
        <f>SUM(I38:I39)</f>
        <v>79939</v>
      </c>
      <c r="J37" s="178">
        <f>SUM(J38:J39)</f>
        <v>79939</v>
      </c>
      <c r="K37" s="173">
        <f>SUM(K38:K39)</f>
        <v>78436</v>
      </c>
      <c r="L37" s="98">
        <f t="shared" si="5"/>
        <v>98.11981635997448</v>
      </c>
      <c r="M37" s="98">
        <f t="shared" si="6"/>
        <v>98.11981635997448</v>
      </c>
      <c r="N37" s="173">
        <f t="shared" si="8"/>
        <v>6644</v>
      </c>
      <c r="O37" s="84" t="str">
        <f t="shared" si="0"/>
        <v>Iekšlietu ministrija</v>
      </c>
      <c r="P37" s="169">
        <f t="shared" si="3"/>
        <v>78436</v>
      </c>
      <c r="Q37" s="169">
        <v>71792</v>
      </c>
      <c r="R37" s="169">
        <f t="shared" si="4"/>
        <v>6644</v>
      </c>
      <c r="S37" s="30">
        <v>6644</v>
      </c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</row>
    <row r="38" spans="1:104" s="75" customFormat="1" ht="12.75" customHeight="1">
      <c r="A38" s="113" t="s">
        <v>258</v>
      </c>
      <c r="B38" s="174">
        <v>72437166</v>
      </c>
      <c r="C38" s="174">
        <v>72437166</v>
      </c>
      <c r="D38" s="177">
        <v>71415231.27</v>
      </c>
      <c r="E38" s="171">
        <f t="shared" si="1"/>
        <v>98.58921215940445</v>
      </c>
      <c r="F38" s="171">
        <f t="shared" si="2"/>
        <v>98.58921215940445</v>
      </c>
      <c r="G38" s="177">
        <v>6081738.34</v>
      </c>
      <c r="H38" s="113" t="s">
        <v>258</v>
      </c>
      <c r="I38" s="174">
        <f aca="true" t="shared" si="15" ref="I38:K39">ROUND(B38/1000,0)</f>
        <v>72437</v>
      </c>
      <c r="J38" s="174">
        <f>ROUND(C38/1000,0)</f>
        <v>72437</v>
      </c>
      <c r="K38" s="174">
        <f>ROUND(D38/1000,0)</f>
        <v>71415</v>
      </c>
      <c r="L38" s="107">
        <f t="shared" si="5"/>
        <v>98.58911882049229</v>
      </c>
      <c r="M38" s="107">
        <f t="shared" si="6"/>
        <v>98.58911882049229</v>
      </c>
      <c r="N38" s="174">
        <f t="shared" si="8"/>
        <v>6082</v>
      </c>
      <c r="O38" s="84" t="str">
        <f t="shared" si="0"/>
        <v>     Uzturēšanas izdevumi</v>
      </c>
      <c r="P38" s="169">
        <f t="shared" si="3"/>
        <v>71415</v>
      </c>
      <c r="Q38" s="169">
        <v>65333</v>
      </c>
      <c r="R38" s="169">
        <f t="shared" si="4"/>
        <v>6082</v>
      </c>
      <c r="S38" s="30">
        <v>6082</v>
      </c>
      <c r="U38" s="43"/>
      <c r="V38" s="43">
        <f>S38</f>
        <v>6082</v>
      </c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</row>
    <row r="39" spans="1:104" s="75" customFormat="1" ht="12.75" customHeight="1">
      <c r="A39" s="113" t="s">
        <v>259</v>
      </c>
      <c r="B39" s="174">
        <v>7502223</v>
      </c>
      <c r="C39" s="174">
        <v>7502223</v>
      </c>
      <c r="D39" s="177">
        <v>7021059.98</v>
      </c>
      <c r="E39" s="171">
        <f t="shared" si="1"/>
        <v>93.58639405946745</v>
      </c>
      <c r="F39" s="171">
        <f t="shared" si="2"/>
        <v>93.58639405946745</v>
      </c>
      <c r="G39" s="177">
        <v>562077.37</v>
      </c>
      <c r="H39" s="113" t="s">
        <v>259</v>
      </c>
      <c r="I39" s="174">
        <f t="shared" si="15"/>
        <v>7502</v>
      </c>
      <c r="J39" s="174">
        <f t="shared" si="15"/>
        <v>7502</v>
      </c>
      <c r="K39" s="174">
        <f t="shared" si="15"/>
        <v>7021</v>
      </c>
      <c r="L39" s="107">
        <f t="shared" si="5"/>
        <v>93.58837643295121</v>
      </c>
      <c r="M39" s="107">
        <f t="shared" si="6"/>
        <v>93.58837643295121</v>
      </c>
      <c r="N39" s="174">
        <f t="shared" si="8"/>
        <v>562</v>
      </c>
      <c r="O39" s="84" t="str">
        <f t="shared" si="0"/>
        <v>     Izdevumi kapitālieguldījumiem</v>
      </c>
      <c r="P39" s="169">
        <f t="shared" si="3"/>
        <v>7021</v>
      </c>
      <c r="Q39" s="169">
        <v>6459</v>
      </c>
      <c r="R39" s="169">
        <f t="shared" si="4"/>
        <v>562</v>
      </c>
      <c r="S39" s="30">
        <v>562</v>
      </c>
      <c r="U39" s="43"/>
      <c r="V39" s="43"/>
      <c r="W39" s="43">
        <f>S39</f>
        <v>562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</row>
    <row r="40" spans="1:104" s="75" customFormat="1" ht="12.75" customHeight="1">
      <c r="A40" s="70" t="s">
        <v>271</v>
      </c>
      <c r="B40" s="173">
        <f>SUM(B41:B42)</f>
        <v>72412904</v>
      </c>
      <c r="C40" s="173">
        <f>SUM(C41:C42)</f>
        <v>72412904</v>
      </c>
      <c r="D40" s="178">
        <f>SUM(D41:D42)</f>
        <v>69119216.5</v>
      </c>
      <c r="E40" s="168">
        <f t="shared" si="1"/>
        <v>95.45151855807357</v>
      </c>
      <c r="F40" s="168">
        <f t="shared" si="2"/>
        <v>95.45151855807357</v>
      </c>
      <c r="G40" s="178">
        <f>SUM(G41:G42)</f>
        <v>9186974.04</v>
      </c>
      <c r="H40" s="70" t="s">
        <v>271</v>
      </c>
      <c r="I40" s="173">
        <f>SUM(I41:I42)</f>
        <v>72413</v>
      </c>
      <c r="J40" s="173">
        <f>SUM(J41:J42)</f>
        <v>72413</v>
      </c>
      <c r="K40" s="173">
        <f>SUM(K41:K42)</f>
        <v>69119</v>
      </c>
      <c r="L40" s="98">
        <f t="shared" si="5"/>
        <v>95.45109303578087</v>
      </c>
      <c r="M40" s="98">
        <f t="shared" si="6"/>
        <v>95.45109303578087</v>
      </c>
      <c r="N40" s="173">
        <f t="shared" si="8"/>
        <v>9187</v>
      </c>
      <c r="O40" s="84" t="str">
        <f t="shared" si="0"/>
        <v>Izglītības un zinātnes ministrija</v>
      </c>
      <c r="P40" s="169">
        <f t="shared" si="3"/>
        <v>69119</v>
      </c>
      <c r="Q40" s="169">
        <v>59932</v>
      </c>
      <c r="R40" s="169">
        <f t="shared" si="4"/>
        <v>9187</v>
      </c>
      <c r="S40" s="30">
        <v>9187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</row>
    <row r="41" spans="1:104" s="75" customFormat="1" ht="12.75" customHeight="1">
      <c r="A41" s="113" t="s">
        <v>258</v>
      </c>
      <c r="B41" s="174">
        <v>67139395</v>
      </c>
      <c r="C41" s="174">
        <v>67139395</v>
      </c>
      <c r="D41" s="177">
        <v>64034990.63</v>
      </c>
      <c r="E41" s="171">
        <f t="shared" si="1"/>
        <v>95.37618060156782</v>
      </c>
      <c r="F41" s="171">
        <f t="shared" si="2"/>
        <v>95.37618060156782</v>
      </c>
      <c r="G41" s="177">
        <v>8647259.79</v>
      </c>
      <c r="H41" s="113" t="s">
        <v>258</v>
      </c>
      <c r="I41" s="174">
        <f aca="true" t="shared" si="16" ref="I41:K42">ROUND(B41/1000,0)</f>
        <v>67139</v>
      </c>
      <c r="J41" s="174">
        <f>ROUND(C41/1000,0)</f>
        <v>67139</v>
      </c>
      <c r="K41" s="174">
        <f t="shared" si="16"/>
        <v>64035</v>
      </c>
      <c r="L41" s="107">
        <f t="shared" si="5"/>
        <v>95.37675568596494</v>
      </c>
      <c r="M41" s="107">
        <f t="shared" si="6"/>
        <v>95.37675568596494</v>
      </c>
      <c r="N41" s="174">
        <f t="shared" si="8"/>
        <v>8647</v>
      </c>
      <c r="O41" s="84" t="str">
        <f t="shared" si="0"/>
        <v>     Uzturēšanas izdevumi</v>
      </c>
      <c r="P41" s="169">
        <f t="shared" si="3"/>
        <v>64035</v>
      </c>
      <c r="Q41" s="169">
        <v>55388</v>
      </c>
      <c r="R41" s="169">
        <f t="shared" si="4"/>
        <v>8647</v>
      </c>
      <c r="S41" s="30">
        <v>8647</v>
      </c>
      <c r="U41" s="43"/>
      <c r="V41" s="43">
        <f>S41</f>
        <v>8647</v>
      </c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</row>
    <row r="42" spans="1:104" s="75" customFormat="1" ht="12.75" customHeight="1">
      <c r="A42" s="113" t="s">
        <v>259</v>
      </c>
      <c r="B42" s="174">
        <v>5273509</v>
      </c>
      <c r="C42" s="174">
        <v>5273509</v>
      </c>
      <c r="D42" s="177">
        <v>5084225.87</v>
      </c>
      <c r="E42" s="171">
        <f t="shared" si="1"/>
        <v>96.4106796821623</v>
      </c>
      <c r="F42" s="171">
        <f t="shared" si="2"/>
        <v>96.4106796821623</v>
      </c>
      <c r="G42" s="177">
        <v>539714.25</v>
      </c>
      <c r="H42" s="113" t="s">
        <v>259</v>
      </c>
      <c r="I42" s="174">
        <f t="shared" si="16"/>
        <v>5274</v>
      </c>
      <c r="J42" s="174">
        <f>ROUND(C42/1000,0)</f>
        <v>5274</v>
      </c>
      <c r="K42" s="174">
        <f>ROUND(D42/1000,0)</f>
        <v>5084</v>
      </c>
      <c r="L42" s="107">
        <f t="shared" si="5"/>
        <v>96.39742131209708</v>
      </c>
      <c r="M42" s="107">
        <f t="shared" si="6"/>
        <v>96.39742131209708</v>
      </c>
      <c r="N42" s="174">
        <f t="shared" si="8"/>
        <v>540</v>
      </c>
      <c r="O42" s="84" t="str">
        <f t="shared" si="0"/>
        <v>     Izdevumi kapitālieguldījumiem</v>
      </c>
      <c r="P42" s="169">
        <f t="shared" si="3"/>
        <v>5084</v>
      </c>
      <c r="Q42" s="169">
        <v>4544</v>
      </c>
      <c r="R42" s="169">
        <f t="shared" si="4"/>
        <v>540</v>
      </c>
      <c r="S42" s="30">
        <v>540</v>
      </c>
      <c r="U42" s="43"/>
      <c r="V42" s="43"/>
      <c r="W42" s="43">
        <f>S42</f>
        <v>540</v>
      </c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</row>
    <row r="43" spans="1:19" ht="12.75" customHeight="1">
      <c r="A43" s="176" t="s">
        <v>272</v>
      </c>
      <c r="B43" s="173">
        <f>SUM(B44:B45)</f>
        <v>59750500</v>
      </c>
      <c r="C43" s="173">
        <f>SUM(C44:C45)</f>
        <v>59750500</v>
      </c>
      <c r="D43" s="173">
        <f>SUM(D44:D45)</f>
        <v>57763432</v>
      </c>
      <c r="E43" s="168">
        <f t="shared" si="1"/>
        <v>96.67439100928026</v>
      </c>
      <c r="F43" s="168">
        <f t="shared" si="2"/>
        <v>96.67439100928026</v>
      </c>
      <c r="G43" s="178">
        <f>SUM(G44:G45)</f>
        <v>8096121.9399999995</v>
      </c>
      <c r="H43" s="176" t="s">
        <v>272</v>
      </c>
      <c r="I43" s="173">
        <f>SUM(I44:I45)</f>
        <v>59750</v>
      </c>
      <c r="J43" s="173">
        <f>SUM(J44:J45)</f>
        <v>59750</v>
      </c>
      <c r="K43" s="173">
        <f>SUM(K44:K45)</f>
        <v>57763</v>
      </c>
      <c r="L43" s="98">
        <f t="shared" si="5"/>
        <v>96.6744769874477</v>
      </c>
      <c r="M43" s="98">
        <f t="shared" si="6"/>
        <v>96.6744769874477</v>
      </c>
      <c r="N43" s="173">
        <f t="shared" si="8"/>
        <v>8096</v>
      </c>
      <c r="O43" s="84" t="str">
        <f t="shared" si="0"/>
        <v>Zemkopības ministrija</v>
      </c>
      <c r="P43" s="169">
        <f t="shared" si="3"/>
        <v>57763</v>
      </c>
      <c r="Q43" s="169">
        <v>49667</v>
      </c>
      <c r="R43" s="169">
        <f t="shared" si="4"/>
        <v>8096</v>
      </c>
      <c r="S43" s="30">
        <v>8096</v>
      </c>
    </row>
    <row r="44" spans="1:22" ht="12.75" customHeight="1">
      <c r="A44" s="113" t="s">
        <v>258</v>
      </c>
      <c r="B44" s="174">
        <v>55777147</v>
      </c>
      <c r="C44" s="174">
        <v>55777147</v>
      </c>
      <c r="D44" s="174">
        <v>54554349</v>
      </c>
      <c r="E44" s="171">
        <f t="shared" si="1"/>
        <v>97.80770787720641</v>
      </c>
      <c r="F44" s="171">
        <f t="shared" si="2"/>
        <v>97.80770787720641</v>
      </c>
      <c r="G44" s="177">
        <v>7789138.64</v>
      </c>
      <c r="H44" s="113" t="s">
        <v>258</v>
      </c>
      <c r="I44" s="174">
        <f aca="true" t="shared" si="17" ref="I44:K45">ROUND(B44/1000,0)</f>
        <v>55777</v>
      </c>
      <c r="J44" s="174">
        <f t="shared" si="17"/>
        <v>55777</v>
      </c>
      <c r="K44" s="174">
        <f t="shared" si="17"/>
        <v>54554</v>
      </c>
      <c r="L44" s="107">
        <f t="shared" si="5"/>
        <v>97.80733994298726</v>
      </c>
      <c r="M44" s="107">
        <f t="shared" si="6"/>
        <v>97.80733994298726</v>
      </c>
      <c r="N44" s="174">
        <f t="shared" si="8"/>
        <v>7789</v>
      </c>
      <c r="O44" s="84" t="str">
        <f t="shared" si="0"/>
        <v>     Uzturēšanas izdevumi</v>
      </c>
      <c r="P44" s="169">
        <f t="shared" si="3"/>
        <v>54554</v>
      </c>
      <c r="Q44" s="169">
        <v>46765</v>
      </c>
      <c r="R44" s="169">
        <f t="shared" si="4"/>
        <v>7789</v>
      </c>
      <c r="S44" s="30">
        <v>7789</v>
      </c>
      <c r="V44" s="43">
        <f>S44</f>
        <v>7789</v>
      </c>
    </row>
    <row r="45" spans="1:23" ht="12.75" customHeight="1">
      <c r="A45" s="113" t="s">
        <v>259</v>
      </c>
      <c r="B45" s="174">
        <v>3973353</v>
      </c>
      <c r="C45" s="174">
        <v>3973353</v>
      </c>
      <c r="D45" s="174">
        <v>3209083</v>
      </c>
      <c r="E45" s="171">
        <f t="shared" si="1"/>
        <v>80.7651119847645</v>
      </c>
      <c r="F45" s="171">
        <f t="shared" si="2"/>
        <v>80.7651119847645</v>
      </c>
      <c r="G45" s="177">
        <v>306983.3</v>
      </c>
      <c r="H45" s="113" t="s">
        <v>259</v>
      </c>
      <c r="I45" s="174">
        <f t="shared" si="17"/>
        <v>3973</v>
      </c>
      <c r="J45" s="174">
        <f t="shared" si="17"/>
        <v>3973</v>
      </c>
      <c r="K45" s="174">
        <f t="shared" si="17"/>
        <v>3209</v>
      </c>
      <c r="L45" s="107">
        <f t="shared" si="5"/>
        <v>80.77019884218475</v>
      </c>
      <c r="M45" s="107">
        <f t="shared" si="6"/>
        <v>80.77019884218475</v>
      </c>
      <c r="N45" s="174">
        <f t="shared" si="8"/>
        <v>307</v>
      </c>
      <c r="O45" s="84" t="str">
        <f t="shared" si="0"/>
        <v>     Izdevumi kapitālieguldījumiem</v>
      </c>
      <c r="P45" s="169">
        <f t="shared" si="3"/>
        <v>3209</v>
      </c>
      <c r="Q45" s="169">
        <v>2902</v>
      </c>
      <c r="R45" s="169">
        <f t="shared" si="4"/>
        <v>307</v>
      </c>
      <c r="S45" s="30">
        <v>307</v>
      </c>
      <c r="W45" s="43">
        <f>S45</f>
        <v>307</v>
      </c>
    </row>
    <row r="46" spans="1:19" ht="12.75" customHeight="1">
      <c r="A46" s="176" t="s">
        <v>273</v>
      </c>
      <c r="B46" s="173">
        <f>SUM(B47:B48)</f>
        <v>17751785</v>
      </c>
      <c r="C46" s="173">
        <f>SUM(C47:C48)</f>
        <v>17751785</v>
      </c>
      <c r="D46" s="173">
        <f>SUM(D47:D48)</f>
        <v>17299375</v>
      </c>
      <c r="E46" s="168">
        <f t="shared" si="1"/>
        <v>97.4514675566429</v>
      </c>
      <c r="F46" s="168">
        <f t="shared" si="2"/>
        <v>97.4514675566429</v>
      </c>
      <c r="G46" s="178">
        <f>SUM(G47:G48)</f>
        <v>4347312.29</v>
      </c>
      <c r="H46" s="176" t="s">
        <v>273</v>
      </c>
      <c r="I46" s="173">
        <f>SUM(I47:I48)</f>
        <v>17752</v>
      </c>
      <c r="J46" s="173">
        <f>SUM(J47:J48)</f>
        <v>17752</v>
      </c>
      <c r="K46" s="173">
        <f>SUM(K47:K48)</f>
        <v>17299</v>
      </c>
      <c r="L46" s="98">
        <f t="shared" si="5"/>
        <v>97.44817485353762</v>
      </c>
      <c r="M46" s="98">
        <f t="shared" si="6"/>
        <v>97.44817485353762</v>
      </c>
      <c r="N46" s="173">
        <f t="shared" si="8"/>
        <v>4347</v>
      </c>
      <c r="O46" s="84" t="str">
        <f t="shared" si="0"/>
        <v>Satiksmes ministrija</v>
      </c>
      <c r="P46" s="169">
        <f t="shared" si="3"/>
        <v>17299</v>
      </c>
      <c r="Q46" s="169">
        <v>12952</v>
      </c>
      <c r="R46" s="169">
        <f t="shared" si="4"/>
        <v>4347</v>
      </c>
      <c r="S46" s="30">
        <v>4347</v>
      </c>
    </row>
    <row r="47" spans="1:22" ht="12.75" customHeight="1">
      <c r="A47" s="113" t="s">
        <v>258</v>
      </c>
      <c r="B47" s="174">
        <v>8486412</v>
      </c>
      <c r="C47" s="174">
        <v>8486412</v>
      </c>
      <c r="D47" s="174">
        <v>8197811</v>
      </c>
      <c r="E47" s="171">
        <f t="shared" si="1"/>
        <v>96.59925773106467</v>
      </c>
      <c r="F47" s="171">
        <f t="shared" si="2"/>
        <v>96.59925773106467</v>
      </c>
      <c r="G47" s="177">
        <v>1007332.43</v>
      </c>
      <c r="H47" s="113" t="s">
        <v>258</v>
      </c>
      <c r="I47" s="174">
        <f>ROUND(B47/1000,0)+1</f>
        <v>8487</v>
      </c>
      <c r="J47" s="174">
        <f>ROUND(C47/1000,0)+1</f>
        <v>8487</v>
      </c>
      <c r="K47" s="174">
        <f>ROUND(D47/1000,0)</f>
        <v>8198</v>
      </c>
      <c r="L47" s="107">
        <f t="shared" si="5"/>
        <v>96.59479203487687</v>
      </c>
      <c r="M47" s="107">
        <f t="shared" si="6"/>
        <v>96.59479203487687</v>
      </c>
      <c r="N47" s="174">
        <f t="shared" si="8"/>
        <v>1007</v>
      </c>
      <c r="O47" s="84" t="str">
        <f t="shared" si="0"/>
        <v>     Uzturēšanas izdevumi</v>
      </c>
      <c r="P47" s="169">
        <f t="shared" si="3"/>
        <v>8198</v>
      </c>
      <c r="Q47" s="169">
        <v>7190</v>
      </c>
      <c r="R47" s="169">
        <f t="shared" si="4"/>
        <v>1008</v>
      </c>
      <c r="S47" s="30">
        <v>1008</v>
      </c>
      <c r="V47" s="43">
        <f>S47</f>
        <v>1008</v>
      </c>
    </row>
    <row r="48" spans="1:23" ht="12.75" customHeight="1">
      <c r="A48" s="113" t="s">
        <v>259</v>
      </c>
      <c r="B48" s="174">
        <v>9265373</v>
      </c>
      <c r="C48" s="174">
        <v>9265373</v>
      </c>
      <c r="D48" s="174">
        <v>9101564</v>
      </c>
      <c r="E48" s="171">
        <f t="shared" si="1"/>
        <v>98.23203016219638</v>
      </c>
      <c r="F48" s="171">
        <f t="shared" si="2"/>
        <v>98.23203016219638</v>
      </c>
      <c r="G48" s="177">
        <v>3339979.86</v>
      </c>
      <c r="H48" s="113" t="s">
        <v>259</v>
      </c>
      <c r="I48" s="174">
        <f>ROUND(B48/1000,0)</f>
        <v>9265</v>
      </c>
      <c r="J48" s="174">
        <f>ROUND(C48/1000,0)</f>
        <v>9265</v>
      </c>
      <c r="K48" s="174">
        <f>ROUND(D48/1000,0)-1</f>
        <v>9101</v>
      </c>
      <c r="L48" s="107">
        <f t="shared" si="5"/>
        <v>98.22989746357258</v>
      </c>
      <c r="M48" s="107">
        <f t="shared" si="6"/>
        <v>98.22989746357258</v>
      </c>
      <c r="N48" s="174">
        <f t="shared" si="8"/>
        <v>3340</v>
      </c>
      <c r="O48" s="84" t="str">
        <f t="shared" si="0"/>
        <v>     Izdevumi kapitālieguldījumiem</v>
      </c>
      <c r="P48" s="169">
        <f t="shared" si="3"/>
        <v>9101</v>
      </c>
      <c r="Q48" s="169">
        <v>5762</v>
      </c>
      <c r="R48" s="169">
        <f t="shared" si="4"/>
        <v>3339</v>
      </c>
      <c r="S48" s="30">
        <v>3339</v>
      </c>
      <c r="W48" s="43">
        <f>S48</f>
        <v>3339</v>
      </c>
    </row>
    <row r="49" spans="1:19" ht="12.75" customHeight="1">
      <c r="A49" s="176" t="s">
        <v>274</v>
      </c>
      <c r="B49" s="173">
        <f>SUM(B50:B51)</f>
        <v>159403470</v>
      </c>
      <c r="C49" s="173">
        <f>SUM(C50:C51)</f>
        <v>159403470</v>
      </c>
      <c r="D49" s="178">
        <f>SUM(D50:D51)</f>
        <v>158744475.38</v>
      </c>
      <c r="E49" s="168">
        <f t="shared" si="1"/>
        <v>99.58658702975536</v>
      </c>
      <c r="F49" s="168">
        <f t="shared" si="2"/>
        <v>99.58658702975536</v>
      </c>
      <c r="G49" s="178">
        <f>SUM(G50:G51)</f>
        <v>14747352.37</v>
      </c>
      <c r="H49" s="176" t="s">
        <v>274</v>
      </c>
      <c r="I49" s="173">
        <f>SUM(I50:I51)</f>
        <v>159403</v>
      </c>
      <c r="J49" s="178">
        <f>SUM(J50:J51)</f>
        <v>159403</v>
      </c>
      <c r="K49" s="173">
        <f>SUM(K50:K51)</f>
        <v>158744</v>
      </c>
      <c r="L49" s="98">
        <f t="shared" si="5"/>
        <v>99.58658243571325</v>
      </c>
      <c r="M49" s="98">
        <f t="shared" si="6"/>
        <v>99.58658243571325</v>
      </c>
      <c r="N49" s="173">
        <f>ROUND(G49/1000,0)+1</f>
        <v>14748</v>
      </c>
      <c r="O49" s="84" t="str">
        <f t="shared" si="0"/>
        <v>Labklājības ministrija</v>
      </c>
      <c r="P49" s="169">
        <f t="shared" si="3"/>
        <v>158744</v>
      </c>
      <c r="Q49" s="169">
        <v>143997</v>
      </c>
      <c r="R49" s="169">
        <f t="shared" si="4"/>
        <v>14747</v>
      </c>
      <c r="S49" s="30">
        <v>14747</v>
      </c>
    </row>
    <row r="50" spans="1:22" ht="12.75" customHeight="1">
      <c r="A50" s="113" t="s">
        <v>258</v>
      </c>
      <c r="B50" s="174">
        <v>155381148</v>
      </c>
      <c r="C50" s="174">
        <v>155381148</v>
      </c>
      <c r="D50" s="177">
        <v>154947783.38</v>
      </c>
      <c r="E50" s="171">
        <f t="shared" si="1"/>
        <v>99.72109575352088</v>
      </c>
      <c r="F50" s="171">
        <f t="shared" si="2"/>
        <v>99.72109575352088</v>
      </c>
      <c r="G50" s="177">
        <v>14457544.67</v>
      </c>
      <c r="H50" s="113" t="s">
        <v>258</v>
      </c>
      <c r="I50" s="174">
        <f aca="true" t="shared" si="18" ref="I50:K51">ROUND(B50/1000,0)</f>
        <v>155381</v>
      </c>
      <c r="J50" s="174">
        <f t="shared" si="18"/>
        <v>155381</v>
      </c>
      <c r="K50" s="174">
        <f>ROUND(D50/1000,0)-1</f>
        <v>154947</v>
      </c>
      <c r="L50" s="107">
        <f t="shared" si="5"/>
        <v>99.7206865704301</v>
      </c>
      <c r="M50" s="107">
        <f t="shared" si="6"/>
        <v>99.7206865704301</v>
      </c>
      <c r="N50" s="174">
        <f t="shared" si="8"/>
        <v>14458</v>
      </c>
      <c r="O50" s="84" t="str">
        <f t="shared" si="0"/>
        <v>     Uzturēšanas izdevumi</v>
      </c>
      <c r="P50" s="169">
        <f t="shared" si="3"/>
        <v>154947</v>
      </c>
      <c r="Q50" s="169">
        <v>140490</v>
      </c>
      <c r="R50" s="169">
        <f t="shared" si="4"/>
        <v>14457</v>
      </c>
      <c r="S50" s="30">
        <v>14457</v>
      </c>
      <c r="V50" s="43">
        <f>S50</f>
        <v>14457</v>
      </c>
    </row>
    <row r="51" spans="1:23" ht="12.75" customHeight="1">
      <c r="A51" s="113" t="s">
        <v>259</v>
      </c>
      <c r="B51" s="174">
        <v>4022322</v>
      </c>
      <c r="C51" s="174">
        <v>4022322</v>
      </c>
      <c r="D51" s="177">
        <v>3796692</v>
      </c>
      <c r="E51" s="171">
        <f t="shared" si="1"/>
        <v>94.39055351610338</v>
      </c>
      <c r="F51" s="171">
        <f t="shared" si="2"/>
        <v>94.39055351610338</v>
      </c>
      <c r="G51" s="177">
        <v>289807.7</v>
      </c>
      <c r="H51" s="113" t="s">
        <v>259</v>
      </c>
      <c r="I51" s="174">
        <f t="shared" si="18"/>
        <v>4022</v>
      </c>
      <c r="J51" s="174">
        <f t="shared" si="18"/>
        <v>4022</v>
      </c>
      <c r="K51" s="174">
        <f t="shared" si="18"/>
        <v>3797</v>
      </c>
      <c r="L51" s="107">
        <f t="shared" si="5"/>
        <v>94.4057682744903</v>
      </c>
      <c r="M51" s="107">
        <f t="shared" si="6"/>
        <v>94.4057682744903</v>
      </c>
      <c r="N51" s="174">
        <f t="shared" si="8"/>
        <v>290</v>
      </c>
      <c r="O51" s="84" t="str">
        <f t="shared" si="0"/>
        <v>     Izdevumi kapitālieguldījumiem</v>
      </c>
      <c r="P51" s="169">
        <f t="shared" si="3"/>
        <v>3797</v>
      </c>
      <c r="Q51" s="169">
        <v>3507</v>
      </c>
      <c r="R51" s="169">
        <f t="shared" si="4"/>
        <v>290</v>
      </c>
      <c r="S51" s="30">
        <v>290</v>
      </c>
      <c r="W51" s="43">
        <f>S51</f>
        <v>290</v>
      </c>
    </row>
    <row r="52" spans="1:19" ht="12.75" customHeight="1">
      <c r="A52" s="176" t="s">
        <v>275</v>
      </c>
      <c r="B52" s="173">
        <f>SUM(B53:B54)</f>
        <v>30121200</v>
      </c>
      <c r="C52" s="173">
        <f>SUM(C53:C54)</f>
        <v>30121200</v>
      </c>
      <c r="D52" s="178">
        <f>SUM(D53:D54)</f>
        <v>28236761</v>
      </c>
      <c r="E52" s="168">
        <f t="shared" si="1"/>
        <v>93.74381166752984</v>
      </c>
      <c r="F52" s="168">
        <f t="shared" si="2"/>
        <v>93.74381166752984</v>
      </c>
      <c r="G52" s="178">
        <f>SUM(G53:G54)</f>
        <v>3398461.52</v>
      </c>
      <c r="H52" s="176" t="s">
        <v>275</v>
      </c>
      <c r="I52" s="173">
        <f>SUM(I53:I54)</f>
        <v>30122</v>
      </c>
      <c r="J52" s="173">
        <f>SUM(J53:J54)</f>
        <v>30122</v>
      </c>
      <c r="K52" s="173">
        <f>SUM(K53:K54)</f>
        <v>28237</v>
      </c>
      <c r="L52" s="98">
        <f t="shared" si="5"/>
        <v>93.74211539738397</v>
      </c>
      <c r="M52" s="98">
        <f t="shared" si="6"/>
        <v>93.74211539738397</v>
      </c>
      <c r="N52" s="173">
        <f>ROUND(G52/1000,0)</f>
        <v>3398</v>
      </c>
      <c r="O52" s="84" t="str">
        <f t="shared" si="0"/>
        <v>Tieslietu ministrija</v>
      </c>
      <c r="P52" s="169">
        <f t="shared" si="3"/>
        <v>28237</v>
      </c>
      <c r="Q52" s="169">
        <v>24838</v>
      </c>
      <c r="R52" s="169">
        <f t="shared" si="4"/>
        <v>3399</v>
      </c>
      <c r="S52" s="30">
        <v>3399</v>
      </c>
    </row>
    <row r="53" spans="1:22" ht="12.75" customHeight="1">
      <c r="A53" s="113" t="s">
        <v>258</v>
      </c>
      <c r="B53" s="174">
        <v>26766647</v>
      </c>
      <c r="C53" s="174">
        <v>26766647</v>
      </c>
      <c r="D53" s="174">
        <v>25323785</v>
      </c>
      <c r="E53" s="171">
        <f t="shared" si="1"/>
        <v>94.6094779820573</v>
      </c>
      <c r="F53" s="171">
        <f t="shared" si="2"/>
        <v>94.6094779820573</v>
      </c>
      <c r="G53" s="177">
        <v>3085971.63</v>
      </c>
      <c r="H53" s="113" t="s">
        <v>258</v>
      </c>
      <c r="I53" s="174">
        <f aca="true" t="shared" si="19" ref="I53:K54">ROUND(B53/1000,0)</f>
        <v>26767</v>
      </c>
      <c r="J53" s="174">
        <f t="shared" si="19"/>
        <v>26767</v>
      </c>
      <c r="K53" s="174">
        <f>ROUND(D53/1000,0)</f>
        <v>25324</v>
      </c>
      <c r="L53" s="107">
        <f t="shared" si="5"/>
        <v>94.60903351141332</v>
      </c>
      <c r="M53" s="107">
        <f t="shared" si="6"/>
        <v>94.60903351141332</v>
      </c>
      <c r="N53" s="174">
        <f t="shared" si="8"/>
        <v>3086</v>
      </c>
      <c r="O53" s="84" t="str">
        <f t="shared" si="0"/>
        <v>     Uzturēšanas izdevumi</v>
      </c>
      <c r="P53" s="169">
        <f t="shared" si="3"/>
        <v>25324</v>
      </c>
      <c r="Q53" s="169">
        <v>22238</v>
      </c>
      <c r="R53" s="169">
        <f t="shared" si="4"/>
        <v>3086</v>
      </c>
      <c r="S53" s="30">
        <v>3086</v>
      </c>
      <c r="V53" s="43">
        <f>S53</f>
        <v>3086</v>
      </c>
    </row>
    <row r="54" spans="1:23" ht="12.75" customHeight="1">
      <c r="A54" s="113" t="s">
        <v>259</v>
      </c>
      <c r="B54" s="174">
        <v>3354553</v>
      </c>
      <c r="C54" s="174">
        <v>3354553</v>
      </c>
      <c r="D54" s="174">
        <v>2912976</v>
      </c>
      <c r="E54" s="171">
        <f t="shared" si="1"/>
        <v>86.83648760356448</v>
      </c>
      <c r="F54" s="171">
        <f t="shared" si="2"/>
        <v>86.83648760356448</v>
      </c>
      <c r="G54" s="177">
        <v>312489.89</v>
      </c>
      <c r="H54" s="113" t="s">
        <v>259</v>
      </c>
      <c r="I54" s="174">
        <f t="shared" si="19"/>
        <v>3355</v>
      </c>
      <c r="J54" s="174">
        <f t="shared" si="19"/>
        <v>3355</v>
      </c>
      <c r="K54" s="174">
        <f t="shared" si="19"/>
        <v>2913</v>
      </c>
      <c r="L54" s="107">
        <f t="shared" si="5"/>
        <v>86.82563338301044</v>
      </c>
      <c r="M54" s="107">
        <f t="shared" si="6"/>
        <v>86.82563338301044</v>
      </c>
      <c r="N54" s="174">
        <f>ROUND(G54/1000,0)</f>
        <v>312</v>
      </c>
      <c r="O54" s="84" t="str">
        <f t="shared" si="0"/>
        <v>     Izdevumi kapitālieguldījumiem</v>
      </c>
      <c r="P54" s="169">
        <f t="shared" si="3"/>
        <v>2913</v>
      </c>
      <c r="Q54" s="169">
        <v>2600</v>
      </c>
      <c r="R54" s="169">
        <f t="shared" si="4"/>
        <v>313</v>
      </c>
      <c r="S54" s="30">
        <v>313</v>
      </c>
      <c r="W54" s="43">
        <f>S54</f>
        <v>313</v>
      </c>
    </row>
    <row r="55" spans="1:19" ht="12.75" customHeight="1">
      <c r="A55" s="70" t="s">
        <v>276</v>
      </c>
      <c r="B55" s="173">
        <f>SUM(B56:B57)</f>
        <v>15143236</v>
      </c>
      <c r="C55" s="173">
        <f>SUM(C56:C57)</f>
        <v>15143236</v>
      </c>
      <c r="D55" s="173">
        <f>SUM(D56:D57)</f>
        <v>12610598</v>
      </c>
      <c r="E55" s="168">
        <f t="shared" si="1"/>
        <v>83.27545050476661</v>
      </c>
      <c r="F55" s="168">
        <f t="shared" si="2"/>
        <v>83.27545050476661</v>
      </c>
      <c r="G55" s="178">
        <f>SUM(G56:G57)</f>
        <v>2888016.75</v>
      </c>
      <c r="H55" s="70" t="s">
        <v>276</v>
      </c>
      <c r="I55" s="173">
        <f>SUM(I56:I57)</f>
        <v>15143</v>
      </c>
      <c r="J55" s="178">
        <f>SUM(J56:J57)</f>
        <v>15143</v>
      </c>
      <c r="K55" s="173">
        <f>SUM(K56:K57)</f>
        <v>12611</v>
      </c>
      <c r="L55" s="98">
        <f t="shared" si="5"/>
        <v>83.27940302449977</v>
      </c>
      <c r="M55" s="98">
        <f t="shared" si="6"/>
        <v>83.27940302449977</v>
      </c>
      <c r="N55" s="173">
        <f t="shared" si="8"/>
        <v>2888</v>
      </c>
      <c r="O55" s="84" t="str">
        <f t="shared" si="0"/>
        <v>Vides aizsardzības un reģionālās attīstības ministrija</v>
      </c>
      <c r="P55" s="169">
        <f t="shared" si="3"/>
        <v>12611</v>
      </c>
      <c r="Q55" s="169">
        <v>9723</v>
      </c>
      <c r="R55" s="169">
        <f t="shared" si="4"/>
        <v>2888</v>
      </c>
      <c r="S55" s="30">
        <v>2888</v>
      </c>
    </row>
    <row r="56" spans="1:22" ht="12.75" customHeight="1">
      <c r="A56" s="113" t="s">
        <v>258</v>
      </c>
      <c r="B56" s="174">
        <v>8636426</v>
      </c>
      <c r="C56" s="174">
        <v>8636426</v>
      </c>
      <c r="D56" s="174">
        <v>8603767</v>
      </c>
      <c r="E56" s="171">
        <f t="shared" si="1"/>
        <v>99.62184588856547</v>
      </c>
      <c r="F56" s="171">
        <f t="shared" si="2"/>
        <v>99.62184588856547</v>
      </c>
      <c r="G56" s="177">
        <v>1325401.38</v>
      </c>
      <c r="H56" s="113" t="s">
        <v>258</v>
      </c>
      <c r="I56" s="174">
        <f aca="true" t="shared" si="20" ref="I56:J59">ROUND(B56/1000,0)</f>
        <v>8636</v>
      </c>
      <c r="J56" s="174">
        <f>ROUND(C56/1000,0)</f>
        <v>8636</v>
      </c>
      <c r="K56" s="174">
        <f>ROUND(D56/1000,0)</f>
        <v>8604</v>
      </c>
      <c r="L56" s="107">
        <f t="shared" si="5"/>
        <v>99.62945808244558</v>
      </c>
      <c r="M56" s="107">
        <f t="shared" si="6"/>
        <v>99.62945808244558</v>
      </c>
      <c r="N56" s="174">
        <f t="shared" si="8"/>
        <v>1325</v>
      </c>
      <c r="O56" s="84" t="str">
        <f t="shared" si="0"/>
        <v>     Uzturēšanas izdevumi</v>
      </c>
      <c r="P56" s="169">
        <f t="shared" si="3"/>
        <v>8604</v>
      </c>
      <c r="Q56" s="169">
        <v>7279</v>
      </c>
      <c r="R56" s="169">
        <f t="shared" si="4"/>
        <v>1325</v>
      </c>
      <c r="S56" s="30">
        <v>1325</v>
      </c>
      <c r="V56" s="43">
        <f>S56</f>
        <v>1325</v>
      </c>
    </row>
    <row r="57" spans="1:23" ht="12.75" customHeight="1">
      <c r="A57" s="179" t="s">
        <v>259</v>
      </c>
      <c r="B57" s="174">
        <v>6506810</v>
      </c>
      <c r="C57" s="174">
        <v>6506810</v>
      </c>
      <c r="D57" s="174">
        <v>4006831</v>
      </c>
      <c r="E57" s="171">
        <f t="shared" si="1"/>
        <v>61.57903796176621</v>
      </c>
      <c r="F57" s="171">
        <f t="shared" si="2"/>
        <v>61.57903796176621</v>
      </c>
      <c r="G57" s="177">
        <v>1562615.37</v>
      </c>
      <c r="H57" s="179" t="s">
        <v>259</v>
      </c>
      <c r="I57" s="174">
        <f t="shared" si="20"/>
        <v>6507</v>
      </c>
      <c r="J57" s="174">
        <f>ROUND(C57/1000,0)</f>
        <v>6507</v>
      </c>
      <c r="K57" s="174">
        <f>ROUND(D57/1000,0)</f>
        <v>4007</v>
      </c>
      <c r="L57" s="107">
        <f t="shared" si="5"/>
        <v>61.579837098509294</v>
      </c>
      <c r="M57" s="107">
        <f t="shared" si="6"/>
        <v>61.579837098509294</v>
      </c>
      <c r="N57" s="174">
        <f t="shared" si="8"/>
        <v>1563</v>
      </c>
      <c r="O57" s="84" t="str">
        <f t="shared" si="0"/>
        <v>     Izdevumi kapitālieguldījumiem</v>
      </c>
      <c r="P57" s="169">
        <f t="shared" si="3"/>
        <v>4007</v>
      </c>
      <c r="Q57" s="169">
        <v>2444</v>
      </c>
      <c r="R57" s="169">
        <f t="shared" si="4"/>
        <v>1563</v>
      </c>
      <c r="S57" s="30">
        <v>1563</v>
      </c>
      <c r="W57" s="43">
        <f>S57</f>
        <v>1563</v>
      </c>
    </row>
    <row r="58" spans="1:19" ht="12.75" customHeight="1">
      <c r="A58" s="176" t="s">
        <v>277</v>
      </c>
      <c r="B58" s="173">
        <f>B59+B60</f>
        <v>17497514</v>
      </c>
      <c r="C58" s="173">
        <f>C59+C60</f>
        <v>17497514</v>
      </c>
      <c r="D58" s="178">
        <f>D59+D60</f>
        <v>17418629</v>
      </c>
      <c r="E58" s="168">
        <f t="shared" si="1"/>
        <v>99.54916452702939</v>
      </c>
      <c r="F58" s="168">
        <f t="shared" si="2"/>
        <v>99.54916452702939</v>
      </c>
      <c r="G58" s="178">
        <f>SUM(G59:G60)</f>
        <v>1714982.21</v>
      </c>
      <c r="H58" s="176" t="s">
        <v>277</v>
      </c>
      <c r="I58" s="173">
        <f t="shared" si="20"/>
        <v>17498</v>
      </c>
      <c r="J58" s="173">
        <f>SUM(J59:J60)</f>
        <v>17498</v>
      </c>
      <c r="K58" s="173">
        <f>SUM(K59:K60)</f>
        <v>17419</v>
      </c>
      <c r="L58" s="98">
        <f t="shared" si="5"/>
        <v>99.54851983083782</v>
      </c>
      <c r="M58" s="98">
        <f t="shared" si="6"/>
        <v>99.54851983083782</v>
      </c>
      <c r="N58" s="173">
        <f t="shared" si="8"/>
        <v>1715</v>
      </c>
      <c r="O58" s="84" t="str">
        <f t="shared" si="0"/>
        <v>Kultūras ministrija</v>
      </c>
      <c r="P58" s="169">
        <f t="shared" si="3"/>
        <v>17419</v>
      </c>
      <c r="Q58" s="169">
        <v>15704</v>
      </c>
      <c r="R58" s="169">
        <f t="shared" si="4"/>
        <v>1715</v>
      </c>
      <c r="S58" s="30">
        <v>1715</v>
      </c>
    </row>
    <row r="59" spans="1:22" ht="12.75" customHeight="1">
      <c r="A59" s="113" t="s">
        <v>258</v>
      </c>
      <c r="B59" s="174">
        <v>15838808</v>
      </c>
      <c r="C59" s="174">
        <v>15838808</v>
      </c>
      <c r="D59" s="174">
        <v>15757566</v>
      </c>
      <c r="E59" s="171">
        <f t="shared" si="1"/>
        <v>99.4870699865798</v>
      </c>
      <c r="F59" s="171">
        <f t="shared" si="2"/>
        <v>99.4870699865798</v>
      </c>
      <c r="G59" s="177">
        <v>1569257.07</v>
      </c>
      <c r="H59" s="113" t="s">
        <v>258</v>
      </c>
      <c r="I59" s="174">
        <f t="shared" si="20"/>
        <v>15839</v>
      </c>
      <c r="J59" s="174">
        <f t="shared" si="20"/>
        <v>15839</v>
      </c>
      <c r="K59" s="174">
        <f>ROUND(D59/1000,0)</f>
        <v>15758</v>
      </c>
      <c r="L59" s="107">
        <f t="shared" si="5"/>
        <v>99.4886040785403</v>
      </c>
      <c r="M59" s="107">
        <f t="shared" si="6"/>
        <v>99.4886040785403</v>
      </c>
      <c r="N59" s="174">
        <f t="shared" si="8"/>
        <v>1569</v>
      </c>
      <c r="O59" s="84" t="str">
        <f t="shared" si="0"/>
        <v>     Uzturēšanas izdevumi</v>
      </c>
      <c r="P59" s="169">
        <f t="shared" si="3"/>
        <v>15758</v>
      </c>
      <c r="Q59" s="169">
        <v>14188</v>
      </c>
      <c r="R59" s="169">
        <f t="shared" si="4"/>
        <v>1570</v>
      </c>
      <c r="S59" s="30">
        <v>1570</v>
      </c>
      <c r="V59" s="43">
        <f>S59</f>
        <v>1570</v>
      </c>
    </row>
    <row r="60" spans="1:23" ht="12.75" customHeight="1">
      <c r="A60" s="113" t="s">
        <v>259</v>
      </c>
      <c r="B60" s="174">
        <v>1658706</v>
      </c>
      <c r="C60" s="174">
        <v>1658706</v>
      </c>
      <c r="D60" s="174">
        <v>1661063</v>
      </c>
      <c r="E60" s="171">
        <f t="shared" si="1"/>
        <v>100.14209872032778</v>
      </c>
      <c r="F60" s="171">
        <f t="shared" si="2"/>
        <v>100.14209872032778</v>
      </c>
      <c r="G60" s="177">
        <v>145725.14</v>
      </c>
      <c r="H60" s="113" t="s">
        <v>259</v>
      </c>
      <c r="I60" s="174">
        <f>ROUND(B60/1000,0)</f>
        <v>1659</v>
      </c>
      <c r="J60" s="174">
        <f>ROUND(C60/1000,0)</f>
        <v>1659</v>
      </c>
      <c r="K60" s="174">
        <f>ROUND(D60/1000,0)</f>
        <v>1661</v>
      </c>
      <c r="L60" s="107">
        <f t="shared" si="5"/>
        <v>100.12055455093429</v>
      </c>
      <c r="M60" s="107">
        <f t="shared" si="6"/>
        <v>100.12055455093429</v>
      </c>
      <c r="N60" s="174">
        <f t="shared" si="8"/>
        <v>146</v>
      </c>
      <c r="O60" s="84" t="str">
        <f t="shared" si="0"/>
        <v>     Izdevumi kapitālieguldījumiem</v>
      </c>
      <c r="P60" s="169">
        <f t="shared" si="3"/>
        <v>1661</v>
      </c>
      <c r="Q60" s="169">
        <v>1516</v>
      </c>
      <c r="R60" s="169">
        <f t="shared" si="4"/>
        <v>145</v>
      </c>
      <c r="S60" s="30">
        <v>145</v>
      </c>
      <c r="W60" s="43">
        <f>S60</f>
        <v>145</v>
      </c>
    </row>
    <row r="61" spans="1:19" ht="12.75" customHeight="1">
      <c r="A61" s="176" t="s">
        <v>278</v>
      </c>
      <c r="B61" s="173">
        <f>SUM(B62:B63)</f>
        <v>14846381</v>
      </c>
      <c r="C61" s="173">
        <f>SUM(C62:C63)</f>
        <v>14846381</v>
      </c>
      <c r="D61" s="173">
        <f>SUM(D62:D63)</f>
        <v>14382979</v>
      </c>
      <c r="E61" s="168">
        <f t="shared" si="1"/>
        <v>96.87868713594241</v>
      </c>
      <c r="F61" s="168">
        <f t="shared" si="2"/>
        <v>96.87868713594241</v>
      </c>
      <c r="G61" s="178">
        <f>SUM(G62:G63)</f>
        <v>1696201.2</v>
      </c>
      <c r="H61" s="176" t="s">
        <v>278</v>
      </c>
      <c r="I61" s="173">
        <f>SUM(I62:I63)</f>
        <v>14846</v>
      </c>
      <c r="J61" s="173">
        <f>SUM(J62:J63)</f>
        <v>14846</v>
      </c>
      <c r="K61" s="173">
        <f>SUM(K62:K63)</f>
        <v>14383</v>
      </c>
      <c r="L61" s="98">
        <f t="shared" si="5"/>
        <v>96.88131483227805</v>
      </c>
      <c r="M61" s="98">
        <f t="shared" si="6"/>
        <v>96.88131483227805</v>
      </c>
      <c r="N61" s="173">
        <f t="shared" si="8"/>
        <v>1696</v>
      </c>
      <c r="O61" s="84" t="str">
        <f t="shared" si="0"/>
        <v>Valsts zemes dienests</v>
      </c>
      <c r="P61" s="169">
        <f t="shared" si="3"/>
        <v>14383</v>
      </c>
      <c r="Q61" s="169">
        <v>12687</v>
      </c>
      <c r="R61" s="169">
        <f t="shared" si="4"/>
        <v>1696</v>
      </c>
      <c r="S61" s="30">
        <v>1696</v>
      </c>
    </row>
    <row r="62" spans="1:22" ht="12.75" customHeight="1">
      <c r="A62" s="113" t="s">
        <v>258</v>
      </c>
      <c r="B62" s="174">
        <v>13684881</v>
      </c>
      <c r="C62" s="174">
        <v>13684881</v>
      </c>
      <c r="D62" s="174">
        <v>13335158</v>
      </c>
      <c r="E62" s="171">
        <f t="shared" si="1"/>
        <v>97.4444571348483</v>
      </c>
      <c r="F62" s="171">
        <f t="shared" si="2"/>
        <v>97.4444571348483</v>
      </c>
      <c r="G62" s="177">
        <v>1532835.7</v>
      </c>
      <c r="H62" s="113" t="s">
        <v>258</v>
      </c>
      <c r="I62" s="174">
        <f>ROUND(B62/1000,0)</f>
        <v>13685</v>
      </c>
      <c r="J62" s="174">
        <f>ROUND(C62/1000,0)</f>
        <v>13685</v>
      </c>
      <c r="K62" s="174">
        <f>ROUND(D62/1000,0)</f>
        <v>13335</v>
      </c>
      <c r="L62" s="107">
        <f t="shared" si="5"/>
        <v>97.44245524296676</v>
      </c>
      <c r="M62" s="107">
        <f t="shared" si="6"/>
        <v>97.44245524296676</v>
      </c>
      <c r="N62" s="174">
        <f t="shared" si="8"/>
        <v>1533</v>
      </c>
      <c r="O62" s="84" t="str">
        <f t="shared" si="0"/>
        <v>     Uzturēšanas izdevumi</v>
      </c>
      <c r="P62" s="169">
        <f t="shared" si="3"/>
        <v>13335</v>
      </c>
      <c r="Q62" s="169">
        <v>11802</v>
      </c>
      <c r="R62" s="169">
        <f t="shared" si="4"/>
        <v>1533</v>
      </c>
      <c r="S62" s="30">
        <v>1533</v>
      </c>
      <c r="V62" s="43">
        <f>S62</f>
        <v>1533</v>
      </c>
    </row>
    <row r="63" spans="1:23" ht="12.75" customHeight="1">
      <c r="A63" s="113" t="s">
        <v>259</v>
      </c>
      <c r="B63" s="174">
        <v>1161500</v>
      </c>
      <c r="C63" s="174">
        <v>1161500</v>
      </c>
      <c r="D63" s="174">
        <v>1047821</v>
      </c>
      <c r="E63" s="171">
        <f t="shared" si="1"/>
        <v>90.21274214377961</v>
      </c>
      <c r="F63" s="171">
        <f t="shared" si="2"/>
        <v>90.21274214377961</v>
      </c>
      <c r="G63" s="177">
        <v>163365.5</v>
      </c>
      <c r="H63" s="113" t="s">
        <v>259</v>
      </c>
      <c r="I63" s="174">
        <f>ROUND(B63/1000,0)-1</f>
        <v>1161</v>
      </c>
      <c r="J63" s="174">
        <f>ROUND(C63/1000,0)-1</f>
        <v>1161</v>
      </c>
      <c r="K63" s="174">
        <f>ROUND(D63/1000,0)</f>
        <v>1048</v>
      </c>
      <c r="L63" s="107">
        <f t="shared" si="5"/>
        <v>90.26701119724375</v>
      </c>
      <c r="M63" s="107">
        <f t="shared" si="6"/>
        <v>90.26701119724375</v>
      </c>
      <c r="N63" s="174">
        <f t="shared" si="8"/>
        <v>163</v>
      </c>
      <c r="O63" s="84" t="str">
        <f t="shared" si="0"/>
        <v>     Izdevumi kapitālieguldījumiem</v>
      </c>
      <c r="P63" s="169">
        <f t="shared" si="3"/>
        <v>1048</v>
      </c>
      <c r="Q63" s="169">
        <v>885</v>
      </c>
      <c r="R63" s="169">
        <f t="shared" si="4"/>
        <v>163</v>
      </c>
      <c r="S63" s="30">
        <v>163</v>
      </c>
      <c r="W63" s="43">
        <f>S63</f>
        <v>163</v>
      </c>
    </row>
    <row r="64" spans="1:19" ht="12.75" customHeight="1">
      <c r="A64" s="176" t="s">
        <v>279</v>
      </c>
      <c r="B64" s="173">
        <f>SUM(B65:B66)</f>
        <v>1170755</v>
      </c>
      <c r="C64" s="173">
        <f>SUM(C65:C66)</f>
        <v>1170755</v>
      </c>
      <c r="D64" s="173">
        <f>SUM(D65:D66)</f>
        <v>1170565</v>
      </c>
      <c r="E64" s="168">
        <f t="shared" si="1"/>
        <v>99.9837711562197</v>
      </c>
      <c r="F64" s="168">
        <f t="shared" si="2"/>
        <v>99.9837711562197</v>
      </c>
      <c r="G64" s="177">
        <f>SUM(G65:G66)</f>
        <v>124660.54999999999</v>
      </c>
      <c r="H64" s="176" t="s">
        <v>279</v>
      </c>
      <c r="I64" s="173">
        <f>SUM(I65:I66)</f>
        <v>1171</v>
      </c>
      <c r="J64" s="173">
        <f>SUM(J65:J66)</f>
        <v>1171</v>
      </c>
      <c r="K64" s="173">
        <f>SUM(K65:K66)</f>
        <v>1171</v>
      </c>
      <c r="L64" s="98">
        <f t="shared" si="5"/>
        <v>100</v>
      </c>
      <c r="M64" s="98">
        <f t="shared" si="6"/>
        <v>100</v>
      </c>
      <c r="N64" s="173">
        <f>ROUND(G64/1000,0)-1</f>
        <v>124</v>
      </c>
      <c r="O64" s="84" t="str">
        <f t="shared" si="0"/>
        <v>Valsts kontrole</v>
      </c>
      <c r="P64" s="169">
        <f t="shared" si="3"/>
        <v>1171</v>
      </c>
      <c r="Q64" s="169">
        <v>1046</v>
      </c>
      <c r="R64" s="169">
        <f t="shared" si="4"/>
        <v>125</v>
      </c>
      <c r="S64" s="30">
        <v>125</v>
      </c>
    </row>
    <row r="65" spans="1:22" ht="12.75" customHeight="1">
      <c r="A65" s="113" t="s">
        <v>258</v>
      </c>
      <c r="B65" s="174">
        <v>1155215</v>
      </c>
      <c r="C65" s="174">
        <v>1155215</v>
      </c>
      <c r="D65" s="174">
        <v>1155032</v>
      </c>
      <c r="E65" s="171">
        <f t="shared" si="1"/>
        <v>99.98415879295196</v>
      </c>
      <c r="F65" s="171">
        <f t="shared" si="2"/>
        <v>99.98415879295196</v>
      </c>
      <c r="G65" s="177">
        <v>122383.15</v>
      </c>
      <c r="H65" s="113" t="s">
        <v>258</v>
      </c>
      <c r="I65" s="174">
        <f aca="true" t="shared" si="21" ref="I65:K66">ROUND(B65/1000,0)</f>
        <v>1155</v>
      </c>
      <c r="J65" s="174">
        <f t="shared" si="21"/>
        <v>1155</v>
      </c>
      <c r="K65" s="174">
        <f t="shared" si="21"/>
        <v>1155</v>
      </c>
      <c r="L65" s="107">
        <f t="shared" si="5"/>
        <v>100</v>
      </c>
      <c r="M65" s="107">
        <f t="shared" si="6"/>
        <v>100</v>
      </c>
      <c r="N65" s="174">
        <f>ROUND(G65/1000,0)</f>
        <v>122</v>
      </c>
      <c r="O65" s="84" t="str">
        <f t="shared" si="0"/>
        <v>     Uzturēšanas izdevumi</v>
      </c>
      <c r="P65" s="169">
        <f t="shared" si="3"/>
        <v>1155</v>
      </c>
      <c r="Q65" s="169">
        <v>1033</v>
      </c>
      <c r="R65" s="169">
        <f t="shared" si="4"/>
        <v>122</v>
      </c>
      <c r="S65" s="30">
        <v>122</v>
      </c>
      <c r="V65" s="43">
        <f>S65</f>
        <v>122</v>
      </c>
    </row>
    <row r="66" spans="1:23" ht="12.75" customHeight="1">
      <c r="A66" s="113" t="s">
        <v>259</v>
      </c>
      <c r="B66" s="174">
        <v>15540</v>
      </c>
      <c r="C66" s="174">
        <v>15540</v>
      </c>
      <c r="D66" s="174">
        <v>15533</v>
      </c>
      <c r="E66" s="171">
        <f t="shared" si="1"/>
        <v>99.95495495495496</v>
      </c>
      <c r="F66" s="171">
        <f t="shared" si="2"/>
        <v>99.95495495495496</v>
      </c>
      <c r="G66" s="177">
        <v>2277.4</v>
      </c>
      <c r="H66" s="113" t="s">
        <v>259</v>
      </c>
      <c r="I66" s="174">
        <f t="shared" si="21"/>
        <v>16</v>
      </c>
      <c r="J66" s="174">
        <f t="shared" si="21"/>
        <v>16</v>
      </c>
      <c r="K66" s="177">
        <f t="shared" si="21"/>
        <v>16</v>
      </c>
      <c r="L66" s="107">
        <f t="shared" si="5"/>
        <v>100</v>
      </c>
      <c r="M66" s="107">
        <f t="shared" si="6"/>
        <v>100</v>
      </c>
      <c r="N66" s="174">
        <f t="shared" si="8"/>
        <v>2</v>
      </c>
      <c r="O66" s="84" t="str">
        <f t="shared" si="0"/>
        <v>     Izdevumi kapitālieguldījumiem</v>
      </c>
      <c r="P66" s="169">
        <f t="shared" si="3"/>
        <v>16</v>
      </c>
      <c r="Q66" s="169">
        <v>13</v>
      </c>
      <c r="R66" s="169">
        <f t="shared" si="4"/>
        <v>3</v>
      </c>
      <c r="S66" s="30">
        <v>3</v>
      </c>
      <c r="W66" s="43">
        <f>S66</f>
        <v>3</v>
      </c>
    </row>
    <row r="67" spans="1:19" ht="12.75" customHeight="1">
      <c r="A67" s="176" t="s">
        <v>280</v>
      </c>
      <c r="B67" s="173">
        <f>B68</f>
        <v>743059</v>
      </c>
      <c r="C67" s="173">
        <f>C68</f>
        <v>743059</v>
      </c>
      <c r="D67" s="173">
        <f>SUM(D68:D68)</f>
        <v>743059</v>
      </c>
      <c r="E67" s="168">
        <f t="shared" si="1"/>
        <v>100</v>
      </c>
      <c r="F67" s="168">
        <f t="shared" si="2"/>
        <v>100</v>
      </c>
      <c r="G67" s="178">
        <f>SUM(G68)</f>
        <v>72263.92</v>
      </c>
      <c r="H67" s="176" t="s">
        <v>280</v>
      </c>
      <c r="I67" s="173">
        <f>ROUND(B67/1000,0)</f>
        <v>743</v>
      </c>
      <c r="J67" s="173">
        <f>SUM(J68:J68)</f>
        <v>743</v>
      </c>
      <c r="K67" s="173">
        <f>SUM(K68:K68)</f>
        <v>743</v>
      </c>
      <c r="L67" s="98">
        <f t="shared" si="5"/>
        <v>100</v>
      </c>
      <c r="M67" s="98">
        <f t="shared" si="6"/>
        <v>100</v>
      </c>
      <c r="N67" s="173">
        <f t="shared" si="8"/>
        <v>72</v>
      </c>
      <c r="O67" s="84" t="str">
        <f t="shared" si="0"/>
        <v>Augstākā tiesa</v>
      </c>
      <c r="P67" s="169">
        <f t="shared" si="3"/>
        <v>743</v>
      </c>
      <c r="Q67" s="169">
        <v>671</v>
      </c>
      <c r="R67" s="169">
        <f t="shared" si="4"/>
        <v>72</v>
      </c>
      <c r="S67" s="30">
        <v>72</v>
      </c>
    </row>
    <row r="68" spans="1:22" ht="12.75" customHeight="1">
      <c r="A68" s="113" t="s">
        <v>258</v>
      </c>
      <c r="B68" s="174">
        <v>743059</v>
      </c>
      <c r="C68" s="174">
        <v>743059</v>
      </c>
      <c r="D68" s="174">
        <v>743059</v>
      </c>
      <c r="E68" s="171">
        <f t="shared" si="1"/>
        <v>100</v>
      </c>
      <c r="F68" s="171">
        <f t="shared" si="2"/>
        <v>100</v>
      </c>
      <c r="G68" s="177">
        <v>72263.92</v>
      </c>
      <c r="H68" s="113" t="s">
        <v>258</v>
      </c>
      <c r="I68" s="174">
        <f>ROUND(B68/1000,0)</f>
        <v>743</v>
      </c>
      <c r="J68" s="174">
        <f>ROUND(C68/1000,0)</f>
        <v>743</v>
      </c>
      <c r="K68" s="174">
        <f>ROUND(D68/1000,0)</f>
        <v>743</v>
      </c>
      <c r="L68" s="107">
        <f t="shared" si="5"/>
        <v>100</v>
      </c>
      <c r="M68" s="107">
        <f t="shared" si="6"/>
        <v>100</v>
      </c>
      <c r="N68" s="174">
        <f t="shared" si="8"/>
        <v>72</v>
      </c>
      <c r="O68" s="84" t="str">
        <f t="shared" si="0"/>
        <v>     Uzturēšanas izdevumi</v>
      </c>
      <c r="P68" s="169">
        <f t="shared" si="3"/>
        <v>743</v>
      </c>
      <c r="Q68" s="169">
        <v>671</v>
      </c>
      <c r="R68" s="169">
        <f t="shared" si="4"/>
        <v>72</v>
      </c>
      <c r="S68" s="30">
        <v>72</v>
      </c>
      <c r="V68" s="43">
        <f>S68</f>
        <v>72</v>
      </c>
    </row>
    <row r="69" spans="1:19" ht="12.75" customHeight="1">
      <c r="A69" s="176" t="s">
        <v>281</v>
      </c>
      <c r="B69" s="173">
        <f>SUM(B70:B71)</f>
        <v>339602</v>
      </c>
      <c r="C69" s="173">
        <f>SUM(C70:C71)</f>
        <v>339602</v>
      </c>
      <c r="D69" s="178">
        <f>SUM(D70:D71)</f>
        <v>338590</v>
      </c>
      <c r="E69" s="168">
        <f t="shared" si="1"/>
        <v>99.70200411069429</v>
      </c>
      <c r="F69" s="168">
        <f t="shared" si="2"/>
        <v>99.70200411069429</v>
      </c>
      <c r="G69" s="178">
        <f>SUM(G70:G71)</f>
        <v>46030.520000000004</v>
      </c>
      <c r="H69" s="176" t="s">
        <v>281</v>
      </c>
      <c r="I69" s="173">
        <f>SUM(I70:I71)</f>
        <v>340</v>
      </c>
      <c r="J69" s="173">
        <f>SUM(J70:J71)</f>
        <v>340</v>
      </c>
      <c r="K69" s="173">
        <f>SUM(K70:K71)</f>
        <v>339</v>
      </c>
      <c r="L69" s="98">
        <f t="shared" si="5"/>
        <v>99.70588235294117</v>
      </c>
      <c r="M69" s="98">
        <f t="shared" si="6"/>
        <v>99.70588235294117</v>
      </c>
      <c r="N69" s="173">
        <f t="shared" si="8"/>
        <v>46</v>
      </c>
      <c r="O69" s="84" t="str">
        <f t="shared" si="0"/>
        <v>Satversmes tiesa</v>
      </c>
      <c r="P69" s="169">
        <f t="shared" si="3"/>
        <v>339</v>
      </c>
      <c r="Q69" s="169">
        <v>293</v>
      </c>
      <c r="R69" s="169">
        <f t="shared" si="4"/>
        <v>46</v>
      </c>
      <c r="S69" s="30">
        <v>46</v>
      </c>
    </row>
    <row r="70" spans="1:22" ht="12.75" customHeight="1">
      <c r="A70" s="113" t="s">
        <v>258</v>
      </c>
      <c r="B70" s="174">
        <v>314102</v>
      </c>
      <c r="C70" s="174">
        <v>314102</v>
      </c>
      <c r="D70" s="174">
        <v>313090</v>
      </c>
      <c r="E70" s="171">
        <f t="shared" si="1"/>
        <v>99.67781166627401</v>
      </c>
      <c r="F70" s="171">
        <f t="shared" si="2"/>
        <v>99.67781166627401</v>
      </c>
      <c r="G70" s="177">
        <v>45451.73</v>
      </c>
      <c r="H70" s="113" t="s">
        <v>258</v>
      </c>
      <c r="I70" s="174">
        <f aca="true" t="shared" si="22" ref="I70:K71">ROUND(B70/1000,0)</f>
        <v>314</v>
      </c>
      <c r="J70" s="174">
        <f t="shared" si="22"/>
        <v>314</v>
      </c>
      <c r="K70" s="174">
        <f t="shared" si="22"/>
        <v>313</v>
      </c>
      <c r="L70" s="107">
        <f t="shared" si="5"/>
        <v>99.68152866242038</v>
      </c>
      <c r="M70" s="107">
        <f t="shared" si="6"/>
        <v>99.68152866242038</v>
      </c>
      <c r="N70" s="174">
        <f t="shared" si="8"/>
        <v>45</v>
      </c>
      <c r="O70" s="84" t="str">
        <f t="shared" si="0"/>
        <v>     Uzturēšanas izdevumi</v>
      </c>
      <c r="P70" s="169">
        <f t="shared" si="3"/>
        <v>313</v>
      </c>
      <c r="Q70" s="169">
        <v>268</v>
      </c>
      <c r="R70" s="169">
        <f t="shared" si="4"/>
        <v>45</v>
      </c>
      <c r="S70" s="30">
        <v>45</v>
      </c>
      <c r="V70" s="43">
        <f>S70</f>
        <v>45</v>
      </c>
    </row>
    <row r="71" spans="1:23" ht="12.75" customHeight="1">
      <c r="A71" s="113" t="s">
        <v>259</v>
      </c>
      <c r="B71" s="174">
        <v>25500</v>
      </c>
      <c r="C71" s="174">
        <v>25500</v>
      </c>
      <c r="D71" s="175">
        <v>25500</v>
      </c>
      <c r="E71" s="171">
        <f t="shared" si="1"/>
        <v>100</v>
      </c>
      <c r="F71" s="171">
        <f t="shared" si="2"/>
        <v>100</v>
      </c>
      <c r="G71" s="177">
        <v>578.79</v>
      </c>
      <c r="H71" s="113" t="s">
        <v>259</v>
      </c>
      <c r="I71" s="174">
        <f t="shared" si="22"/>
        <v>26</v>
      </c>
      <c r="J71" s="174">
        <f t="shared" si="22"/>
        <v>26</v>
      </c>
      <c r="K71" s="174">
        <f t="shared" si="22"/>
        <v>26</v>
      </c>
      <c r="L71" s="107">
        <f t="shared" si="5"/>
        <v>100</v>
      </c>
      <c r="M71" s="107">
        <f t="shared" si="6"/>
        <v>100</v>
      </c>
      <c r="N71" s="174">
        <f t="shared" si="8"/>
        <v>1</v>
      </c>
      <c r="O71" s="84" t="str">
        <f t="shared" si="0"/>
        <v>     Izdevumi kapitālieguldījumiem</v>
      </c>
      <c r="P71" s="169">
        <f t="shared" si="3"/>
        <v>26</v>
      </c>
      <c r="Q71" s="169">
        <v>25</v>
      </c>
      <c r="R71" s="169">
        <f t="shared" si="4"/>
        <v>1</v>
      </c>
      <c r="S71" s="30">
        <v>1</v>
      </c>
      <c r="W71" s="43">
        <f>S71</f>
        <v>1</v>
      </c>
    </row>
    <row r="72" spans="1:19" ht="15" customHeight="1">
      <c r="A72" s="176" t="s">
        <v>282</v>
      </c>
      <c r="B72" s="173">
        <f>SUM(B73:B74)</f>
        <v>6224450</v>
      </c>
      <c r="C72" s="173">
        <f>SUM(C73:C74)</f>
        <v>6224450</v>
      </c>
      <c r="D72" s="173">
        <f>SUM(D73:D74)</f>
        <v>6218443</v>
      </c>
      <c r="E72" s="168">
        <f t="shared" si="1"/>
        <v>99.90349348135177</v>
      </c>
      <c r="F72" s="168">
        <f t="shared" si="2"/>
        <v>99.90349348135177</v>
      </c>
      <c r="G72" s="178">
        <f>SUM(G73:G74)</f>
        <v>550499.2999999999</v>
      </c>
      <c r="H72" s="176" t="s">
        <v>282</v>
      </c>
      <c r="I72" s="173">
        <f>SUM(I73:I74)</f>
        <v>6224</v>
      </c>
      <c r="J72" s="173">
        <f>SUM(J73:J74)</f>
        <v>6224</v>
      </c>
      <c r="K72" s="178">
        <f>SUM(K73:K74)</f>
        <v>6218</v>
      </c>
      <c r="L72" s="98">
        <f t="shared" si="5"/>
        <v>99.90359897172236</v>
      </c>
      <c r="M72" s="98">
        <f t="shared" si="6"/>
        <v>99.90359897172236</v>
      </c>
      <c r="N72" s="173">
        <f t="shared" si="8"/>
        <v>550</v>
      </c>
      <c r="O72" s="84" t="str">
        <f t="shared" si="0"/>
        <v>Prokuratūra</v>
      </c>
      <c r="P72" s="169">
        <f t="shared" si="3"/>
        <v>6218</v>
      </c>
      <c r="Q72" s="169">
        <v>5668</v>
      </c>
      <c r="R72" s="169">
        <f t="shared" si="4"/>
        <v>550</v>
      </c>
      <c r="S72" s="30">
        <v>550</v>
      </c>
    </row>
    <row r="73" spans="1:22" ht="12.75" customHeight="1">
      <c r="A73" s="113" t="s">
        <v>258</v>
      </c>
      <c r="B73" s="174">
        <v>6144340</v>
      </c>
      <c r="C73" s="174">
        <v>6144340</v>
      </c>
      <c r="D73" s="174">
        <v>6138349</v>
      </c>
      <c r="E73" s="171">
        <f t="shared" si="1"/>
        <v>99.90249563012463</v>
      </c>
      <c r="F73" s="171">
        <f t="shared" si="2"/>
        <v>99.90249563012463</v>
      </c>
      <c r="G73" s="177">
        <v>533333.7</v>
      </c>
      <c r="H73" s="113" t="s">
        <v>258</v>
      </c>
      <c r="I73" s="174">
        <f aca="true" t="shared" si="23" ref="I73:K74">ROUND(B73/1000,0)</f>
        <v>6144</v>
      </c>
      <c r="J73" s="174">
        <f t="shared" si="23"/>
        <v>6144</v>
      </c>
      <c r="K73" s="174">
        <f>ROUND(D73/1000,0)</f>
        <v>6138</v>
      </c>
      <c r="L73" s="107">
        <f t="shared" si="5"/>
        <v>99.90234375</v>
      </c>
      <c r="M73" s="107">
        <f t="shared" si="6"/>
        <v>99.90234375</v>
      </c>
      <c r="N73" s="174">
        <f t="shared" si="8"/>
        <v>533</v>
      </c>
      <c r="O73" s="84" t="str">
        <f t="shared" si="0"/>
        <v>     Uzturēšanas izdevumi</v>
      </c>
      <c r="P73" s="169">
        <f t="shared" si="3"/>
        <v>6138</v>
      </c>
      <c r="Q73" s="169">
        <v>5605</v>
      </c>
      <c r="R73" s="169">
        <f t="shared" si="4"/>
        <v>533</v>
      </c>
      <c r="S73" s="30">
        <v>533</v>
      </c>
      <c r="V73" s="43">
        <f>S73</f>
        <v>533</v>
      </c>
    </row>
    <row r="74" spans="1:23" ht="12.75" customHeight="1">
      <c r="A74" s="113" t="s">
        <v>259</v>
      </c>
      <c r="B74" s="174">
        <v>80110</v>
      </c>
      <c r="C74" s="174">
        <v>80110</v>
      </c>
      <c r="D74" s="174">
        <v>80094</v>
      </c>
      <c r="E74" s="171">
        <f t="shared" si="1"/>
        <v>99.98002746223942</v>
      </c>
      <c r="F74" s="171">
        <f t="shared" si="2"/>
        <v>99.98002746223942</v>
      </c>
      <c r="G74" s="177">
        <v>17165.6</v>
      </c>
      <c r="H74" s="113" t="s">
        <v>259</v>
      </c>
      <c r="I74" s="174">
        <f t="shared" si="23"/>
        <v>80</v>
      </c>
      <c r="J74" s="174">
        <f t="shared" si="23"/>
        <v>80</v>
      </c>
      <c r="K74" s="174">
        <f t="shared" si="23"/>
        <v>80</v>
      </c>
      <c r="L74" s="107">
        <f t="shared" si="5"/>
        <v>100</v>
      </c>
      <c r="M74" s="107">
        <f t="shared" si="6"/>
        <v>100</v>
      </c>
      <c r="N74" s="174">
        <f t="shared" si="8"/>
        <v>17</v>
      </c>
      <c r="O74" s="84" t="str">
        <f t="shared" si="0"/>
        <v>     Izdevumi kapitālieguldījumiem</v>
      </c>
      <c r="P74" s="169">
        <f t="shared" si="3"/>
        <v>80</v>
      </c>
      <c r="Q74" s="169">
        <v>63</v>
      </c>
      <c r="R74" s="169">
        <f t="shared" si="4"/>
        <v>17</v>
      </c>
      <c r="S74" s="30">
        <v>17</v>
      </c>
      <c r="W74" s="43">
        <f>S74</f>
        <v>17</v>
      </c>
    </row>
    <row r="75" spans="1:19" ht="12.75" customHeight="1">
      <c r="A75" s="180" t="s">
        <v>283</v>
      </c>
      <c r="B75" s="173">
        <f>SUM(B76:B77)</f>
        <v>75359</v>
      </c>
      <c r="C75" s="173">
        <f>SUM(C76:C77)</f>
        <v>75359</v>
      </c>
      <c r="D75" s="173">
        <f>SUM(D76:D77)</f>
        <v>75350</v>
      </c>
      <c r="E75" s="168">
        <f t="shared" si="1"/>
        <v>99.98805716636367</v>
      </c>
      <c r="F75" s="168">
        <f t="shared" si="2"/>
        <v>99.98805716636367</v>
      </c>
      <c r="G75" s="178">
        <f>SUM(G76:G77)</f>
        <v>9235.6</v>
      </c>
      <c r="H75" s="180" t="s">
        <v>283</v>
      </c>
      <c r="I75" s="173">
        <f>SUM(I76:I77)</f>
        <v>75</v>
      </c>
      <c r="J75" s="173">
        <f>SUM(J76:J77)</f>
        <v>75</v>
      </c>
      <c r="K75" s="173">
        <f>SUM(K76:K77)</f>
        <v>75</v>
      </c>
      <c r="L75" s="98">
        <f t="shared" si="5"/>
        <v>100</v>
      </c>
      <c r="M75" s="98">
        <f t="shared" si="6"/>
        <v>100</v>
      </c>
      <c r="N75" s="173">
        <f t="shared" si="8"/>
        <v>9</v>
      </c>
      <c r="O75" s="84" t="str">
        <f aca="true" t="shared" si="24" ref="O75:O97">H75</f>
        <v>Centrālā vēlēšanu komisija</v>
      </c>
      <c r="P75" s="169">
        <f t="shared" si="3"/>
        <v>75</v>
      </c>
      <c r="Q75" s="169">
        <v>66</v>
      </c>
      <c r="R75" s="169">
        <f t="shared" si="4"/>
        <v>9</v>
      </c>
      <c r="S75" s="30">
        <v>9</v>
      </c>
    </row>
    <row r="76" spans="1:22" ht="12.75" customHeight="1">
      <c r="A76" s="113" t="s">
        <v>258</v>
      </c>
      <c r="B76" s="174">
        <v>73359</v>
      </c>
      <c r="C76" s="174">
        <v>73359</v>
      </c>
      <c r="D76" s="174">
        <v>73359</v>
      </c>
      <c r="E76" s="171">
        <f t="shared" si="1"/>
        <v>100</v>
      </c>
      <c r="F76" s="171">
        <f t="shared" si="2"/>
        <v>100</v>
      </c>
      <c r="G76" s="177">
        <v>9009.6</v>
      </c>
      <c r="H76" s="113" t="s">
        <v>258</v>
      </c>
      <c r="I76" s="174">
        <f aca="true" t="shared" si="25" ref="I76:K77">ROUND(B76/1000,0)</f>
        <v>73</v>
      </c>
      <c r="J76" s="174">
        <f t="shared" si="25"/>
        <v>73</v>
      </c>
      <c r="K76" s="174">
        <f t="shared" si="25"/>
        <v>73</v>
      </c>
      <c r="L76" s="107">
        <f t="shared" si="5"/>
        <v>100</v>
      </c>
      <c r="M76" s="107">
        <f t="shared" si="6"/>
        <v>100</v>
      </c>
      <c r="N76" s="174">
        <f t="shared" si="8"/>
        <v>9</v>
      </c>
      <c r="O76" s="84" t="str">
        <f t="shared" si="24"/>
        <v>     Uzturēšanas izdevumi</v>
      </c>
      <c r="P76" s="169">
        <f t="shared" si="3"/>
        <v>73</v>
      </c>
      <c r="Q76" s="169">
        <v>64</v>
      </c>
      <c r="R76" s="169">
        <f t="shared" si="4"/>
        <v>9</v>
      </c>
      <c r="S76" s="30">
        <v>9</v>
      </c>
      <c r="V76" s="43">
        <f>S76</f>
        <v>9</v>
      </c>
    </row>
    <row r="77" spans="1:23" ht="12.75" customHeight="1">
      <c r="A77" s="113" t="s">
        <v>259</v>
      </c>
      <c r="B77" s="174">
        <v>2000</v>
      </c>
      <c r="C77" s="174">
        <v>2000</v>
      </c>
      <c r="D77" s="174">
        <v>1991</v>
      </c>
      <c r="E77" s="171">
        <f aca="true" t="shared" si="26" ref="E77:E97">IF(ISERROR(D77/B77)," ",(D77/B77))*100</f>
        <v>99.55000000000001</v>
      </c>
      <c r="F77" s="171">
        <f aca="true" t="shared" si="27" ref="F77:F97">IF(ISERROR(D77/C77)," ",(D77/C77))*100</f>
        <v>99.55000000000001</v>
      </c>
      <c r="G77" s="177">
        <v>226</v>
      </c>
      <c r="H77" s="113" t="s">
        <v>259</v>
      </c>
      <c r="I77" s="174">
        <f t="shared" si="25"/>
        <v>2</v>
      </c>
      <c r="J77" s="174">
        <f t="shared" si="25"/>
        <v>2</v>
      </c>
      <c r="K77" s="174">
        <f t="shared" si="25"/>
        <v>2</v>
      </c>
      <c r="L77" s="107">
        <f t="shared" si="5"/>
        <v>100</v>
      </c>
      <c r="M77" s="107">
        <f t="shared" si="6"/>
        <v>100</v>
      </c>
      <c r="N77" s="174">
        <f t="shared" si="8"/>
        <v>0</v>
      </c>
      <c r="O77" s="84" t="str">
        <f t="shared" si="24"/>
        <v>     Izdevumi kapitālieguldījumiem</v>
      </c>
      <c r="P77" s="169">
        <f t="shared" si="3"/>
        <v>2</v>
      </c>
      <c r="Q77" s="169">
        <v>2</v>
      </c>
      <c r="R77" s="169">
        <f t="shared" si="4"/>
        <v>0</v>
      </c>
      <c r="S77" s="30">
        <v>0</v>
      </c>
      <c r="W77" s="43">
        <f>S77</f>
        <v>0</v>
      </c>
    </row>
    <row r="78" spans="1:19" ht="12.75" customHeight="1">
      <c r="A78" s="70" t="s">
        <v>284</v>
      </c>
      <c r="B78" s="173">
        <f>SUM(B79)</f>
        <v>50299</v>
      </c>
      <c r="C78" s="173">
        <f>SUM(C79)</f>
        <v>50299</v>
      </c>
      <c r="D78" s="173">
        <f>SUM(D79)</f>
        <v>49677</v>
      </c>
      <c r="E78" s="168">
        <f t="shared" si="26"/>
        <v>98.76339489850693</v>
      </c>
      <c r="F78" s="168">
        <f t="shared" si="27"/>
        <v>98.76339489850693</v>
      </c>
      <c r="G78" s="178">
        <f>SUM(G79)</f>
        <v>7006.72</v>
      </c>
      <c r="H78" s="70" t="s">
        <v>284</v>
      </c>
      <c r="I78" s="173">
        <f>SUM(I79)</f>
        <v>50</v>
      </c>
      <c r="J78" s="173">
        <f>SUM(J79)</f>
        <v>50</v>
      </c>
      <c r="K78" s="173">
        <f>SUM(K79)</f>
        <v>50</v>
      </c>
      <c r="L78" s="98">
        <f t="shared" si="5"/>
        <v>100</v>
      </c>
      <c r="M78" s="98">
        <f t="shared" si="6"/>
        <v>100</v>
      </c>
      <c r="N78" s="173">
        <f t="shared" si="8"/>
        <v>7</v>
      </c>
      <c r="O78" s="84" t="str">
        <f t="shared" si="24"/>
        <v>Centrālā zemes komisija</v>
      </c>
      <c r="P78" s="169">
        <f aca="true" t="shared" si="28" ref="P78:P97">K78</f>
        <v>50</v>
      </c>
      <c r="Q78" s="169">
        <v>43</v>
      </c>
      <c r="R78" s="169">
        <f aca="true" t="shared" si="29" ref="R78:R97">P78-Q78</f>
        <v>7</v>
      </c>
      <c r="S78" s="30">
        <v>7</v>
      </c>
    </row>
    <row r="79" spans="1:22" ht="12.75" customHeight="1">
      <c r="A79" s="113" t="s">
        <v>258</v>
      </c>
      <c r="B79" s="174">
        <v>50299</v>
      </c>
      <c r="C79" s="174">
        <v>50299</v>
      </c>
      <c r="D79" s="174">
        <v>49677</v>
      </c>
      <c r="E79" s="171">
        <f t="shared" si="26"/>
        <v>98.76339489850693</v>
      </c>
      <c r="F79" s="171">
        <f t="shared" si="27"/>
        <v>98.76339489850693</v>
      </c>
      <c r="G79" s="177">
        <v>7006.72</v>
      </c>
      <c r="H79" s="113" t="s">
        <v>258</v>
      </c>
      <c r="I79" s="174">
        <f>ROUND(B79/1000,0)</f>
        <v>50</v>
      </c>
      <c r="J79" s="174">
        <f>ROUND(C79/1000,0)</f>
        <v>50</v>
      </c>
      <c r="K79" s="174">
        <f>ROUND(D79/1000,0)</f>
        <v>50</v>
      </c>
      <c r="L79" s="107">
        <f t="shared" si="5"/>
        <v>100</v>
      </c>
      <c r="M79" s="107">
        <f t="shared" si="6"/>
        <v>100</v>
      </c>
      <c r="N79" s="174">
        <f t="shared" si="8"/>
        <v>7</v>
      </c>
      <c r="O79" s="84" t="str">
        <f t="shared" si="24"/>
        <v>     Uzturēšanas izdevumi</v>
      </c>
      <c r="P79" s="169">
        <f t="shared" si="28"/>
        <v>50</v>
      </c>
      <c r="Q79" s="169">
        <v>43</v>
      </c>
      <c r="R79" s="169">
        <f t="shared" si="29"/>
        <v>7</v>
      </c>
      <c r="S79" s="30">
        <v>7</v>
      </c>
      <c r="V79" s="43">
        <f>S79</f>
        <v>7</v>
      </c>
    </row>
    <row r="80" spans="1:19" ht="12.75" customHeight="1">
      <c r="A80" s="70" t="s">
        <v>285</v>
      </c>
      <c r="B80" s="173">
        <f>SUM(B81)</f>
        <v>1706013</v>
      </c>
      <c r="C80" s="173">
        <f>SUM(C81)</f>
        <v>1706013</v>
      </c>
      <c r="D80" s="173">
        <f>SUM(D81)</f>
        <v>1706013</v>
      </c>
      <c r="E80" s="168">
        <f t="shared" si="26"/>
        <v>100</v>
      </c>
      <c r="F80" s="168">
        <f t="shared" si="27"/>
        <v>100</v>
      </c>
      <c r="G80" s="178">
        <f>SUM(G81)</f>
        <v>920839</v>
      </c>
      <c r="H80" s="70" t="s">
        <v>285</v>
      </c>
      <c r="I80" s="173">
        <f>SUM(I81)</f>
        <v>1706</v>
      </c>
      <c r="J80" s="173">
        <f>SUM(J81)</f>
        <v>1706</v>
      </c>
      <c r="K80" s="173">
        <f>SUM(K81)</f>
        <v>1706</v>
      </c>
      <c r="L80" s="98">
        <f aca="true" t="shared" si="30" ref="L80:L97">IF(ISERROR(ROUND(K80,0)/ROUND(I80,0))," ",(ROUND(K80,)/ROUND(I80,)))*100</f>
        <v>100</v>
      </c>
      <c r="M80" s="98">
        <f aca="true" t="shared" si="31" ref="M80:M97">IF(ISERROR(ROUND(K80,0)/ROUND(J80,0))," ",(ROUND(K80,)/ROUND(J80,)))*100</f>
        <v>100</v>
      </c>
      <c r="N80" s="173">
        <f t="shared" si="8"/>
        <v>921</v>
      </c>
      <c r="O80" s="84" t="str">
        <f t="shared" si="24"/>
        <v>Satversmes aizsardzības birojs</v>
      </c>
      <c r="P80" s="169">
        <f t="shared" si="28"/>
        <v>1706</v>
      </c>
      <c r="Q80" s="169">
        <v>785</v>
      </c>
      <c r="R80" s="169">
        <f t="shared" si="29"/>
        <v>921</v>
      </c>
      <c r="S80" s="30">
        <v>921</v>
      </c>
    </row>
    <row r="81" spans="1:22" ht="12.75" customHeight="1">
      <c r="A81" s="113" t="s">
        <v>258</v>
      </c>
      <c r="B81" s="174">
        <v>1706013</v>
      </c>
      <c r="C81" s="174">
        <v>1706013</v>
      </c>
      <c r="D81" s="174">
        <v>1706013</v>
      </c>
      <c r="E81" s="171">
        <f t="shared" si="26"/>
        <v>100</v>
      </c>
      <c r="F81" s="171">
        <f t="shared" si="27"/>
        <v>100</v>
      </c>
      <c r="G81" s="177">
        <v>920839</v>
      </c>
      <c r="H81" s="113" t="s">
        <v>258</v>
      </c>
      <c r="I81" s="174">
        <f>ROUND(B81/1000,0)</f>
        <v>1706</v>
      </c>
      <c r="J81" s="174">
        <f>ROUND(C81/1000,0)</f>
        <v>1706</v>
      </c>
      <c r="K81" s="174">
        <f>ROUND(D81/1000,0)</f>
        <v>1706</v>
      </c>
      <c r="L81" s="107">
        <f t="shared" si="30"/>
        <v>100</v>
      </c>
      <c r="M81" s="107">
        <f t="shared" si="31"/>
        <v>100</v>
      </c>
      <c r="N81" s="174">
        <f t="shared" si="8"/>
        <v>921</v>
      </c>
      <c r="O81" s="84" t="str">
        <f t="shared" si="24"/>
        <v>     Uzturēšanas izdevumi</v>
      </c>
      <c r="P81" s="169">
        <f t="shared" si="28"/>
        <v>1706</v>
      </c>
      <c r="Q81" s="169">
        <v>785</v>
      </c>
      <c r="R81" s="169">
        <f t="shared" si="29"/>
        <v>921</v>
      </c>
      <c r="S81" s="30">
        <v>921</v>
      </c>
      <c r="V81" s="43">
        <f>S81</f>
        <v>921</v>
      </c>
    </row>
    <row r="82" spans="1:19" ht="12.75" customHeight="1">
      <c r="A82" s="176" t="s">
        <v>286</v>
      </c>
      <c r="B82" s="173">
        <f>SUM(B83:B84)</f>
        <v>7257739</v>
      </c>
      <c r="C82" s="173">
        <f>SUM(C83:C84)</f>
        <v>7257739</v>
      </c>
      <c r="D82" s="178">
        <f>SUM(D83:D84)</f>
        <v>7256324</v>
      </c>
      <c r="E82" s="168">
        <f t="shared" si="26"/>
        <v>99.98050357005123</v>
      </c>
      <c r="F82" s="168">
        <f t="shared" si="27"/>
        <v>99.98050357005123</v>
      </c>
      <c r="G82" s="178">
        <f>SUM(G83:G84)</f>
        <v>1029538.6900000001</v>
      </c>
      <c r="H82" s="176" t="s">
        <v>286</v>
      </c>
      <c r="I82" s="173">
        <f>SUM(I83:I84)</f>
        <v>7258</v>
      </c>
      <c r="J82" s="173">
        <f>SUM(J83:J84)</f>
        <v>7257</v>
      </c>
      <c r="K82" s="173">
        <f>SUM(K83:K84)</f>
        <v>7256</v>
      </c>
      <c r="L82" s="98">
        <f t="shared" si="30"/>
        <v>99.972444199504</v>
      </c>
      <c r="M82" s="98">
        <f t="shared" si="31"/>
        <v>99.98622020118506</v>
      </c>
      <c r="N82" s="173">
        <f aca="true" t="shared" si="32" ref="N82:N97">ROUND(G82/1000,0)</f>
        <v>1030</v>
      </c>
      <c r="O82" s="84" t="str">
        <f t="shared" si="24"/>
        <v>Radio un televīzija</v>
      </c>
      <c r="P82" s="169">
        <f t="shared" si="28"/>
        <v>7256</v>
      </c>
      <c r="Q82" s="169">
        <v>6227</v>
      </c>
      <c r="R82" s="169">
        <f t="shared" si="29"/>
        <v>1029</v>
      </c>
      <c r="S82" s="30">
        <v>1029</v>
      </c>
    </row>
    <row r="83" spans="1:22" ht="12.75" customHeight="1">
      <c r="A83" s="113" t="s">
        <v>258</v>
      </c>
      <c r="B83" s="174">
        <v>7049739</v>
      </c>
      <c r="C83" s="174">
        <v>7049739</v>
      </c>
      <c r="D83" s="174">
        <v>7048324</v>
      </c>
      <c r="E83" s="171">
        <f t="shared" si="26"/>
        <v>99.97992833493552</v>
      </c>
      <c r="F83" s="171">
        <f t="shared" si="27"/>
        <v>99.97992833493552</v>
      </c>
      <c r="G83" s="177">
        <v>1029533.4</v>
      </c>
      <c r="H83" s="113" t="s">
        <v>258</v>
      </c>
      <c r="I83" s="174">
        <f>ROUND(B83/1000,0)</f>
        <v>7050</v>
      </c>
      <c r="J83" s="174">
        <f>ROUND(C83/1000,0)</f>
        <v>7050</v>
      </c>
      <c r="K83" s="174">
        <f>ROUND(D83/1000,0)</f>
        <v>7048</v>
      </c>
      <c r="L83" s="107">
        <f t="shared" si="30"/>
        <v>99.97163120567376</v>
      </c>
      <c r="M83" s="107">
        <f t="shared" si="31"/>
        <v>99.97163120567376</v>
      </c>
      <c r="N83" s="174">
        <f t="shared" si="32"/>
        <v>1030</v>
      </c>
      <c r="O83" s="84" t="str">
        <f t="shared" si="24"/>
        <v>     Uzturēšanas izdevumi</v>
      </c>
      <c r="P83" s="169">
        <f t="shared" si="28"/>
        <v>7048</v>
      </c>
      <c r="Q83" s="169">
        <v>6019</v>
      </c>
      <c r="R83" s="169">
        <f t="shared" si="29"/>
        <v>1029</v>
      </c>
      <c r="S83" s="30">
        <v>1029</v>
      </c>
      <c r="V83" s="43">
        <f>S83</f>
        <v>1029</v>
      </c>
    </row>
    <row r="84" spans="1:23" ht="12.75" customHeight="1">
      <c r="A84" s="113" t="s">
        <v>259</v>
      </c>
      <c r="B84" s="174">
        <v>208000</v>
      </c>
      <c r="C84" s="174">
        <v>208000</v>
      </c>
      <c r="D84" s="174">
        <v>208000</v>
      </c>
      <c r="E84" s="171">
        <f t="shared" si="26"/>
        <v>100</v>
      </c>
      <c r="F84" s="171">
        <f t="shared" si="27"/>
        <v>100</v>
      </c>
      <c r="G84" s="177">
        <v>5.29</v>
      </c>
      <c r="H84" s="113" t="s">
        <v>259</v>
      </c>
      <c r="I84" s="174">
        <f>ROUND(B84/1000,0)</f>
        <v>208</v>
      </c>
      <c r="J84" s="174">
        <f>ROUND(C84/1000,0)-1</f>
        <v>207</v>
      </c>
      <c r="K84" s="174">
        <f>ROUND(D84/1000,0)</f>
        <v>208</v>
      </c>
      <c r="L84" s="107">
        <f t="shared" si="30"/>
        <v>100</v>
      </c>
      <c r="M84" s="107">
        <f t="shared" si="31"/>
        <v>100.48309178743962</v>
      </c>
      <c r="N84" s="174">
        <f t="shared" si="32"/>
        <v>0</v>
      </c>
      <c r="O84" s="84" t="str">
        <f t="shared" si="24"/>
        <v>     Izdevumi kapitālieguldījumiem</v>
      </c>
      <c r="P84" s="169">
        <f t="shared" si="28"/>
        <v>208</v>
      </c>
      <c r="Q84" s="169">
        <v>208</v>
      </c>
      <c r="R84" s="169">
        <f t="shared" si="29"/>
        <v>0</v>
      </c>
      <c r="S84" s="30">
        <v>0</v>
      </c>
      <c r="W84" s="43">
        <f>S84</f>
        <v>0</v>
      </c>
    </row>
    <row r="85" spans="1:19" ht="12.75" customHeight="1">
      <c r="A85" s="70" t="s">
        <v>287</v>
      </c>
      <c r="B85" s="173">
        <f>SUM(B86)</f>
        <v>96621</v>
      </c>
      <c r="C85" s="173">
        <f>SUM(C86)</f>
        <v>96621</v>
      </c>
      <c r="D85" s="173">
        <f>SUM(D86)</f>
        <v>96621</v>
      </c>
      <c r="E85" s="168">
        <f t="shared" si="26"/>
        <v>100</v>
      </c>
      <c r="F85" s="168">
        <f t="shared" si="27"/>
        <v>100</v>
      </c>
      <c r="G85" s="178">
        <f>G86</f>
        <v>7977.54</v>
      </c>
      <c r="H85" s="70" t="s">
        <v>287</v>
      </c>
      <c r="I85" s="173">
        <f>SUM(I86)</f>
        <v>97</v>
      </c>
      <c r="J85" s="173">
        <f>SUM(J86)</f>
        <v>97</v>
      </c>
      <c r="K85" s="173">
        <f>SUM(K86)</f>
        <v>97</v>
      </c>
      <c r="L85" s="98">
        <f t="shared" si="30"/>
        <v>100</v>
      </c>
      <c r="M85" s="98">
        <f t="shared" si="31"/>
        <v>100</v>
      </c>
      <c r="N85" s="173">
        <f t="shared" si="32"/>
        <v>8</v>
      </c>
      <c r="O85" s="84" t="str">
        <f t="shared" si="24"/>
        <v>Valsts cilvēktiesību birojs</v>
      </c>
      <c r="P85" s="169">
        <f t="shared" si="28"/>
        <v>97</v>
      </c>
      <c r="Q85" s="169">
        <v>89</v>
      </c>
      <c r="R85" s="169">
        <f t="shared" si="29"/>
        <v>8</v>
      </c>
      <c r="S85" s="30">
        <v>8</v>
      </c>
    </row>
    <row r="86" spans="1:22" ht="12.75" customHeight="1">
      <c r="A86" s="113" t="s">
        <v>258</v>
      </c>
      <c r="B86" s="174">
        <v>96621</v>
      </c>
      <c r="C86" s="174">
        <v>96621</v>
      </c>
      <c r="D86" s="174">
        <v>96621</v>
      </c>
      <c r="E86" s="171">
        <f t="shared" si="26"/>
        <v>100</v>
      </c>
      <c r="F86" s="171">
        <f t="shared" si="27"/>
        <v>100</v>
      </c>
      <c r="G86" s="177">
        <v>7977.54</v>
      </c>
      <c r="H86" s="113" t="s">
        <v>258</v>
      </c>
      <c r="I86" s="174">
        <f>ROUND(B86/1000,0)</f>
        <v>97</v>
      </c>
      <c r="J86" s="174">
        <f>ROUND(C86/1000,0)</f>
        <v>97</v>
      </c>
      <c r="K86" s="174">
        <f>ROUND(D86/1000,0)</f>
        <v>97</v>
      </c>
      <c r="L86" s="107">
        <f t="shared" si="30"/>
        <v>100</v>
      </c>
      <c r="M86" s="107">
        <f t="shared" si="31"/>
        <v>100</v>
      </c>
      <c r="N86" s="174">
        <f t="shared" si="32"/>
        <v>8</v>
      </c>
      <c r="O86" s="84" t="str">
        <f t="shared" si="24"/>
        <v>     Uzturēšanas izdevumi</v>
      </c>
      <c r="P86" s="169">
        <f t="shared" si="28"/>
        <v>97</v>
      </c>
      <c r="Q86" s="169">
        <v>89</v>
      </c>
      <c r="R86" s="169">
        <f t="shared" si="29"/>
        <v>8</v>
      </c>
      <c r="S86" s="30">
        <v>8</v>
      </c>
      <c r="V86" s="43">
        <f>S86</f>
        <v>8</v>
      </c>
    </row>
    <row r="87" spans="1:19" ht="38.25" customHeight="1">
      <c r="A87" s="136" t="s">
        <v>288</v>
      </c>
      <c r="B87" s="173">
        <f>SUM(B88:B89)</f>
        <v>2961342</v>
      </c>
      <c r="C87" s="173">
        <f>SUM(C88:C89)</f>
        <v>2961342</v>
      </c>
      <c r="D87" s="178">
        <f>SUM(D88:D89)</f>
        <v>1454106</v>
      </c>
      <c r="E87" s="168">
        <f t="shared" si="26"/>
        <v>49.10294049116921</v>
      </c>
      <c r="F87" s="168">
        <f t="shared" si="27"/>
        <v>49.10294049116921</v>
      </c>
      <c r="G87" s="178">
        <f>SUM(G88:G89)</f>
        <v>125160</v>
      </c>
      <c r="H87" s="136" t="s">
        <v>288</v>
      </c>
      <c r="I87" s="173">
        <f>SUM(I88:I89)</f>
        <v>2961</v>
      </c>
      <c r="J87" s="173">
        <f>SUM(J88:J89)</f>
        <v>2961</v>
      </c>
      <c r="K87" s="173">
        <f>SUM(K88:K89)</f>
        <v>1454</v>
      </c>
      <c r="L87" s="98">
        <f t="shared" si="30"/>
        <v>49.10503208375549</v>
      </c>
      <c r="M87" s="98">
        <f t="shared" si="31"/>
        <v>49.10503208375549</v>
      </c>
      <c r="N87" s="173">
        <f t="shared" si="32"/>
        <v>125</v>
      </c>
      <c r="O87" s="84" t="str">
        <f t="shared" si="24"/>
        <v>Īpašu uzdevumu ministra sadarbībai  ar starptautiskajām finansu institūcijām sekretariāts</v>
      </c>
      <c r="P87" s="169">
        <f t="shared" si="28"/>
        <v>1454</v>
      </c>
      <c r="Q87" s="169">
        <v>1329</v>
      </c>
      <c r="R87" s="169">
        <f t="shared" si="29"/>
        <v>125</v>
      </c>
      <c r="S87" s="30">
        <v>125</v>
      </c>
    </row>
    <row r="88" spans="1:22" ht="12.75" customHeight="1">
      <c r="A88" s="113" t="s">
        <v>258</v>
      </c>
      <c r="B88" s="174">
        <v>2957342</v>
      </c>
      <c r="C88" s="174">
        <v>2957342</v>
      </c>
      <c r="D88" s="174">
        <v>1450106</v>
      </c>
      <c r="E88" s="171">
        <f t="shared" si="26"/>
        <v>49.034098863100716</v>
      </c>
      <c r="F88" s="171">
        <f t="shared" si="27"/>
        <v>49.034098863100716</v>
      </c>
      <c r="G88" s="177">
        <v>125160</v>
      </c>
      <c r="H88" s="113" t="s">
        <v>258</v>
      </c>
      <c r="I88" s="174">
        <f aca="true" t="shared" si="33" ref="I88:K89">ROUND(B88/1000,0)</f>
        <v>2957</v>
      </c>
      <c r="J88" s="174">
        <f t="shared" si="33"/>
        <v>2957</v>
      </c>
      <c r="K88" s="174">
        <f>ROUND(D88/1000,0)</f>
        <v>1450</v>
      </c>
      <c r="L88" s="107">
        <f t="shared" si="30"/>
        <v>49.03618532296246</v>
      </c>
      <c r="M88" s="107">
        <f t="shared" si="31"/>
        <v>49.03618532296246</v>
      </c>
      <c r="N88" s="174">
        <f t="shared" si="32"/>
        <v>125</v>
      </c>
      <c r="O88" s="84" t="str">
        <f t="shared" si="24"/>
        <v>     Uzturēšanas izdevumi</v>
      </c>
      <c r="P88" s="169">
        <f t="shared" si="28"/>
        <v>1450</v>
      </c>
      <c r="Q88" s="169">
        <v>1325</v>
      </c>
      <c r="R88" s="169">
        <f t="shared" si="29"/>
        <v>125</v>
      </c>
      <c r="S88" s="30">
        <v>125</v>
      </c>
      <c r="V88" s="43">
        <f>S88</f>
        <v>125</v>
      </c>
    </row>
    <row r="89" spans="1:23" ht="12.75" customHeight="1">
      <c r="A89" s="113" t="s">
        <v>259</v>
      </c>
      <c r="B89" s="174">
        <v>4000</v>
      </c>
      <c r="C89" s="174">
        <v>4000</v>
      </c>
      <c r="D89" s="174">
        <v>4000</v>
      </c>
      <c r="E89" s="171">
        <f t="shared" si="26"/>
        <v>100</v>
      </c>
      <c r="F89" s="171">
        <f t="shared" si="27"/>
        <v>100</v>
      </c>
      <c r="G89" s="177">
        <f>D89-'[4]Novembris'!D89</f>
        <v>0</v>
      </c>
      <c r="H89" s="113" t="s">
        <v>259</v>
      </c>
      <c r="I89" s="174">
        <f t="shared" si="33"/>
        <v>4</v>
      </c>
      <c r="J89" s="174">
        <f t="shared" si="33"/>
        <v>4</v>
      </c>
      <c r="K89" s="174">
        <f t="shared" si="33"/>
        <v>4</v>
      </c>
      <c r="L89" s="107">
        <f t="shared" si="30"/>
        <v>100</v>
      </c>
      <c r="M89" s="107">
        <f t="shared" si="31"/>
        <v>100</v>
      </c>
      <c r="N89" s="174">
        <f t="shared" si="32"/>
        <v>0</v>
      </c>
      <c r="O89" s="84" t="str">
        <f t="shared" si="24"/>
        <v>     Izdevumi kapitālieguldījumiem</v>
      </c>
      <c r="P89" s="169">
        <f t="shared" si="28"/>
        <v>4</v>
      </c>
      <c r="Q89" s="169">
        <v>4</v>
      </c>
      <c r="R89" s="169">
        <f t="shared" si="29"/>
        <v>0</v>
      </c>
      <c r="S89" s="30">
        <v>0</v>
      </c>
      <c r="W89" s="43">
        <f>S89</f>
        <v>0</v>
      </c>
    </row>
    <row r="90" spans="1:19" ht="40.5" customHeight="1">
      <c r="A90" s="136" t="s">
        <v>289</v>
      </c>
      <c r="B90" s="173">
        <f>SUM(B91:B92)</f>
        <v>3311788</v>
      </c>
      <c r="C90" s="173">
        <f>SUM(C91:C92)</f>
        <v>3311788</v>
      </c>
      <c r="D90" s="178">
        <f>SUM(D91:D92)</f>
        <v>1857784</v>
      </c>
      <c r="E90" s="168">
        <f t="shared" si="26"/>
        <v>56.096102769863286</v>
      </c>
      <c r="F90" s="168">
        <f t="shared" si="27"/>
        <v>56.096102769863286</v>
      </c>
      <c r="G90" s="178">
        <f>SUM(G91:G92)</f>
        <v>526455.88</v>
      </c>
      <c r="H90" s="136" t="s">
        <v>290</v>
      </c>
      <c r="I90" s="173">
        <f>SUM(I91:I92)</f>
        <v>3312</v>
      </c>
      <c r="J90" s="173">
        <f>SUM(J91:J92)</f>
        <v>3312</v>
      </c>
      <c r="K90" s="173">
        <f>SUM(K91:K92)</f>
        <v>1858</v>
      </c>
      <c r="L90" s="98">
        <f t="shared" si="30"/>
        <v>56.09903381642513</v>
      </c>
      <c r="M90" s="98">
        <f t="shared" si="31"/>
        <v>56.09903381642513</v>
      </c>
      <c r="N90" s="173">
        <f>ROUND(G90/1000,0)+1</f>
        <v>527</v>
      </c>
      <c r="O90" s="84" t="str">
        <f t="shared" si="24"/>
        <v>Īpašu uzdevumu ministra valsts pārvaldes  un  pašvaldību  reformas jautājumos  sekretariāts</v>
      </c>
      <c r="P90" s="169">
        <f t="shared" si="28"/>
        <v>1858</v>
      </c>
      <c r="Q90" s="169">
        <v>1331</v>
      </c>
      <c r="R90" s="169">
        <f t="shared" si="29"/>
        <v>527</v>
      </c>
      <c r="S90" s="30">
        <v>527</v>
      </c>
    </row>
    <row r="91" spans="1:22" ht="12.75" customHeight="1">
      <c r="A91" s="113" t="s">
        <v>258</v>
      </c>
      <c r="B91" s="174">
        <v>3038031</v>
      </c>
      <c r="C91" s="174">
        <v>3038031</v>
      </c>
      <c r="D91" s="174">
        <v>1584041</v>
      </c>
      <c r="E91" s="171">
        <f t="shared" si="26"/>
        <v>52.140383030982896</v>
      </c>
      <c r="F91" s="171">
        <f t="shared" si="27"/>
        <v>52.140383030982896</v>
      </c>
      <c r="G91" s="177">
        <v>269551.83</v>
      </c>
      <c r="H91" s="113" t="s">
        <v>258</v>
      </c>
      <c r="I91" s="174">
        <f aca="true" t="shared" si="34" ref="I91:K92">ROUND(B91/1000,0)</f>
        <v>3038</v>
      </c>
      <c r="J91" s="174">
        <f t="shared" si="34"/>
        <v>3038</v>
      </c>
      <c r="K91" s="174">
        <f>ROUND(D91/1000,0)</f>
        <v>1584</v>
      </c>
      <c r="L91" s="107">
        <f t="shared" si="30"/>
        <v>52.1395655036208</v>
      </c>
      <c r="M91" s="107">
        <f t="shared" si="31"/>
        <v>52.1395655036208</v>
      </c>
      <c r="N91" s="174">
        <f t="shared" si="32"/>
        <v>270</v>
      </c>
      <c r="O91" s="84" t="str">
        <f t="shared" si="24"/>
        <v>     Uzturēšanas izdevumi</v>
      </c>
      <c r="P91" s="169">
        <f t="shared" si="28"/>
        <v>1584</v>
      </c>
      <c r="Q91" s="169">
        <v>1314</v>
      </c>
      <c r="R91" s="169">
        <f t="shared" si="29"/>
        <v>270</v>
      </c>
      <c r="S91" s="30">
        <v>270</v>
      </c>
      <c r="V91" s="43">
        <f>S91</f>
        <v>270</v>
      </c>
    </row>
    <row r="92" spans="1:23" ht="12.75" customHeight="1">
      <c r="A92" s="113" t="s">
        <v>259</v>
      </c>
      <c r="B92" s="174">
        <v>273757</v>
      </c>
      <c r="C92" s="174">
        <v>273757</v>
      </c>
      <c r="D92" s="174">
        <v>273743</v>
      </c>
      <c r="E92" s="171">
        <f t="shared" si="26"/>
        <v>99.99488597551843</v>
      </c>
      <c r="F92" s="171">
        <f t="shared" si="27"/>
        <v>99.99488597551843</v>
      </c>
      <c r="G92" s="177">
        <v>256904.05</v>
      </c>
      <c r="H92" s="113" t="s">
        <v>259</v>
      </c>
      <c r="I92" s="174">
        <f t="shared" si="34"/>
        <v>274</v>
      </c>
      <c r="J92" s="174">
        <f>ROUND(C92/1000,0)</f>
        <v>274</v>
      </c>
      <c r="K92" s="174">
        <f t="shared" si="34"/>
        <v>274</v>
      </c>
      <c r="L92" s="107">
        <f t="shared" si="30"/>
        <v>100</v>
      </c>
      <c r="M92" s="107">
        <f t="shared" si="31"/>
        <v>100</v>
      </c>
      <c r="N92" s="174">
        <f t="shared" si="32"/>
        <v>257</v>
      </c>
      <c r="O92" s="84" t="str">
        <f t="shared" si="24"/>
        <v>     Izdevumi kapitālieguldījumiem</v>
      </c>
      <c r="P92" s="169">
        <f t="shared" si="28"/>
        <v>274</v>
      </c>
      <c r="Q92" s="169">
        <v>17</v>
      </c>
      <c r="R92" s="169">
        <f t="shared" si="29"/>
        <v>257</v>
      </c>
      <c r="S92" s="30">
        <v>257</v>
      </c>
      <c r="W92" s="43">
        <f>S92</f>
        <v>257</v>
      </c>
    </row>
    <row r="93" spans="1:19" ht="12.75" customHeight="1">
      <c r="A93" s="70" t="s">
        <v>291</v>
      </c>
      <c r="B93" s="173">
        <f>SUM(B94:B95)</f>
        <v>102584335</v>
      </c>
      <c r="C93" s="173">
        <f>SUM(C94:C95)</f>
        <v>102584335</v>
      </c>
      <c r="D93" s="173">
        <f>SUM(D94:D95)</f>
        <v>102571620</v>
      </c>
      <c r="E93" s="168">
        <f t="shared" si="26"/>
        <v>99.98760532005203</v>
      </c>
      <c r="F93" s="168">
        <f t="shared" si="27"/>
        <v>99.98760532005203</v>
      </c>
      <c r="G93" s="178">
        <f>SUM(G94:G95)</f>
        <v>10907897.76</v>
      </c>
      <c r="H93" s="70" t="s">
        <v>291</v>
      </c>
      <c r="I93" s="173">
        <f>SUM(I94:I95)</f>
        <v>102585</v>
      </c>
      <c r="J93" s="173">
        <f>SUM(J94:J95)</f>
        <v>102585</v>
      </c>
      <c r="K93" s="173">
        <f>SUM(K94:K95)</f>
        <v>102572</v>
      </c>
      <c r="L93" s="98">
        <f t="shared" si="30"/>
        <v>99.98732758200516</v>
      </c>
      <c r="M93" s="98">
        <f t="shared" si="31"/>
        <v>99.98732758200516</v>
      </c>
      <c r="N93" s="173">
        <f t="shared" si="32"/>
        <v>10908</v>
      </c>
      <c r="O93" s="84" t="str">
        <f t="shared" si="24"/>
        <v>Mērķdotācijas pašvaldībām</v>
      </c>
      <c r="P93" s="169">
        <f t="shared" si="28"/>
        <v>102572</v>
      </c>
      <c r="Q93" s="169">
        <v>91664</v>
      </c>
      <c r="R93" s="169">
        <f t="shared" si="29"/>
        <v>10908</v>
      </c>
      <c r="S93" s="30">
        <v>10908</v>
      </c>
    </row>
    <row r="94" spans="1:22" ht="12.75" customHeight="1">
      <c r="A94" s="113" t="s">
        <v>258</v>
      </c>
      <c r="B94" s="174">
        <v>91869612</v>
      </c>
      <c r="C94" s="174">
        <v>91869612</v>
      </c>
      <c r="D94" s="174">
        <v>91869612</v>
      </c>
      <c r="E94" s="171">
        <f t="shared" si="26"/>
        <v>100</v>
      </c>
      <c r="F94" s="171">
        <f t="shared" si="27"/>
        <v>100</v>
      </c>
      <c r="G94" s="177">
        <v>8312745</v>
      </c>
      <c r="H94" s="113" t="s">
        <v>258</v>
      </c>
      <c r="I94" s="174">
        <f aca="true" t="shared" si="35" ref="I94:K95">ROUND(B94/1000,0)</f>
        <v>91870</v>
      </c>
      <c r="J94" s="174">
        <f t="shared" si="35"/>
        <v>91870</v>
      </c>
      <c r="K94" s="174">
        <f t="shared" si="35"/>
        <v>91870</v>
      </c>
      <c r="L94" s="107">
        <f t="shared" si="30"/>
        <v>100</v>
      </c>
      <c r="M94" s="107">
        <f t="shared" si="31"/>
        <v>100</v>
      </c>
      <c r="N94" s="174">
        <f t="shared" si="32"/>
        <v>8313</v>
      </c>
      <c r="O94" s="84" t="str">
        <f t="shared" si="24"/>
        <v>     Uzturēšanas izdevumi</v>
      </c>
      <c r="P94" s="169">
        <f t="shared" si="28"/>
        <v>91870</v>
      </c>
      <c r="Q94" s="169">
        <v>83557</v>
      </c>
      <c r="R94" s="169">
        <f t="shared" si="29"/>
        <v>8313</v>
      </c>
      <c r="S94" s="30">
        <v>8313</v>
      </c>
      <c r="V94" s="43">
        <f>S94</f>
        <v>8313</v>
      </c>
    </row>
    <row r="95" spans="1:23" ht="12.75" customHeight="1">
      <c r="A95" s="113" t="s">
        <v>259</v>
      </c>
      <c r="B95" s="174">
        <v>10714723</v>
      </c>
      <c r="C95" s="174">
        <v>10714723</v>
      </c>
      <c r="D95" s="174">
        <v>10702008</v>
      </c>
      <c r="E95" s="171">
        <f t="shared" si="26"/>
        <v>99.88133150992331</v>
      </c>
      <c r="F95" s="171">
        <f t="shared" si="27"/>
        <v>99.88133150992331</v>
      </c>
      <c r="G95" s="177">
        <v>2595152.76</v>
      </c>
      <c r="H95" s="113" t="s">
        <v>259</v>
      </c>
      <c r="I95" s="174">
        <f t="shared" si="35"/>
        <v>10715</v>
      </c>
      <c r="J95" s="174">
        <f>ROUND(C95/1000,0)</f>
        <v>10715</v>
      </c>
      <c r="K95" s="174">
        <f>ROUND(D95/1000,0)</f>
        <v>10702</v>
      </c>
      <c r="L95" s="107">
        <f t="shared" si="30"/>
        <v>99.87867475501633</v>
      </c>
      <c r="M95" s="107">
        <f t="shared" si="31"/>
        <v>99.87867475501633</v>
      </c>
      <c r="N95" s="174">
        <f t="shared" si="32"/>
        <v>2595</v>
      </c>
      <c r="O95" s="84" t="str">
        <f t="shared" si="24"/>
        <v>     Izdevumi kapitālieguldījumiem</v>
      </c>
      <c r="P95" s="169">
        <f t="shared" si="28"/>
        <v>10702</v>
      </c>
      <c r="Q95" s="169">
        <v>8107</v>
      </c>
      <c r="R95" s="169">
        <f t="shared" si="29"/>
        <v>2595</v>
      </c>
      <c r="S95" s="30">
        <v>2595</v>
      </c>
      <c r="W95" s="43">
        <f>S95</f>
        <v>2595</v>
      </c>
    </row>
    <row r="96" spans="1:19" ht="12.75" customHeight="1">
      <c r="A96" s="70" t="s">
        <v>292</v>
      </c>
      <c r="B96" s="173">
        <f>SUM(B97)</f>
        <v>7134173</v>
      </c>
      <c r="C96" s="173">
        <f>SUM(C97)</f>
        <v>7134173</v>
      </c>
      <c r="D96" s="173">
        <f>SUM(D97)</f>
        <v>7076569</v>
      </c>
      <c r="E96" s="168">
        <f t="shared" si="26"/>
        <v>99.19256233343374</v>
      </c>
      <c r="F96" s="168">
        <f t="shared" si="27"/>
        <v>99.19256233343374</v>
      </c>
      <c r="G96" s="178">
        <f>SUM(G97:G98)</f>
        <v>548808</v>
      </c>
      <c r="H96" s="70" t="s">
        <v>292</v>
      </c>
      <c r="I96" s="173">
        <f>SUM(I97)</f>
        <v>7134</v>
      </c>
      <c r="J96" s="173">
        <f>SUM(J97)</f>
        <v>7134</v>
      </c>
      <c r="K96" s="173">
        <f>SUM(K97)</f>
        <v>7077</v>
      </c>
      <c r="L96" s="98">
        <f t="shared" si="30"/>
        <v>99.20100925147183</v>
      </c>
      <c r="M96" s="98">
        <f t="shared" si="31"/>
        <v>99.20100925147183</v>
      </c>
      <c r="N96" s="173">
        <f t="shared" si="32"/>
        <v>549</v>
      </c>
      <c r="O96" s="84" t="str">
        <f t="shared" si="24"/>
        <v>Dotācija pašvaldībām</v>
      </c>
      <c r="P96" s="169">
        <f t="shared" si="28"/>
        <v>7077</v>
      </c>
      <c r="Q96" s="169">
        <v>6528</v>
      </c>
      <c r="R96" s="169">
        <f t="shared" si="29"/>
        <v>549</v>
      </c>
      <c r="S96" s="30">
        <v>549</v>
      </c>
    </row>
    <row r="97" spans="1:22" ht="12.75" customHeight="1">
      <c r="A97" s="62" t="s">
        <v>258</v>
      </c>
      <c r="B97" s="174">
        <v>7134173</v>
      </c>
      <c r="C97" s="174">
        <v>7134173</v>
      </c>
      <c r="D97" s="174">
        <v>7076569</v>
      </c>
      <c r="E97" s="171">
        <f t="shared" si="26"/>
        <v>99.19256233343374</v>
      </c>
      <c r="F97" s="171">
        <f t="shared" si="27"/>
        <v>99.19256233343374</v>
      </c>
      <c r="G97" s="177">
        <v>548808</v>
      </c>
      <c r="H97" s="62" t="s">
        <v>258</v>
      </c>
      <c r="I97" s="174">
        <f>ROUND(B97/1000,0)</f>
        <v>7134</v>
      </c>
      <c r="J97" s="174">
        <f>ROUND(C97/1000,0)</f>
        <v>7134</v>
      </c>
      <c r="K97" s="174">
        <f>ROUND(D97/1000,0)</f>
        <v>7077</v>
      </c>
      <c r="L97" s="107">
        <f t="shared" si="30"/>
        <v>99.20100925147183</v>
      </c>
      <c r="M97" s="107">
        <f t="shared" si="31"/>
        <v>99.20100925147183</v>
      </c>
      <c r="N97" s="174">
        <f t="shared" si="32"/>
        <v>549</v>
      </c>
      <c r="O97" s="84" t="str">
        <f t="shared" si="24"/>
        <v>     Uzturēšanas izdevumi</v>
      </c>
      <c r="P97" s="169">
        <f t="shared" si="28"/>
        <v>7077</v>
      </c>
      <c r="Q97" s="169">
        <v>6528</v>
      </c>
      <c r="R97" s="169">
        <f t="shared" si="29"/>
        <v>549</v>
      </c>
      <c r="S97" s="30">
        <v>549</v>
      </c>
      <c r="V97" s="43">
        <f>S97</f>
        <v>549</v>
      </c>
    </row>
    <row r="98" spans="1:18" ht="12" customHeight="1">
      <c r="A98" s="181"/>
      <c r="B98" s="182"/>
      <c r="C98" s="182"/>
      <c r="D98" s="182"/>
      <c r="E98" s="183"/>
      <c r="F98" s="183"/>
      <c r="G98" s="43">
        <f>D98-'[4]Septembris'!D98</f>
        <v>0</v>
      </c>
      <c r="H98" s="181"/>
      <c r="I98" s="182"/>
      <c r="J98" s="182"/>
      <c r="K98" s="182"/>
      <c r="L98" s="184"/>
      <c r="M98" s="184"/>
      <c r="P98" s="43"/>
      <c r="Q98" s="43"/>
      <c r="R98" s="43"/>
    </row>
    <row r="99" spans="1:23" ht="12" customHeight="1">
      <c r="A99" s="181"/>
      <c r="B99" s="182"/>
      <c r="C99" s="182"/>
      <c r="D99" s="182"/>
      <c r="E99" s="185"/>
      <c r="F99" s="186"/>
      <c r="H99" s="32"/>
      <c r="I99" s="35"/>
      <c r="J99" s="34"/>
      <c r="K99" s="187"/>
      <c r="L99" s="188"/>
      <c r="M99" s="189"/>
      <c r="P99" s="43"/>
      <c r="Q99" s="43"/>
      <c r="R99" s="43"/>
      <c r="V99" s="43">
        <f>SUM(V17:V98)</f>
        <v>72268</v>
      </c>
      <c r="W99" s="43">
        <f>SUM(W17:W98)</f>
        <v>14298</v>
      </c>
    </row>
    <row r="100" spans="1:18" ht="12" customHeight="1">
      <c r="A100" s="32" t="s">
        <v>293</v>
      </c>
      <c r="B100" s="35"/>
      <c r="C100" s="34"/>
      <c r="D100" s="187"/>
      <c r="E100" s="187"/>
      <c r="F100" s="190"/>
      <c r="L100" s="191"/>
      <c r="M100" s="191"/>
      <c r="P100" s="43"/>
      <c r="Q100" s="43"/>
      <c r="R100" s="43"/>
    </row>
    <row r="101" spans="2:18" ht="12" customHeight="1">
      <c r="B101" s="31"/>
      <c r="C101" s="30" t="s">
        <v>294</v>
      </c>
      <c r="D101" s="30"/>
      <c r="E101" s="155"/>
      <c r="F101" s="192"/>
      <c r="I101" s="32"/>
      <c r="J101" s="35"/>
      <c r="K101" s="34"/>
      <c r="L101" s="187"/>
      <c r="M101" s="187"/>
      <c r="N101" s="192"/>
      <c r="P101" s="43"/>
      <c r="Q101" s="43"/>
      <c r="R101" s="43"/>
    </row>
    <row r="102" spans="2:18" ht="12" customHeight="1">
      <c r="B102" s="31"/>
      <c r="C102" s="30"/>
      <c r="D102" s="30"/>
      <c r="E102" s="155"/>
      <c r="F102" s="192"/>
      <c r="H102" s="43" t="s">
        <v>295</v>
      </c>
      <c r="I102" s="29"/>
      <c r="J102" s="79"/>
      <c r="K102" s="30"/>
      <c r="M102" s="187"/>
      <c r="P102" s="43"/>
      <c r="Q102" s="43"/>
      <c r="R102" s="43"/>
    </row>
    <row r="103" spans="2:20" ht="12" customHeight="1">
      <c r="B103" s="31"/>
      <c r="C103" s="30"/>
      <c r="D103" s="30"/>
      <c r="E103" s="155"/>
      <c r="F103" s="192"/>
      <c r="M103" s="187"/>
      <c r="P103" s="43"/>
      <c r="Q103" s="43"/>
      <c r="R103" s="43"/>
      <c r="T103" s="155"/>
    </row>
    <row r="104" spans="2:18" ht="12" customHeight="1">
      <c r="B104" s="31"/>
      <c r="C104" s="30"/>
      <c r="D104" s="30"/>
      <c r="E104" s="155"/>
      <c r="F104" s="192"/>
      <c r="J104" s="30"/>
      <c r="K104" s="30"/>
      <c r="L104" s="155"/>
      <c r="M104" s="187"/>
      <c r="P104" s="43"/>
      <c r="Q104" s="43"/>
      <c r="R104" s="43"/>
    </row>
    <row r="105" spans="13:18" ht="12.75">
      <c r="M105" s="187"/>
      <c r="P105" s="43"/>
      <c r="Q105" s="43"/>
      <c r="R105" s="43"/>
    </row>
    <row r="106" spans="3:18" ht="12.75">
      <c r="C106" s="30"/>
      <c r="D106" s="30"/>
      <c r="P106" s="43"/>
      <c r="Q106" s="43"/>
      <c r="R106" s="43"/>
    </row>
    <row r="107" spans="16:18" ht="12.75">
      <c r="P107" s="43"/>
      <c r="Q107" s="43"/>
      <c r="R107" s="43"/>
    </row>
    <row r="108" spans="16:18" ht="12.75">
      <c r="P108" s="43"/>
      <c r="Q108" s="43"/>
      <c r="R108" s="43"/>
    </row>
    <row r="109" spans="16:18" ht="12.75">
      <c r="P109" s="43"/>
      <c r="Q109" s="43"/>
      <c r="R109" s="43"/>
    </row>
    <row r="110" spans="1:18" ht="12.75">
      <c r="A110" s="2" t="s">
        <v>178</v>
      </c>
      <c r="B110" s="2"/>
      <c r="P110" s="43"/>
      <c r="Q110" s="43"/>
      <c r="R110" s="43"/>
    </row>
    <row r="111" spans="1:18" ht="12.75">
      <c r="A111" s="2" t="s">
        <v>296</v>
      </c>
      <c r="B111" s="2"/>
      <c r="P111" s="43"/>
      <c r="Q111" s="43"/>
      <c r="R111" s="43"/>
    </row>
    <row r="112" spans="16:18" ht="12.75">
      <c r="P112" s="43"/>
      <c r="Q112" s="43"/>
      <c r="R112" s="43"/>
    </row>
    <row r="113" spans="16:18" ht="12.75">
      <c r="P113" s="43"/>
      <c r="Q113" s="43"/>
      <c r="R113" s="43"/>
    </row>
    <row r="114" spans="16:18" ht="12.75">
      <c r="P114" s="43"/>
      <c r="Q114" s="43"/>
      <c r="R114" s="43"/>
    </row>
    <row r="115" spans="3:18" ht="12.75">
      <c r="C115" s="30"/>
      <c r="D115" s="30"/>
      <c r="P115" s="43"/>
      <c r="Q115" s="43"/>
      <c r="R115" s="43"/>
    </row>
    <row r="116" spans="3:18" ht="12.75">
      <c r="C116" s="30"/>
      <c r="D116" s="30"/>
      <c r="P116" s="43"/>
      <c r="Q116" s="43"/>
      <c r="R116" s="43"/>
    </row>
    <row r="142" ht="12.75">
      <c r="H142" s="39" t="s">
        <v>178</v>
      </c>
    </row>
    <row r="143" ht="12.75">
      <c r="H143" s="39" t="s">
        <v>100</v>
      </c>
    </row>
  </sheetData>
  <mergeCells count="5">
    <mergeCell ref="H9:M9"/>
    <mergeCell ref="A5:F5"/>
    <mergeCell ref="H5:M5"/>
    <mergeCell ref="A6:F6"/>
    <mergeCell ref="H6:M6"/>
  </mergeCells>
  <printOptions/>
  <pageMargins left="0.45" right="0.19" top="1" bottom="1" header="0.5" footer="0.5"/>
  <pageSetup horizontalDpi="300" verticalDpi="300" orientation="portrait" paperSize="9" r:id="rId1"/>
  <rowBreaks count="2" manualBreakCount="2">
    <brk id="45" max="255" man="1"/>
    <brk id="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75"/>
  <sheetViews>
    <sheetView workbookViewId="0" topLeftCell="H1">
      <selection activeCell="A5" sqref="A5"/>
    </sheetView>
  </sheetViews>
  <sheetFormatPr defaultColWidth="9.140625" defaultRowHeight="12.75"/>
  <cols>
    <col min="1" max="1" width="38.00390625" style="43" hidden="1" customWidth="1"/>
    <col min="2" max="2" width="15.00390625" style="43" hidden="1" customWidth="1"/>
    <col min="3" max="3" width="12.7109375" style="43" hidden="1" customWidth="1"/>
    <col min="4" max="4" width="14.140625" style="193" hidden="1" customWidth="1"/>
    <col min="5" max="5" width="10.28125" style="0" hidden="1" customWidth="1"/>
    <col min="6" max="6" width="13.8515625" style="0" hidden="1" customWidth="1"/>
    <col min="7" max="7" width="13.140625" style="194" hidden="1" customWidth="1"/>
    <col min="8" max="8" width="35.421875" style="0" customWidth="1"/>
    <col min="9" max="9" width="11.28125" style="0" customWidth="1"/>
    <col min="10" max="10" width="12.140625" style="195" customWidth="1"/>
    <col min="11" max="11" width="8.28125" style="195" customWidth="1"/>
    <col min="12" max="12" width="6.140625" style="0" customWidth="1"/>
    <col min="13" max="13" width="10.421875" style="0" customWidth="1"/>
    <col min="15" max="15" width="42.28125" style="0" hidden="1" customWidth="1"/>
    <col min="16" max="19" width="9.140625" style="0" hidden="1" customWidth="1"/>
  </cols>
  <sheetData>
    <row r="2" spans="1:14" ht="12.75">
      <c r="A2" s="32" t="s">
        <v>297</v>
      </c>
      <c r="B2" s="32"/>
      <c r="C2" s="32"/>
      <c r="F2" t="s">
        <v>298</v>
      </c>
      <c r="I2" s="32" t="s">
        <v>299</v>
      </c>
      <c r="K2" s="32"/>
      <c r="N2" t="s">
        <v>298</v>
      </c>
    </row>
    <row r="3" spans="1:11" ht="12.75">
      <c r="A3" s="81"/>
      <c r="J3" s="81"/>
      <c r="K3" s="43"/>
    </row>
    <row r="4" spans="1:11" ht="12.75">
      <c r="A4" s="82" t="s">
        <v>300</v>
      </c>
      <c r="B4" s="32"/>
      <c r="C4" s="32"/>
      <c r="I4" s="82" t="s">
        <v>300</v>
      </c>
      <c r="K4" s="32"/>
    </row>
    <row r="5" spans="1:11" ht="12.75">
      <c r="A5" s="82" t="s">
        <v>301</v>
      </c>
      <c r="B5" s="32"/>
      <c r="C5" s="32"/>
      <c r="I5" s="82" t="s">
        <v>301</v>
      </c>
      <c r="K5" s="32"/>
    </row>
    <row r="6" spans="1:11" ht="12.75">
      <c r="A6" s="82" t="s">
        <v>302</v>
      </c>
      <c r="B6" s="32"/>
      <c r="C6" s="32"/>
      <c r="I6" s="82" t="s">
        <v>302</v>
      </c>
      <c r="K6" s="32"/>
    </row>
    <row r="7" spans="1:14" ht="12.75">
      <c r="A7" s="82"/>
      <c r="B7" s="32"/>
      <c r="C7" s="32"/>
      <c r="H7" s="39"/>
      <c r="J7" s="82"/>
      <c r="K7" s="32"/>
      <c r="N7" s="39" t="s">
        <v>105</v>
      </c>
    </row>
    <row r="8" spans="1:17" s="2" customFormat="1" ht="83.25" customHeight="1">
      <c r="A8" s="86" t="s">
        <v>59</v>
      </c>
      <c r="B8" s="86" t="s">
        <v>106</v>
      </c>
      <c r="C8" s="61" t="s">
        <v>303</v>
      </c>
      <c r="D8" s="196" t="s">
        <v>107</v>
      </c>
      <c r="E8" s="61" t="s">
        <v>304</v>
      </c>
      <c r="F8" s="197" t="s">
        <v>305</v>
      </c>
      <c r="G8" s="198" t="s">
        <v>306</v>
      </c>
      <c r="H8" s="86" t="s">
        <v>59</v>
      </c>
      <c r="I8" s="86" t="s">
        <v>106</v>
      </c>
      <c r="J8" s="86" t="s">
        <v>303</v>
      </c>
      <c r="K8" s="86" t="s">
        <v>107</v>
      </c>
      <c r="L8" s="86" t="s">
        <v>304</v>
      </c>
      <c r="M8" s="86" t="s">
        <v>307</v>
      </c>
      <c r="N8" s="198" t="s">
        <v>306</v>
      </c>
      <c r="O8" s="86" t="s">
        <v>59</v>
      </c>
      <c r="P8" s="2" t="s">
        <v>186</v>
      </c>
      <c r="Q8" s="2" t="s">
        <v>308</v>
      </c>
    </row>
    <row r="9" spans="1:15" s="2" customFormat="1" ht="15" customHeight="1">
      <c r="A9" s="86">
        <v>1</v>
      </c>
      <c r="B9" s="86">
        <v>2</v>
      </c>
      <c r="C9" s="110">
        <v>3</v>
      </c>
      <c r="D9" s="199">
        <v>4</v>
      </c>
      <c r="E9" s="60">
        <v>5</v>
      </c>
      <c r="F9" s="60">
        <v>6</v>
      </c>
      <c r="G9" s="200">
        <v>7</v>
      </c>
      <c r="H9" s="86">
        <v>1</v>
      </c>
      <c r="I9" s="86">
        <v>2</v>
      </c>
      <c r="J9" s="86">
        <v>3</v>
      </c>
      <c r="K9" s="86">
        <v>4</v>
      </c>
      <c r="L9" s="86">
        <v>5</v>
      </c>
      <c r="M9" s="86">
        <v>6</v>
      </c>
      <c r="N9" s="86">
        <v>7</v>
      </c>
      <c r="O9" s="86">
        <v>1</v>
      </c>
    </row>
    <row r="10" spans="1:19" ht="15" customHeight="1">
      <c r="A10" s="53" t="s">
        <v>309</v>
      </c>
      <c r="B10" s="201">
        <v>706682046</v>
      </c>
      <c r="C10" s="201">
        <v>706682046</v>
      </c>
      <c r="D10" s="202"/>
      <c r="E10" s="203">
        <f>IF(ISERROR(D10/B10)," ",(D10/B10))*100</f>
        <v>0</v>
      </c>
      <c r="F10" s="204"/>
      <c r="G10" s="205"/>
      <c r="H10" s="70" t="s">
        <v>309</v>
      </c>
      <c r="I10" s="206">
        <f>ROUND(B10/1000,0)</f>
        <v>706682</v>
      </c>
      <c r="J10" s="207">
        <f>ROUND(C10/1000,0)</f>
        <v>706682</v>
      </c>
      <c r="K10" s="207">
        <v>681441</v>
      </c>
      <c r="L10" s="98">
        <f>IF(ISERROR(K10/I10)," ",(K10/I10))*100</f>
        <v>96.42823787785737</v>
      </c>
      <c r="M10" s="102">
        <f>IF(ISERROR(K10/J10)," ",(K10/J10))*100</f>
        <v>96.42823787785737</v>
      </c>
      <c r="N10" s="116">
        <v>62695</v>
      </c>
      <c r="O10" s="70" t="s">
        <v>309</v>
      </c>
      <c r="P10" s="207"/>
      <c r="Q10">
        <v>618745</v>
      </c>
      <c r="S10" s="208">
        <f>P10-Q10</f>
        <v>-618745</v>
      </c>
    </row>
    <row r="11" spans="1:19" ht="15" customHeight="1">
      <c r="A11" s="209" t="s">
        <v>310</v>
      </c>
      <c r="B11" s="210">
        <v>774357367</v>
      </c>
      <c r="C11" s="210">
        <v>774357367</v>
      </c>
      <c r="D11" s="202">
        <f>SUM(D12:D15)</f>
        <v>752087204</v>
      </c>
      <c r="E11" s="203">
        <f>IF(ISERROR(D11/B11)," ",(D11/B11))*100</f>
        <v>97.12404582831327</v>
      </c>
      <c r="F11" s="203">
        <f>IF(ISERROR(D11/C11)," ",(D11/C11))*100</f>
        <v>97.12404582831327</v>
      </c>
      <c r="G11" s="205">
        <f>SUM(G12:G15)</f>
        <v>68235671</v>
      </c>
      <c r="H11" s="62" t="s">
        <v>310</v>
      </c>
      <c r="I11" s="211">
        <f aca="true" t="shared" si="0" ref="I11:J23">ROUND(B11/1000,0)</f>
        <v>774357</v>
      </c>
      <c r="J11" s="212">
        <f t="shared" si="0"/>
        <v>774357</v>
      </c>
      <c r="K11" s="213">
        <f>K12+K13+K14+K15</f>
        <v>752087</v>
      </c>
      <c r="L11" s="107">
        <f>IF(ISERROR(K11/I11)," ",(K11/I11))*100</f>
        <v>97.12406551500148</v>
      </c>
      <c r="M11" s="203">
        <f>IF(ISERROR(K11/J11)," ",(K11/J11))*100</f>
        <v>97.12406551500148</v>
      </c>
      <c r="N11" s="214">
        <f>N12+N13+N14+N15</f>
        <v>68236</v>
      </c>
      <c r="O11" s="62" t="s">
        <v>310</v>
      </c>
      <c r="P11" s="213"/>
      <c r="Q11">
        <v>683851</v>
      </c>
      <c r="S11" s="208">
        <f aca="true" t="shared" si="1" ref="S11:S54">P11-Q11</f>
        <v>-683851</v>
      </c>
    </row>
    <row r="12" spans="1:19" ht="16.5" customHeight="1">
      <c r="A12" s="61" t="s">
        <v>311</v>
      </c>
      <c r="B12" s="104">
        <v>681702603</v>
      </c>
      <c r="C12" s="104">
        <v>681702603</v>
      </c>
      <c r="D12" s="104">
        <v>681702603</v>
      </c>
      <c r="E12" s="203">
        <f aca="true" t="shared" si="2" ref="E12:E19">IF(ISERROR(D12/B12)," ",(D12/B12))*100</f>
        <v>100</v>
      </c>
      <c r="F12" s="204">
        <f>IF(ISERROR(D12/C12)," ",(D12/C12))*100</f>
        <v>100</v>
      </c>
      <c r="G12" s="205">
        <f>D12-'[5]Novembris'!D13</f>
        <v>58802346</v>
      </c>
      <c r="H12" s="62" t="s">
        <v>311</v>
      </c>
      <c r="I12" s="211">
        <f t="shared" si="0"/>
        <v>681703</v>
      </c>
      <c r="J12" s="212">
        <f t="shared" si="0"/>
        <v>681703</v>
      </c>
      <c r="K12" s="212">
        <f>ROUND(D12/1000,0)</f>
        <v>681703</v>
      </c>
      <c r="L12" s="107">
        <f>IF(ISERROR(K12/I12)," ",(K12/I12))*100</f>
        <v>100</v>
      </c>
      <c r="M12" s="204">
        <f>IF(ISERROR(K12/J12)," ",(K12/J12))*100</f>
        <v>100</v>
      </c>
      <c r="N12" s="214">
        <f>K12-'[5]Novembris'!K13</f>
        <v>58803</v>
      </c>
      <c r="O12" s="62" t="s">
        <v>311</v>
      </c>
      <c r="P12" s="212"/>
      <c r="Q12">
        <v>622900</v>
      </c>
      <c r="S12" s="208">
        <f t="shared" si="1"/>
        <v>-622900</v>
      </c>
    </row>
    <row r="13" spans="1:19" ht="15" customHeight="1">
      <c r="A13" s="61" t="s">
        <v>312</v>
      </c>
      <c r="B13" s="104">
        <v>1107301</v>
      </c>
      <c r="C13" s="104">
        <v>1107301</v>
      </c>
      <c r="D13" s="202">
        <v>759375</v>
      </c>
      <c r="E13" s="203">
        <f t="shared" si="2"/>
        <v>68.5789139538391</v>
      </c>
      <c r="F13" s="203">
        <f>IF(ISERROR(D13/C13)," ",(D13/C13))*100</f>
        <v>68.5789139538391</v>
      </c>
      <c r="G13" s="205">
        <f>D13-'[5]Novembris'!D14</f>
        <v>427568</v>
      </c>
      <c r="H13" s="62" t="s">
        <v>312</v>
      </c>
      <c r="I13" s="211">
        <f t="shared" si="0"/>
        <v>1107</v>
      </c>
      <c r="J13" s="212">
        <f t="shared" si="0"/>
        <v>1107</v>
      </c>
      <c r="K13" s="212">
        <f>ROUND(D13/1000,0)</f>
        <v>759</v>
      </c>
      <c r="L13" s="107">
        <f>IF(ISERROR(K13/I13)," ",(K13/I13))*100</f>
        <v>68.56368563685636</v>
      </c>
      <c r="M13" s="203">
        <f>IF(ISERROR(K13/J13)," ",(K13/J13))*100</f>
        <v>68.56368563685636</v>
      </c>
      <c r="N13" s="214">
        <f>K13-'[5]Novembris'!K14</f>
        <v>427</v>
      </c>
      <c r="O13" s="62" t="s">
        <v>312</v>
      </c>
      <c r="P13" s="212"/>
      <c r="Q13">
        <v>332</v>
      </c>
      <c r="S13" s="208">
        <f t="shared" si="1"/>
        <v>-332</v>
      </c>
    </row>
    <row r="14" spans="1:19" ht="24" customHeight="1">
      <c r="A14" s="61" t="s">
        <v>313</v>
      </c>
      <c r="B14" s="104">
        <v>61661269</v>
      </c>
      <c r="C14" s="104">
        <v>61661269</v>
      </c>
      <c r="D14" s="202">
        <v>55457801</v>
      </c>
      <c r="E14" s="203">
        <f t="shared" si="2"/>
        <v>89.93944156420135</v>
      </c>
      <c r="F14" s="203">
        <f aca="true" t="shared" si="3" ref="F14:F19">IF(ISERROR(D14/C14)," ",(D14/C14))*100</f>
        <v>89.93944156420135</v>
      </c>
      <c r="G14" s="205">
        <f>D14-'[5]Novembris'!D15</f>
        <v>4462335</v>
      </c>
      <c r="H14" s="62" t="s">
        <v>313</v>
      </c>
      <c r="I14" s="211">
        <f t="shared" si="0"/>
        <v>61661</v>
      </c>
      <c r="J14" s="212">
        <f t="shared" si="0"/>
        <v>61661</v>
      </c>
      <c r="K14" s="212">
        <f>ROUND(D14/1000,0)</f>
        <v>55458</v>
      </c>
      <c r="L14" s="107">
        <f aca="true" t="shared" si="4" ref="L14:L19">IF(ISERROR(K14/I14)," ",(K14/I14))*100</f>
        <v>89.94015666304472</v>
      </c>
      <c r="M14" s="203">
        <f aca="true" t="shared" si="5" ref="M14:M19">IF(ISERROR(K14/J14)," ",(K14/J14))*100</f>
        <v>89.94015666304472</v>
      </c>
      <c r="N14" s="214">
        <f>K14-'[5]Novembris'!K15</f>
        <v>4463</v>
      </c>
      <c r="O14" s="62" t="s">
        <v>313</v>
      </c>
      <c r="P14" s="212"/>
      <c r="Q14">
        <v>50995</v>
      </c>
      <c r="S14" s="208">
        <f t="shared" si="1"/>
        <v>-50995</v>
      </c>
    </row>
    <row r="15" spans="1:19" ht="15" customHeight="1">
      <c r="A15" s="209" t="s">
        <v>314</v>
      </c>
      <c r="B15" s="111">
        <v>29886194</v>
      </c>
      <c r="C15" s="111">
        <v>29886194</v>
      </c>
      <c r="D15" s="215">
        <v>14167425</v>
      </c>
      <c r="E15" s="203">
        <f t="shared" si="2"/>
        <v>47.404580857636134</v>
      </c>
      <c r="F15" s="203">
        <f t="shared" si="3"/>
        <v>47.404580857636134</v>
      </c>
      <c r="G15" s="205">
        <f>D15-'[5]Novembris'!D16</f>
        <v>4543422</v>
      </c>
      <c r="H15" s="62" t="s">
        <v>315</v>
      </c>
      <c r="I15" s="211">
        <f t="shared" si="0"/>
        <v>29886</v>
      </c>
      <c r="J15" s="212">
        <f t="shared" si="0"/>
        <v>29886</v>
      </c>
      <c r="K15" s="212">
        <f>ROUND(D15/1000,0)</f>
        <v>14167</v>
      </c>
      <c r="L15" s="107">
        <f t="shared" si="4"/>
        <v>47.40346650605635</v>
      </c>
      <c r="M15" s="203">
        <f t="shared" si="5"/>
        <v>47.40346650605635</v>
      </c>
      <c r="N15" s="214">
        <f>K15-'[5]Novembris'!K16</f>
        <v>4543</v>
      </c>
      <c r="O15" s="62" t="s">
        <v>315</v>
      </c>
      <c r="P15" s="212"/>
      <c r="Q15">
        <v>9624</v>
      </c>
      <c r="S15" s="208">
        <f t="shared" si="1"/>
        <v>-9624</v>
      </c>
    </row>
    <row r="16" spans="1:19" ht="15" customHeight="1">
      <c r="A16" s="53" t="s">
        <v>316</v>
      </c>
      <c r="B16" s="118">
        <v>776755242</v>
      </c>
      <c r="C16" s="118">
        <v>776755242</v>
      </c>
      <c r="D16" s="202">
        <f>SUM(D17,D40)-1</f>
        <v>752970177.06</v>
      </c>
      <c r="E16" s="203">
        <f t="shared" si="2"/>
        <v>96.93789450602766</v>
      </c>
      <c r="F16" s="203">
        <f t="shared" si="3"/>
        <v>96.93789450602766</v>
      </c>
      <c r="G16" s="205">
        <f>D16-'[5]Novembris'!D17</f>
        <v>86566939.05999994</v>
      </c>
      <c r="H16" s="70" t="s">
        <v>316</v>
      </c>
      <c r="I16" s="206">
        <f t="shared" si="0"/>
        <v>776755</v>
      </c>
      <c r="J16" s="207">
        <f t="shared" si="0"/>
        <v>776755</v>
      </c>
      <c r="K16" s="216">
        <f>SUM(K17,K40)</f>
        <v>752970</v>
      </c>
      <c r="L16" s="107">
        <f t="shared" si="4"/>
        <v>96.93790191244344</v>
      </c>
      <c r="M16" s="203">
        <f t="shared" si="5"/>
        <v>96.93790191244344</v>
      </c>
      <c r="N16" s="116">
        <f>K16-'[5]Novembris'!K17</f>
        <v>86567</v>
      </c>
      <c r="O16" s="70" t="s">
        <v>316</v>
      </c>
      <c r="P16" s="216"/>
      <c r="Q16">
        <v>666403</v>
      </c>
      <c r="S16" s="208">
        <f t="shared" si="1"/>
        <v>-666403</v>
      </c>
    </row>
    <row r="17" spans="1:19" ht="15" customHeight="1">
      <c r="A17" s="109" t="s">
        <v>317</v>
      </c>
      <c r="B17" s="201">
        <v>705633474</v>
      </c>
      <c r="C17" s="201">
        <v>705633474</v>
      </c>
      <c r="D17" s="202">
        <f>SUM(D18,D23,D27)</f>
        <v>687965817.06</v>
      </c>
      <c r="E17" s="203">
        <f t="shared" si="2"/>
        <v>97.496199147151</v>
      </c>
      <c r="F17" s="203">
        <f t="shared" si="3"/>
        <v>97.496199147151</v>
      </c>
      <c r="G17" s="205"/>
      <c r="H17" s="96" t="s">
        <v>317</v>
      </c>
      <c r="I17" s="206">
        <f t="shared" si="0"/>
        <v>705633</v>
      </c>
      <c r="J17" s="207">
        <f t="shared" si="0"/>
        <v>705633</v>
      </c>
      <c r="K17" s="216">
        <f>SUM(K18,K23,K27)</f>
        <v>687966</v>
      </c>
      <c r="L17" s="107">
        <f t="shared" si="4"/>
        <v>97.49629056464197</v>
      </c>
      <c r="M17" s="203">
        <f t="shared" si="5"/>
        <v>97.49629056464197</v>
      </c>
      <c r="N17" s="116">
        <f>K17-'[5]Novembris'!K18+1</f>
        <v>72270</v>
      </c>
      <c r="O17" s="96" t="s">
        <v>317</v>
      </c>
      <c r="P17" s="216"/>
      <c r="Q17">
        <v>615697</v>
      </c>
      <c r="S17" s="208">
        <f t="shared" si="1"/>
        <v>-615697</v>
      </c>
    </row>
    <row r="18" spans="1:19" ht="15" customHeight="1">
      <c r="A18" s="217" t="s">
        <v>318</v>
      </c>
      <c r="B18" s="201">
        <v>366822085</v>
      </c>
      <c r="C18" s="201">
        <v>366822085</v>
      </c>
      <c r="D18" s="202">
        <f>D19+D20+D21+D22</f>
        <v>350539473.06</v>
      </c>
      <c r="E18" s="203">
        <f t="shared" si="2"/>
        <v>95.56116913189673</v>
      </c>
      <c r="F18" s="203">
        <f t="shared" si="3"/>
        <v>95.56116913189673</v>
      </c>
      <c r="G18" s="205">
        <f>D18-'[5]Novembris'!D19</f>
        <v>43005539.06</v>
      </c>
      <c r="H18" s="101" t="s">
        <v>318</v>
      </c>
      <c r="I18" s="206">
        <f t="shared" si="0"/>
        <v>366822</v>
      </c>
      <c r="J18" s="207">
        <f t="shared" si="0"/>
        <v>366822</v>
      </c>
      <c r="K18" s="218">
        <f>SUM(K19,K20,K21,K22)</f>
        <v>350539</v>
      </c>
      <c r="L18" s="107">
        <f t="shared" si="4"/>
        <v>95.5610623136017</v>
      </c>
      <c r="M18" s="203">
        <f t="shared" si="5"/>
        <v>95.5610623136017</v>
      </c>
      <c r="N18" s="116">
        <f>K18-'[5]Novembris'!K19</f>
        <v>43005</v>
      </c>
      <c r="O18" s="101" t="s">
        <v>318</v>
      </c>
      <c r="P18" s="218"/>
      <c r="Q18">
        <v>307534</v>
      </c>
      <c r="S18" s="208">
        <f t="shared" si="1"/>
        <v>-307534</v>
      </c>
    </row>
    <row r="19" spans="1:19" ht="15" customHeight="1">
      <c r="A19" s="60" t="s">
        <v>319</v>
      </c>
      <c r="B19" s="200">
        <v>161478894</v>
      </c>
      <c r="C19" s="200">
        <v>161478894</v>
      </c>
      <c r="D19" s="202">
        <f>160026516-381471.94</f>
        <v>159645044.06</v>
      </c>
      <c r="E19" s="203">
        <f t="shared" si="2"/>
        <v>98.86434078499448</v>
      </c>
      <c r="F19" s="203">
        <f t="shared" si="3"/>
        <v>98.86434078499448</v>
      </c>
      <c r="G19" s="205">
        <f>D19-'[5]Novembris'!D20</f>
        <v>16073213.060000002</v>
      </c>
      <c r="H19" s="54" t="s">
        <v>319</v>
      </c>
      <c r="I19" s="211">
        <f t="shared" si="0"/>
        <v>161479</v>
      </c>
      <c r="J19" s="212">
        <f t="shared" si="0"/>
        <v>161479</v>
      </c>
      <c r="K19" s="212">
        <f>ROUND(D19/1000,0)</f>
        <v>159645</v>
      </c>
      <c r="L19" s="107">
        <f t="shared" si="4"/>
        <v>98.8642486019854</v>
      </c>
      <c r="M19" s="203">
        <f t="shared" si="5"/>
        <v>98.8642486019854</v>
      </c>
      <c r="N19" s="214">
        <f>K19-'[5]Novembris'!K20</f>
        <v>16073</v>
      </c>
      <c r="O19" s="54" t="s">
        <v>319</v>
      </c>
      <c r="P19" s="212"/>
      <c r="Q19">
        <v>143572</v>
      </c>
      <c r="S19" s="208">
        <f t="shared" si="1"/>
        <v>-143572</v>
      </c>
    </row>
    <row r="20" spans="1:19" ht="25.5" customHeight="1">
      <c r="A20" s="61" t="s">
        <v>320</v>
      </c>
      <c r="B20" s="199" t="s">
        <v>66</v>
      </c>
      <c r="C20" s="92" t="s">
        <v>66</v>
      </c>
      <c r="D20" s="202">
        <v>41473878</v>
      </c>
      <c r="E20" s="204" t="s">
        <v>66</v>
      </c>
      <c r="F20" s="204" t="s">
        <v>66</v>
      </c>
      <c r="G20" s="205">
        <f>D20-'[5]Novembris'!D21</f>
        <v>3850289</v>
      </c>
      <c r="H20" s="62" t="s">
        <v>320</v>
      </c>
      <c r="I20" s="213" t="s">
        <v>66</v>
      </c>
      <c r="J20" s="213" t="s">
        <v>66</v>
      </c>
      <c r="K20" s="212">
        <f>ROUND(D20/1000,0)</f>
        <v>41474</v>
      </c>
      <c r="L20" s="219" t="s">
        <v>66</v>
      </c>
      <c r="M20" s="204" t="s">
        <v>66</v>
      </c>
      <c r="N20" s="214">
        <f>K20-'[5]Novembris'!K21</f>
        <v>3850</v>
      </c>
      <c r="O20" s="62" t="s">
        <v>320</v>
      </c>
      <c r="P20" s="212"/>
      <c r="Q20">
        <v>37624</v>
      </c>
      <c r="S20" s="208">
        <f t="shared" si="1"/>
        <v>-37624</v>
      </c>
    </row>
    <row r="21" spans="1:19" ht="15.75" customHeight="1">
      <c r="A21" s="61" t="s">
        <v>321</v>
      </c>
      <c r="B21" s="199" t="s">
        <v>66</v>
      </c>
      <c r="C21" s="92" t="s">
        <v>66</v>
      </c>
      <c r="D21" s="202">
        <v>148540223</v>
      </c>
      <c r="E21" s="204" t="s">
        <v>66</v>
      </c>
      <c r="F21" s="204" t="s">
        <v>66</v>
      </c>
      <c r="G21" s="205">
        <f>D21-'[5]Novembris'!D22</f>
        <v>22973716</v>
      </c>
      <c r="H21" s="62" t="s">
        <v>321</v>
      </c>
      <c r="I21" s="213" t="s">
        <v>66</v>
      </c>
      <c r="J21" s="213" t="s">
        <v>66</v>
      </c>
      <c r="K21" s="212">
        <f>ROUND(D21/1000,0)</f>
        <v>148540</v>
      </c>
      <c r="L21" s="219" t="s">
        <v>66</v>
      </c>
      <c r="M21" s="204" t="s">
        <v>66</v>
      </c>
      <c r="N21" s="214">
        <f>K21-'[5]Novembris'!K22</f>
        <v>22974</v>
      </c>
      <c r="O21" s="62" t="s">
        <v>321</v>
      </c>
      <c r="P21" s="212"/>
      <c r="Q21">
        <v>125566</v>
      </c>
      <c r="S21" s="208">
        <f t="shared" si="1"/>
        <v>-125566</v>
      </c>
    </row>
    <row r="22" spans="1:19" ht="15" customHeight="1">
      <c r="A22" s="220" t="s">
        <v>322</v>
      </c>
      <c r="B22" s="202">
        <v>883858</v>
      </c>
      <c r="C22" s="92" t="s">
        <v>66</v>
      </c>
      <c r="D22" s="202">
        <v>880328</v>
      </c>
      <c r="E22" s="203">
        <f>IF(ISERROR(D22/B22)," ",(D22/B22))*100</f>
        <v>99.60061457835987</v>
      </c>
      <c r="F22" s="204" t="s">
        <v>66</v>
      </c>
      <c r="G22" s="205">
        <f>D22-'[5]Novembris'!D23</f>
        <v>108321</v>
      </c>
      <c r="H22" s="221" t="s">
        <v>322</v>
      </c>
      <c r="I22" s="202">
        <f>ROUND(B22/1000,0)</f>
        <v>884</v>
      </c>
      <c r="J22" s="213" t="s">
        <v>66</v>
      </c>
      <c r="K22" s="204">
        <f>ROUND(D22/1000,0)</f>
        <v>880</v>
      </c>
      <c r="L22" s="219" t="s">
        <v>66</v>
      </c>
      <c r="M22" s="203">
        <v>99.6</v>
      </c>
      <c r="N22" s="214">
        <f>K22-'[5]Novembris'!K23</f>
        <v>108</v>
      </c>
      <c r="O22" s="220" t="s">
        <v>322</v>
      </c>
      <c r="P22" s="204"/>
      <c r="Q22">
        <v>772</v>
      </c>
      <c r="S22" s="208">
        <f t="shared" si="1"/>
        <v>-772</v>
      </c>
    </row>
    <row r="23" spans="1:19" ht="29.25" customHeight="1">
      <c r="A23" s="53" t="s">
        <v>323</v>
      </c>
      <c r="B23" s="201">
        <v>39686484</v>
      </c>
      <c r="C23" s="201">
        <v>39686484</v>
      </c>
      <c r="D23" s="202">
        <f>SUM(D24,D25,D26)</f>
        <v>39643663</v>
      </c>
      <c r="E23" s="203">
        <f>IF(ISERROR(D23/B23)," ",(D23/B23))*100</f>
        <v>99.89210180473533</v>
      </c>
      <c r="F23" s="203">
        <f>IF(ISERROR(D23/C23)," ",(D23/C23))*100</f>
        <v>99.89210180473533</v>
      </c>
      <c r="G23" s="205">
        <f>D23-'[5]Novembris'!D24</f>
        <v>1887869</v>
      </c>
      <c r="H23" s="70" t="s">
        <v>323</v>
      </c>
      <c r="I23" s="222">
        <f>ROUND(B23/1000,0)</f>
        <v>39686</v>
      </c>
      <c r="J23" s="207">
        <f t="shared" si="0"/>
        <v>39686</v>
      </c>
      <c r="K23" s="218">
        <f>SUM(K24,K25,K26)</f>
        <v>39644</v>
      </c>
      <c r="L23" s="98">
        <f>IF(ISERROR(ROUND(K23,0)/ROUND(I23,0))," ",(ROUND(K23,)/ROUND(I23,)))*100</f>
        <v>99.89416922844327</v>
      </c>
      <c r="M23" s="203">
        <f>IF(ISERROR(K23/J23)," ",(K23/J23))*100</f>
        <v>99.89416922844327</v>
      </c>
      <c r="N23" s="116">
        <f>K23-'[5]Novembris'!K24</f>
        <v>1888</v>
      </c>
      <c r="O23" s="70" t="s">
        <v>323</v>
      </c>
      <c r="P23" s="218"/>
      <c r="Q23">
        <v>37756</v>
      </c>
      <c r="S23" s="208">
        <f t="shared" si="1"/>
        <v>-37756</v>
      </c>
    </row>
    <row r="24" spans="1:19" ht="28.5" customHeight="1">
      <c r="A24" s="61" t="s">
        <v>324</v>
      </c>
      <c r="B24" s="199" t="s">
        <v>66</v>
      </c>
      <c r="C24" s="92" t="s">
        <v>66</v>
      </c>
      <c r="D24" s="202">
        <v>19761629</v>
      </c>
      <c r="E24" s="204" t="s">
        <v>66</v>
      </c>
      <c r="F24" s="204" t="s">
        <v>66</v>
      </c>
      <c r="G24" s="205">
        <f>D24-'[5]Novembris'!D25</f>
        <v>914404</v>
      </c>
      <c r="H24" s="62" t="s">
        <v>324</v>
      </c>
      <c r="I24" s="213" t="s">
        <v>66</v>
      </c>
      <c r="J24" s="213" t="s">
        <v>66</v>
      </c>
      <c r="K24" s="212">
        <f>ROUND(D24/1000,0)</f>
        <v>19762</v>
      </c>
      <c r="L24" s="219" t="s">
        <v>66</v>
      </c>
      <c r="M24" s="204" t="s">
        <v>66</v>
      </c>
      <c r="N24" s="214">
        <f>K24-'[5]Novembris'!K25</f>
        <v>915</v>
      </c>
      <c r="O24" s="62" t="s">
        <v>324</v>
      </c>
      <c r="P24" s="212"/>
      <c r="Q24">
        <v>18847</v>
      </c>
      <c r="S24" s="208">
        <f t="shared" si="1"/>
        <v>-18847</v>
      </c>
    </row>
    <row r="25" spans="1:19" ht="17.25" customHeight="1">
      <c r="A25" s="61" t="s">
        <v>325</v>
      </c>
      <c r="B25" s="199" t="s">
        <v>66</v>
      </c>
      <c r="C25" s="92" t="s">
        <v>66</v>
      </c>
      <c r="D25" s="202">
        <v>19511469</v>
      </c>
      <c r="E25" s="204" t="s">
        <v>66</v>
      </c>
      <c r="F25" s="204" t="s">
        <v>66</v>
      </c>
      <c r="G25" s="205">
        <f>D25-'[5]Novembris'!D26</f>
        <v>970675</v>
      </c>
      <c r="H25" s="62" t="s">
        <v>325</v>
      </c>
      <c r="I25" s="213" t="s">
        <v>66</v>
      </c>
      <c r="J25" s="213" t="s">
        <v>66</v>
      </c>
      <c r="K25" s="212">
        <f>ROUND(D25/1000,0)</f>
        <v>19511</v>
      </c>
      <c r="L25" s="219" t="s">
        <v>66</v>
      </c>
      <c r="M25" s="204" t="s">
        <v>66</v>
      </c>
      <c r="N25" s="214">
        <f>K25-'[5]Novembris'!K26</f>
        <v>970</v>
      </c>
      <c r="O25" s="62" t="s">
        <v>325</v>
      </c>
      <c r="P25" s="212"/>
      <c r="Q25">
        <v>18541</v>
      </c>
      <c r="S25" s="208">
        <f t="shared" si="1"/>
        <v>-18541</v>
      </c>
    </row>
    <row r="26" spans="1:19" ht="28.5" customHeight="1">
      <c r="A26" s="61" t="s">
        <v>326</v>
      </c>
      <c r="B26" s="199" t="s">
        <v>66</v>
      </c>
      <c r="C26" s="92" t="s">
        <v>66</v>
      </c>
      <c r="D26" s="202">
        <v>370565</v>
      </c>
      <c r="E26" s="204" t="s">
        <v>66</v>
      </c>
      <c r="F26" s="204" t="s">
        <v>66</v>
      </c>
      <c r="G26" s="205">
        <f>D26-'[5]Novembris'!D27</f>
        <v>2790</v>
      </c>
      <c r="H26" s="62" t="s">
        <v>327</v>
      </c>
      <c r="I26" s="213" t="s">
        <v>66</v>
      </c>
      <c r="J26" s="213" t="s">
        <v>66</v>
      </c>
      <c r="K26" s="212">
        <f>ROUND(D26/1000,0)</f>
        <v>371</v>
      </c>
      <c r="L26" s="219" t="s">
        <v>66</v>
      </c>
      <c r="M26" s="204" t="s">
        <v>66</v>
      </c>
      <c r="N26" s="214">
        <f>K26-'[5]Novembris'!K27</f>
        <v>3</v>
      </c>
      <c r="O26" s="62" t="s">
        <v>327</v>
      </c>
      <c r="P26" s="212"/>
      <c r="Q26">
        <v>368</v>
      </c>
      <c r="S26" s="208">
        <f t="shared" si="1"/>
        <v>-368</v>
      </c>
    </row>
    <row r="27" spans="1:19" ht="15" customHeight="1">
      <c r="A27" s="67" t="s">
        <v>328</v>
      </c>
      <c r="B27" s="201">
        <v>299124905</v>
      </c>
      <c r="C27" s="201">
        <v>299124905</v>
      </c>
      <c r="D27" s="202">
        <f>SUM(D28,D29,D30,D31,D34,D39)</f>
        <v>297782681</v>
      </c>
      <c r="E27" s="203">
        <f>IF(ISERROR(D27/B27)," ",(D27/B27))*100</f>
        <v>99.55128310028213</v>
      </c>
      <c r="F27" s="203">
        <f>IF(ISERROR(D27/C27)," ",(D27/C27))*100</f>
        <v>99.55128310028213</v>
      </c>
      <c r="G27" s="205">
        <f>D27-'[5]Novembris'!D28</f>
        <v>27375638</v>
      </c>
      <c r="H27" s="176" t="s">
        <v>328</v>
      </c>
      <c r="I27" s="223">
        <f>ROUND(B27/1000,0)</f>
        <v>299125</v>
      </c>
      <c r="J27" s="218">
        <f>ROUND(C27/1000,0)</f>
        <v>299125</v>
      </c>
      <c r="K27" s="218">
        <f>SUM(K28,K29,K30,K31,K34,K39)</f>
        <v>297783</v>
      </c>
      <c r="L27" s="98">
        <f>IF(ISERROR(ROUND(K27,0)/ROUND(I27,0))," ",(ROUND(K27,)/ROUND(I27,)))*100</f>
        <v>99.55135812787296</v>
      </c>
      <c r="M27" s="203">
        <f>IF(ISERROR(K27/J27)," ",(K27/J27))*100</f>
        <v>99.55135812787296</v>
      </c>
      <c r="N27" s="116">
        <f>K27-'[5]Novembris'!K28</f>
        <v>27376</v>
      </c>
      <c r="O27" s="176" t="s">
        <v>328</v>
      </c>
      <c r="P27" s="218"/>
      <c r="Q27">
        <v>270407</v>
      </c>
      <c r="S27" s="208">
        <f t="shared" si="1"/>
        <v>-270407</v>
      </c>
    </row>
    <row r="28" spans="1:19" ht="15" customHeight="1">
      <c r="A28" s="60" t="s">
        <v>329</v>
      </c>
      <c r="B28" s="199" t="s">
        <v>66</v>
      </c>
      <c r="C28" s="92" t="s">
        <v>66</v>
      </c>
      <c r="D28" s="202">
        <v>22194505</v>
      </c>
      <c r="E28" s="204" t="s">
        <v>66</v>
      </c>
      <c r="F28" s="204" t="s">
        <v>66</v>
      </c>
      <c r="G28" s="205">
        <f>D28-'[5]Novembris'!D29</f>
        <v>720639</v>
      </c>
      <c r="H28" s="54" t="s">
        <v>329</v>
      </c>
      <c r="I28" s="213" t="s">
        <v>66</v>
      </c>
      <c r="J28" s="213" t="s">
        <v>66</v>
      </c>
      <c r="K28" s="224">
        <f aca="true" t="shared" si="6" ref="K28:K48">ROUND(D28/1000,0)</f>
        <v>22195</v>
      </c>
      <c r="L28" s="219" t="s">
        <v>66</v>
      </c>
      <c r="M28" s="204" t="s">
        <v>66</v>
      </c>
      <c r="N28" s="214">
        <f>K28-'[5]Novembris'!K29</f>
        <v>721</v>
      </c>
      <c r="O28" s="54" t="s">
        <v>329</v>
      </c>
      <c r="P28" s="224"/>
      <c r="Q28">
        <v>21474</v>
      </c>
      <c r="S28" s="208">
        <f t="shared" si="1"/>
        <v>-21474</v>
      </c>
    </row>
    <row r="29" spans="1:19" ht="15" customHeight="1">
      <c r="A29" s="61" t="s">
        <v>330</v>
      </c>
      <c r="B29" s="199" t="s">
        <v>66</v>
      </c>
      <c r="C29" s="92" t="s">
        <v>66</v>
      </c>
      <c r="D29" s="202">
        <v>91869612</v>
      </c>
      <c r="E29" s="204" t="s">
        <v>66</v>
      </c>
      <c r="F29" s="204" t="s">
        <v>66</v>
      </c>
      <c r="G29" s="205">
        <f>D29-'[5]Novembris'!D30</f>
        <v>8312745</v>
      </c>
      <c r="H29" s="62" t="s">
        <v>330</v>
      </c>
      <c r="I29" s="213" t="s">
        <v>66</v>
      </c>
      <c r="J29" s="213" t="s">
        <v>66</v>
      </c>
      <c r="K29" s="212">
        <f t="shared" si="6"/>
        <v>91870</v>
      </c>
      <c r="L29" s="219" t="s">
        <v>66</v>
      </c>
      <c r="M29" s="204" t="s">
        <v>66</v>
      </c>
      <c r="N29" s="214">
        <f>K29-'[5]Novembris'!K30</f>
        <v>8313</v>
      </c>
      <c r="O29" s="62" t="s">
        <v>330</v>
      </c>
      <c r="P29" s="212"/>
      <c r="Q29">
        <v>83557</v>
      </c>
      <c r="S29" s="208">
        <f t="shared" si="1"/>
        <v>-83557</v>
      </c>
    </row>
    <row r="30" spans="1:19" ht="15" customHeight="1">
      <c r="A30" s="61" t="s">
        <v>331</v>
      </c>
      <c r="B30" s="199" t="s">
        <v>66</v>
      </c>
      <c r="C30" s="92" t="s">
        <v>66</v>
      </c>
      <c r="D30" s="202">
        <v>7076569</v>
      </c>
      <c r="E30" s="204" t="s">
        <v>66</v>
      </c>
      <c r="F30" s="204" t="s">
        <v>66</v>
      </c>
      <c r="G30" s="205">
        <f>D30-'[5]Novembris'!D31</f>
        <v>597369</v>
      </c>
      <c r="H30" s="62" t="s">
        <v>331</v>
      </c>
      <c r="I30" s="213" t="s">
        <v>66</v>
      </c>
      <c r="J30" s="213" t="s">
        <v>66</v>
      </c>
      <c r="K30" s="212">
        <f t="shared" si="6"/>
        <v>7077</v>
      </c>
      <c r="L30" s="219" t="s">
        <v>66</v>
      </c>
      <c r="M30" s="204" t="s">
        <v>66</v>
      </c>
      <c r="N30" s="214">
        <f>K30-'[5]Novembris'!K31</f>
        <v>598</v>
      </c>
      <c r="O30" s="62" t="s">
        <v>331</v>
      </c>
      <c r="P30" s="212"/>
      <c r="Q30">
        <v>6479</v>
      </c>
      <c r="S30" s="208">
        <f t="shared" si="1"/>
        <v>-6479</v>
      </c>
    </row>
    <row r="31" spans="1:19" ht="15" customHeight="1">
      <c r="A31" s="61" t="s">
        <v>332</v>
      </c>
      <c r="B31" s="225">
        <v>36677418</v>
      </c>
      <c r="C31" s="225">
        <v>36677418</v>
      </c>
      <c r="D31" s="202">
        <v>97958701</v>
      </c>
      <c r="E31" s="204" t="s">
        <v>66</v>
      </c>
      <c r="F31" s="204" t="s">
        <v>66</v>
      </c>
      <c r="G31" s="205">
        <f>D31-'[5]Novembris'!D32</f>
        <v>10346047</v>
      </c>
      <c r="H31" s="62" t="s">
        <v>332</v>
      </c>
      <c r="I31" s="213" t="s">
        <v>66</v>
      </c>
      <c r="J31" s="213">
        <f>ROUND(C31/1000,0)</f>
        <v>36677</v>
      </c>
      <c r="K31" s="212">
        <f>ROUND(D31/1000,0)-1</f>
        <v>97958</v>
      </c>
      <c r="L31" s="219" t="s">
        <v>66</v>
      </c>
      <c r="M31" s="204" t="s">
        <v>66</v>
      </c>
      <c r="N31" s="214">
        <f>K31-'[5]Novembris'!K32</f>
        <v>10345</v>
      </c>
      <c r="O31" s="62" t="s">
        <v>332</v>
      </c>
      <c r="P31" s="212"/>
      <c r="Q31">
        <v>87613</v>
      </c>
      <c r="S31" s="208">
        <f t="shared" si="1"/>
        <v>-87613</v>
      </c>
    </row>
    <row r="32" spans="1:19" ht="15" customHeight="1">
      <c r="A32" s="226" t="s">
        <v>333</v>
      </c>
      <c r="B32" s="227" t="s">
        <v>66</v>
      </c>
      <c r="C32" s="92" t="s">
        <v>66</v>
      </c>
      <c r="D32" s="202">
        <v>61786413</v>
      </c>
      <c r="E32" s="204" t="s">
        <v>66</v>
      </c>
      <c r="F32" s="204" t="s">
        <v>66</v>
      </c>
      <c r="G32" s="205">
        <f>D32-'[5]Novembris'!D33</f>
        <v>5218686</v>
      </c>
      <c r="H32" s="135" t="s">
        <v>334</v>
      </c>
      <c r="I32" s="228" t="s">
        <v>66</v>
      </c>
      <c r="J32" s="228" t="s">
        <v>66</v>
      </c>
      <c r="K32" s="229">
        <f t="shared" si="6"/>
        <v>61786</v>
      </c>
      <c r="L32" s="230" t="s">
        <v>66</v>
      </c>
      <c r="M32" s="204" t="s">
        <v>66</v>
      </c>
      <c r="N32" s="214">
        <f>K32-'[5]Novembris'!K33</f>
        <v>5218</v>
      </c>
      <c r="O32" s="135" t="s">
        <v>334</v>
      </c>
      <c r="P32" s="229"/>
      <c r="Q32">
        <v>56568</v>
      </c>
      <c r="S32" s="208">
        <f t="shared" si="1"/>
        <v>-56568</v>
      </c>
    </row>
    <row r="33" spans="1:19" ht="15" customHeight="1">
      <c r="A33" s="226" t="s">
        <v>335</v>
      </c>
      <c r="B33" s="227" t="s">
        <v>66</v>
      </c>
      <c r="C33" s="92" t="s">
        <v>66</v>
      </c>
      <c r="D33" s="202">
        <f>D31-D32</f>
        <v>36172288</v>
      </c>
      <c r="E33" s="204" t="s">
        <v>66</v>
      </c>
      <c r="F33" s="204" t="s">
        <v>66</v>
      </c>
      <c r="G33" s="205">
        <f>D33-'[5]Novembris'!D34</f>
        <v>5127361</v>
      </c>
      <c r="H33" s="231" t="s">
        <v>336</v>
      </c>
      <c r="I33" s="228" t="s">
        <v>66</v>
      </c>
      <c r="J33" s="228" t="s">
        <v>66</v>
      </c>
      <c r="K33" s="229">
        <f>ROUND(D33/1000,0)</f>
        <v>36172</v>
      </c>
      <c r="L33" s="230" t="s">
        <v>66</v>
      </c>
      <c r="M33" s="204" t="s">
        <v>66</v>
      </c>
      <c r="N33" s="214">
        <f>K33-'[5]Novembris'!K34</f>
        <v>5127</v>
      </c>
      <c r="O33" s="231" t="s">
        <v>336</v>
      </c>
      <c r="P33" s="229"/>
      <c r="Q33">
        <v>31045</v>
      </c>
      <c r="S33" s="208">
        <f t="shared" si="1"/>
        <v>-31045</v>
      </c>
    </row>
    <row r="34" spans="1:19" ht="15" customHeight="1">
      <c r="A34" s="61" t="s">
        <v>337</v>
      </c>
      <c r="B34" s="225">
        <v>74049529</v>
      </c>
      <c r="C34" s="225">
        <v>74049529</v>
      </c>
      <c r="D34" s="202">
        <f>SUM(D35:D38)</f>
        <v>73774290</v>
      </c>
      <c r="E34" s="204" t="s">
        <v>66</v>
      </c>
      <c r="F34" s="204" t="s">
        <v>66</v>
      </c>
      <c r="G34" s="205">
        <f>D34-'[5]Novembris'!D35</f>
        <v>6578658</v>
      </c>
      <c r="H34" s="62" t="s">
        <v>337</v>
      </c>
      <c r="I34" s="213" t="s">
        <v>66</v>
      </c>
      <c r="J34" s="213">
        <f>ROUND(C34/1000,0)</f>
        <v>74050</v>
      </c>
      <c r="K34" s="213">
        <f>ROUND(D34/1000,0)</f>
        <v>73774</v>
      </c>
      <c r="L34" s="219" t="s">
        <v>66</v>
      </c>
      <c r="M34" s="204" t="s">
        <v>66</v>
      </c>
      <c r="N34" s="214">
        <f>K34-'[5]Novembris'!K35</f>
        <v>6579</v>
      </c>
      <c r="O34" s="62" t="s">
        <v>337</v>
      </c>
      <c r="P34" s="213"/>
      <c r="Q34">
        <v>67195</v>
      </c>
      <c r="S34" s="208">
        <f t="shared" si="1"/>
        <v>-67195</v>
      </c>
    </row>
    <row r="35" spans="1:19" ht="15" customHeight="1">
      <c r="A35" s="226" t="s">
        <v>338</v>
      </c>
      <c r="B35" s="227" t="s">
        <v>66</v>
      </c>
      <c r="C35" s="92" t="s">
        <v>66</v>
      </c>
      <c r="D35" s="202">
        <v>1451863</v>
      </c>
      <c r="E35" s="204" t="s">
        <v>66</v>
      </c>
      <c r="F35" s="204" t="s">
        <v>66</v>
      </c>
      <c r="G35" s="205">
        <f>D35-'[5]Novembris'!D36</f>
        <v>224054</v>
      </c>
      <c r="H35" s="135" t="s">
        <v>339</v>
      </c>
      <c r="I35" s="228" t="s">
        <v>66</v>
      </c>
      <c r="J35" s="228" t="s">
        <v>66</v>
      </c>
      <c r="K35" s="229">
        <f t="shared" si="6"/>
        <v>1452</v>
      </c>
      <c r="L35" s="230" t="s">
        <v>66</v>
      </c>
      <c r="M35" s="204" t="s">
        <v>66</v>
      </c>
      <c r="N35" s="214">
        <f>K35-'[5]Novembris'!K36</f>
        <v>224</v>
      </c>
      <c r="O35" s="135" t="s">
        <v>339</v>
      </c>
      <c r="P35" s="229"/>
      <c r="Q35">
        <v>1228</v>
      </c>
      <c r="S35" s="208">
        <f t="shared" si="1"/>
        <v>-1228</v>
      </c>
    </row>
    <row r="36" spans="1:19" ht="15" customHeight="1">
      <c r="A36" s="226" t="s">
        <v>340</v>
      </c>
      <c r="B36" s="227" t="s">
        <v>66</v>
      </c>
      <c r="C36" s="92" t="s">
        <v>66</v>
      </c>
      <c r="D36" s="202">
        <v>54095007</v>
      </c>
      <c r="E36" s="204" t="s">
        <v>66</v>
      </c>
      <c r="F36" s="204" t="s">
        <v>66</v>
      </c>
      <c r="G36" s="205">
        <f>D36-'[5]Novembris'!D37</f>
        <v>4415657</v>
      </c>
      <c r="H36" s="231" t="s">
        <v>341</v>
      </c>
      <c r="I36" s="228" t="s">
        <v>66</v>
      </c>
      <c r="J36" s="228" t="s">
        <v>66</v>
      </c>
      <c r="K36" s="229">
        <f t="shared" si="6"/>
        <v>54095</v>
      </c>
      <c r="L36" s="230" t="s">
        <v>66</v>
      </c>
      <c r="M36" s="204" t="s">
        <v>66</v>
      </c>
      <c r="N36" s="214">
        <f>K36-'[5]Novembris'!K37</f>
        <v>4416</v>
      </c>
      <c r="O36" s="231" t="s">
        <v>341</v>
      </c>
      <c r="P36" s="229"/>
      <c r="Q36">
        <v>49679</v>
      </c>
      <c r="S36" s="208">
        <f t="shared" si="1"/>
        <v>-49679</v>
      </c>
    </row>
    <row r="37" spans="1:19" ht="15" customHeight="1">
      <c r="A37" s="226" t="s">
        <v>342</v>
      </c>
      <c r="B37" s="227" t="s">
        <v>66</v>
      </c>
      <c r="C37" s="92" t="s">
        <v>66</v>
      </c>
      <c r="D37" s="202">
        <v>7216672</v>
      </c>
      <c r="E37" s="204" t="s">
        <v>66</v>
      </c>
      <c r="F37" s="204" t="s">
        <v>66</v>
      </c>
      <c r="G37" s="205">
        <f>D37-'[5]Novembris'!D38</f>
        <v>923604</v>
      </c>
      <c r="H37" s="231" t="s">
        <v>343</v>
      </c>
      <c r="I37" s="228" t="s">
        <v>66</v>
      </c>
      <c r="J37" s="228" t="s">
        <v>66</v>
      </c>
      <c r="K37" s="229">
        <f>ROUND(D37/1000,0)-1</f>
        <v>7216</v>
      </c>
      <c r="L37" s="230" t="s">
        <v>66</v>
      </c>
      <c r="M37" s="204" t="s">
        <v>66</v>
      </c>
      <c r="N37" s="214">
        <f>K37-'[5]Novembris'!K38</f>
        <v>923</v>
      </c>
      <c r="O37" s="231" t="s">
        <v>343</v>
      </c>
      <c r="P37" s="229"/>
      <c r="Q37">
        <v>6293</v>
      </c>
      <c r="S37" s="208">
        <f t="shared" si="1"/>
        <v>-6293</v>
      </c>
    </row>
    <row r="38" spans="1:19" ht="15" customHeight="1">
      <c r="A38" s="226" t="s">
        <v>344</v>
      </c>
      <c r="B38" s="227" t="s">
        <v>66</v>
      </c>
      <c r="C38" s="92" t="s">
        <v>66</v>
      </c>
      <c r="D38" s="202">
        <v>11010748</v>
      </c>
      <c r="E38" s="204" t="s">
        <v>66</v>
      </c>
      <c r="F38" s="204" t="s">
        <v>66</v>
      </c>
      <c r="G38" s="205">
        <f>D38-'[5]Novembris'!D39</f>
        <v>1015343</v>
      </c>
      <c r="H38" s="231" t="s">
        <v>345</v>
      </c>
      <c r="I38" s="228" t="s">
        <v>66</v>
      </c>
      <c r="J38" s="228" t="s">
        <v>66</v>
      </c>
      <c r="K38" s="229">
        <f>ROUND(D38/1000,0)</f>
        <v>11011</v>
      </c>
      <c r="L38" s="230" t="s">
        <v>66</v>
      </c>
      <c r="M38" s="204" t="s">
        <v>66</v>
      </c>
      <c r="N38" s="214">
        <f>K38-'[5]Novembris'!K39</f>
        <v>1016</v>
      </c>
      <c r="O38" s="231" t="s">
        <v>345</v>
      </c>
      <c r="P38" s="229"/>
      <c r="Q38">
        <v>9995</v>
      </c>
      <c r="S38" s="208">
        <f t="shared" si="1"/>
        <v>-9995</v>
      </c>
    </row>
    <row r="39" spans="1:19" ht="20.25" customHeight="1">
      <c r="A39" s="61" t="s">
        <v>346</v>
      </c>
      <c r="B39" s="200">
        <v>5127940</v>
      </c>
      <c r="C39" s="200">
        <v>5127940</v>
      </c>
      <c r="D39" s="202">
        <v>4909004</v>
      </c>
      <c r="E39" s="203">
        <f>IF(ISERROR(D39/B39)," ",(D39/B39))*100</f>
        <v>95.73052726825976</v>
      </c>
      <c r="F39" s="203">
        <f>IF(ISERROR(D39/C39)," ",(D39/C39))*100</f>
        <v>95.73052726825976</v>
      </c>
      <c r="G39" s="205">
        <f>D39-'[5]Novembris'!D40</f>
        <v>820180</v>
      </c>
      <c r="H39" s="62" t="s">
        <v>346</v>
      </c>
      <c r="I39" s="213">
        <f aca="true" t="shared" si="7" ref="I39:J42">ROUND(B39/1000,0)</f>
        <v>5128</v>
      </c>
      <c r="J39" s="213">
        <f t="shared" si="7"/>
        <v>5128</v>
      </c>
      <c r="K39" s="212">
        <f t="shared" si="6"/>
        <v>4909</v>
      </c>
      <c r="L39" s="107">
        <f>IF(ISERROR(ROUND(K39,0)/ROUND(I39,0))," ",(ROUND(K39,)/ROUND(I39,)))*100</f>
        <v>95.72932917316692</v>
      </c>
      <c r="M39" s="203">
        <f>IF(ISERROR(K39/J39)," ",(K39/J39))*100</f>
        <v>95.72932917316692</v>
      </c>
      <c r="N39" s="214">
        <f>K39-'[5]Novembris'!K40</f>
        <v>820</v>
      </c>
      <c r="O39" s="62" t="s">
        <v>346</v>
      </c>
      <c r="P39" s="212"/>
      <c r="Q39">
        <v>4089</v>
      </c>
      <c r="S39" s="208">
        <f t="shared" si="1"/>
        <v>-4089</v>
      </c>
    </row>
    <row r="40" spans="1:19" ht="15" customHeight="1">
      <c r="A40" s="232" t="s">
        <v>347</v>
      </c>
      <c r="B40" s="201">
        <v>71121768</v>
      </c>
      <c r="C40" s="201">
        <v>71121768</v>
      </c>
      <c r="D40" s="202">
        <f>SUM(D41:D42)</f>
        <v>65004361</v>
      </c>
      <c r="E40" s="203">
        <f>IF(ISERROR(D40/B40)," ",(D40/B40))*100</f>
        <v>91.39868542075614</v>
      </c>
      <c r="F40" s="203">
        <f>IF(ISERROR(D40/C40)," ",(D40/C40))*100</f>
        <v>91.39868542075614</v>
      </c>
      <c r="G40" s="205">
        <f>D40-'[5]Novembris'!D41</f>
        <v>14297894</v>
      </c>
      <c r="H40" s="94" t="s">
        <v>347</v>
      </c>
      <c r="I40" s="218">
        <f t="shared" si="7"/>
        <v>71122</v>
      </c>
      <c r="J40" s="218">
        <f t="shared" si="7"/>
        <v>71122</v>
      </c>
      <c r="K40" s="218">
        <f t="shared" si="6"/>
        <v>65004</v>
      </c>
      <c r="L40" s="98">
        <f>IF(ISERROR(ROUND(K40,0)/ROUND(I40,0))," ",(ROUND(K40,)/ROUND(I40,)))*100</f>
        <v>91.397879699671</v>
      </c>
      <c r="M40" s="203">
        <f>IF(ISERROR(K40/J40)," ",(K40/J40))*100</f>
        <v>91.397879699671</v>
      </c>
      <c r="N40" s="116">
        <f>K40-'[5]Novembris'!K41-1</f>
        <v>14297</v>
      </c>
      <c r="O40" s="94" t="s">
        <v>347</v>
      </c>
      <c r="P40" s="218"/>
      <c r="Q40">
        <v>50706</v>
      </c>
      <c r="S40" s="208">
        <f t="shared" si="1"/>
        <v>-50706</v>
      </c>
    </row>
    <row r="41" spans="1:19" ht="15" customHeight="1">
      <c r="A41" s="68" t="s">
        <v>348</v>
      </c>
      <c r="B41" s="200">
        <v>25544008</v>
      </c>
      <c r="C41" s="200">
        <v>25544008</v>
      </c>
      <c r="D41" s="202">
        <v>23152243</v>
      </c>
      <c r="E41" s="203">
        <f>IF(ISERROR(D41/B41)," ",(D41/B41))*100</f>
        <v>90.63668865120931</v>
      </c>
      <c r="F41" s="203">
        <f>IF(ISERROR(D41/C41)," ",(D41/C41))*100</f>
        <v>90.63668865120931</v>
      </c>
      <c r="G41" s="205">
        <f>D41-'[5]Novembris'!D42</f>
        <v>5104263</v>
      </c>
      <c r="H41" s="233" t="s">
        <v>349</v>
      </c>
      <c r="I41" s="213">
        <f t="shared" si="7"/>
        <v>25544</v>
      </c>
      <c r="J41" s="213">
        <f t="shared" si="7"/>
        <v>25544</v>
      </c>
      <c r="K41" s="212">
        <f t="shared" si="6"/>
        <v>23152</v>
      </c>
      <c r="L41" s="107">
        <f>IF(ISERROR(ROUND(K41,0)/ROUND(I41,0))," ",(ROUND(K41,)/ROUND(I41,)))*100</f>
        <v>90.63576573755088</v>
      </c>
      <c r="M41" s="203">
        <f>IF(ISERROR(K41/J41)," ",(K41/J41))*100</f>
        <v>90.63576573755088</v>
      </c>
      <c r="N41" s="214">
        <f>K41-'[5]Novembris'!K42-1</f>
        <v>5103</v>
      </c>
      <c r="O41" s="233" t="s">
        <v>349</v>
      </c>
      <c r="P41" s="212"/>
      <c r="Q41">
        <v>18048</v>
      </c>
      <c r="S41" s="208">
        <f t="shared" si="1"/>
        <v>-18048</v>
      </c>
    </row>
    <row r="42" spans="1:19" ht="15" customHeight="1">
      <c r="A42" s="61" t="s">
        <v>350</v>
      </c>
      <c r="B42" s="200">
        <v>45577760</v>
      </c>
      <c r="C42" s="200">
        <v>45577760</v>
      </c>
      <c r="D42" s="202">
        <v>41852118</v>
      </c>
      <c r="E42" s="203">
        <f>IF(ISERROR(D42/B42)," ",(D42/B42))*100</f>
        <v>91.82574571457658</v>
      </c>
      <c r="F42" s="203">
        <f>IF(ISERROR(D42/C42)," ",(D42/C42))*100</f>
        <v>91.82574571457658</v>
      </c>
      <c r="G42" s="205">
        <f>D42-'[5]Novembris'!D43</f>
        <v>9193631</v>
      </c>
      <c r="H42" s="62" t="s">
        <v>351</v>
      </c>
      <c r="I42" s="213">
        <f t="shared" si="7"/>
        <v>45578</v>
      </c>
      <c r="J42" s="213">
        <f t="shared" si="7"/>
        <v>45578</v>
      </c>
      <c r="K42" s="212">
        <f t="shared" si="6"/>
        <v>41852</v>
      </c>
      <c r="L42" s="107">
        <f>IF(ISERROR(ROUND(K42,0)/ROUND(I42,0))," ",(ROUND(K42,)/ROUND(I42,)))*100</f>
        <v>91.82500329106148</v>
      </c>
      <c r="M42" s="203">
        <f>IF(ISERROR(K42/J42)," ",(K42/J42))*100</f>
        <v>91.82500329106148</v>
      </c>
      <c r="N42" s="214">
        <f>K42-'[5]Novembris'!K43</f>
        <v>9194</v>
      </c>
      <c r="O42" s="62" t="s">
        <v>351</v>
      </c>
      <c r="P42" s="212"/>
      <c r="Q42">
        <v>32658</v>
      </c>
      <c r="S42" s="208">
        <f t="shared" si="1"/>
        <v>-32658</v>
      </c>
    </row>
    <row r="43" spans="1:19" ht="15" customHeight="1">
      <c r="A43" s="61" t="s">
        <v>352</v>
      </c>
      <c r="B43" s="199" t="s">
        <v>66</v>
      </c>
      <c r="C43" s="92" t="s">
        <v>66</v>
      </c>
      <c r="D43" s="202">
        <v>1442000</v>
      </c>
      <c r="E43" s="204" t="s">
        <v>66</v>
      </c>
      <c r="F43" s="204" t="s">
        <v>66</v>
      </c>
      <c r="G43" s="205">
        <f>D43-'[5]Novembris'!D44</f>
        <v>0</v>
      </c>
      <c r="H43" s="62" t="s">
        <v>352</v>
      </c>
      <c r="I43" s="234" t="s">
        <v>66</v>
      </c>
      <c r="J43" s="234" t="s">
        <v>66</v>
      </c>
      <c r="K43" s="212">
        <f t="shared" si="6"/>
        <v>1442</v>
      </c>
      <c r="L43" s="235" t="s">
        <v>66</v>
      </c>
      <c r="M43" s="204" t="s">
        <v>66</v>
      </c>
      <c r="N43" s="214">
        <f>K43-'[5]Novembris'!K44</f>
        <v>0</v>
      </c>
      <c r="O43" s="62" t="s">
        <v>352</v>
      </c>
      <c r="P43" s="212"/>
      <c r="Q43">
        <v>1442</v>
      </c>
      <c r="S43" s="208">
        <f t="shared" si="1"/>
        <v>-1442</v>
      </c>
    </row>
    <row r="44" spans="1:19" ht="15" customHeight="1">
      <c r="A44" s="61" t="s">
        <v>353</v>
      </c>
      <c r="B44" s="199" t="s">
        <v>66</v>
      </c>
      <c r="C44" s="92" t="s">
        <v>66</v>
      </c>
      <c r="D44" s="202">
        <v>10702008</v>
      </c>
      <c r="E44" s="204" t="s">
        <v>66</v>
      </c>
      <c r="F44" s="204" t="s">
        <v>66</v>
      </c>
      <c r="G44" s="205">
        <f>D44-'[5]Novembris'!D45</f>
        <v>2595153</v>
      </c>
      <c r="H44" s="62" t="s">
        <v>353</v>
      </c>
      <c r="I44" s="234" t="s">
        <v>66</v>
      </c>
      <c r="J44" s="234" t="s">
        <v>66</v>
      </c>
      <c r="K44" s="212">
        <f t="shared" si="6"/>
        <v>10702</v>
      </c>
      <c r="L44" s="235" t="s">
        <v>66</v>
      </c>
      <c r="M44" s="204" t="s">
        <v>66</v>
      </c>
      <c r="N44" s="214">
        <f>K44-'[5]Novembris'!K45</f>
        <v>2595</v>
      </c>
      <c r="O44" s="62" t="s">
        <v>353</v>
      </c>
      <c r="P44" s="212"/>
      <c r="Q44">
        <v>8107</v>
      </c>
      <c r="S44" s="208">
        <f t="shared" si="1"/>
        <v>-8107</v>
      </c>
    </row>
    <row r="45" spans="1:19" ht="27" customHeight="1">
      <c r="A45" s="53" t="s">
        <v>354</v>
      </c>
      <c r="B45" s="225">
        <v>54888986</v>
      </c>
      <c r="C45" s="92" t="s">
        <v>66</v>
      </c>
      <c r="D45" s="202">
        <f>SUM(D46-D48)</f>
        <v>49341301</v>
      </c>
      <c r="E45" s="204" t="s">
        <v>66</v>
      </c>
      <c r="F45" s="204" t="s">
        <v>66</v>
      </c>
      <c r="G45" s="205">
        <f>D45-'[5]Novembris'!D46</f>
        <v>-6808579</v>
      </c>
      <c r="H45" s="70" t="s">
        <v>354</v>
      </c>
      <c r="I45" s="218">
        <f aca="true" t="shared" si="8" ref="I45:I54">ROUND(B45/1000,0)</f>
        <v>54889</v>
      </c>
      <c r="J45" s="213" t="s">
        <v>66</v>
      </c>
      <c r="K45" s="207">
        <f t="shared" si="6"/>
        <v>49341</v>
      </c>
      <c r="L45" s="236" t="s">
        <v>66</v>
      </c>
      <c r="M45" s="204" t="s">
        <v>66</v>
      </c>
      <c r="N45" s="116">
        <f>K45-'[5]Novembris'!K46</f>
        <v>-6809</v>
      </c>
      <c r="O45" s="70" t="s">
        <v>354</v>
      </c>
      <c r="P45" s="207"/>
      <c r="Q45">
        <v>56150</v>
      </c>
      <c r="S45" s="208">
        <f t="shared" si="1"/>
        <v>-56150</v>
      </c>
    </row>
    <row r="46" spans="1:19" ht="15" customHeight="1">
      <c r="A46" s="60" t="s">
        <v>355</v>
      </c>
      <c r="B46" s="200">
        <v>70926303</v>
      </c>
      <c r="C46" s="92" t="s">
        <v>66</v>
      </c>
      <c r="D46" s="202">
        <v>86097061</v>
      </c>
      <c r="E46" s="204" t="s">
        <v>66</v>
      </c>
      <c r="F46" s="204" t="s">
        <v>66</v>
      </c>
      <c r="G46" s="205">
        <f>D46-'[5]Novembris'!D47</f>
        <v>4178194</v>
      </c>
      <c r="H46" s="54" t="s">
        <v>355</v>
      </c>
      <c r="I46" s="213">
        <f t="shared" si="8"/>
        <v>70926</v>
      </c>
      <c r="J46" s="92" t="s">
        <v>66</v>
      </c>
      <c r="K46" s="212">
        <f t="shared" si="6"/>
        <v>86097</v>
      </c>
      <c r="L46" s="236" t="s">
        <v>66</v>
      </c>
      <c r="M46" s="204" t="s">
        <v>66</v>
      </c>
      <c r="N46" s="214">
        <f>K46-'[5]Novembris'!K47</f>
        <v>4178</v>
      </c>
      <c r="O46" s="54" t="s">
        <v>355</v>
      </c>
      <c r="P46" s="212"/>
      <c r="Q46">
        <v>81919</v>
      </c>
      <c r="S46" s="208">
        <f t="shared" si="1"/>
        <v>-81919</v>
      </c>
    </row>
    <row r="47" spans="1:19" ht="15" customHeight="1">
      <c r="A47" s="60" t="s">
        <v>356</v>
      </c>
      <c r="B47" s="200">
        <v>50694324</v>
      </c>
      <c r="C47" s="92" t="s">
        <v>66</v>
      </c>
      <c r="D47" s="202">
        <v>56020471</v>
      </c>
      <c r="E47" s="204" t="s">
        <v>66</v>
      </c>
      <c r="F47" s="204" t="s">
        <v>66</v>
      </c>
      <c r="G47" s="205">
        <f>D47-'[5]Novembris'!D48</f>
        <v>1797230</v>
      </c>
      <c r="H47" s="54" t="s">
        <v>356</v>
      </c>
      <c r="I47" s="213">
        <f t="shared" si="8"/>
        <v>50694</v>
      </c>
      <c r="J47" s="92" t="s">
        <v>66</v>
      </c>
      <c r="K47" s="212">
        <f t="shared" si="6"/>
        <v>56020</v>
      </c>
      <c r="L47" s="236" t="s">
        <v>66</v>
      </c>
      <c r="M47" s="204" t="s">
        <v>66</v>
      </c>
      <c r="N47" s="214">
        <f>K47-'[5]Novembris'!K48</f>
        <v>1797</v>
      </c>
      <c r="O47" s="54" t="s">
        <v>356</v>
      </c>
      <c r="P47" s="212"/>
      <c r="Q47">
        <v>54223</v>
      </c>
      <c r="S47" s="208">
        <f t="shared" si="1"/>
        <v>-54223</v>
      </c>
    </row>
    <row r="48" spans="1:19" ht="15" customHeight="1">
      <c r="A48" s="237" t="s">
        <v>357</v>
      </c>
      <c r="B48" s="200">
        <v>16037317</v>
      </c>
      <c r="C48" s="92" t="s">
        <v>66</v>
      </c>
      <c r="D48" s="202">
        <f>36755760</f>
        <v>36755760</v>
      </c>
      <c r="E48" s="204" t="s">
        <v>66</v>
      </c>
      <c r="F48" s="204" t="s">
        <v>66</v>
      </c>
      <c r="G48" s="205">
        <f>D48-'[5]Novembris'!D49</f>
        <v>10986773</v>
      </c>
      <c r="H48" s="179" t="s">
        <v>357</v>
      </c>
      <c r="I48" s="213">
        <f t="shared" si="8"/>
        <v>16037</v>
      </c>
      <c r="J48" s="212" t="s">
        <v>66</v>
      </c>
      <c r="K48" s="212">
        <f t="shared" si="6"/>
        <v>36756</v>
      </c>
      <c r="L48" s="236" t="s">
        <v>66</v>
      </c>
      <c r="M48" s="204" t="s">
        <v>66</v>
      </c>
      <c r="N48" s="214">
        <f>K48-'[5]Novembris'!K49</f>
        <v>10987</v>
      </c>
      <c r="O48" s="179" t="s">
        <v>357</v>
      </c>
      <c r="P48" s="212"/>
      <c r="Q48">
        <v>25769</v>
      </c>
      <c r="S48" s="208">
        <f t="shared" si="1"/>
        <v>-25769</v>
      </c>
    </row>
    <row r="49" spans="1:19" ht="15" customHeight="1">
      <c r="A49" s="60" t="s">
        <v>358</v>
      </c>
      <c r="B49" s="200">
        <v>3627682</v>
      </c>
      <c r="C49" s="92" t="s">
        <v>66</v>
      </c>
      <c r="D49" s="202">
        <f>13117181+660000</f>
        <v>13777181</v>
      </c>
      <c r="E49" s="204" t="s">
        <v>66</v>
      </c>
      <c r="F49" s="204" t="s">
        <v>66</v>
      </c>
      <c r="G49" s="205">
        <f>D49-'[5]Novembris'!D50</f>
        <v>6892366</v>
      </c>
      <c r="H49" s="54" t="s">
        <v>359</v>
      </c>
      <c r="I49" s="213">
        <f t="shared" si="8"/>
        <v>3628</v>
      </c>
      <c r="J49" s="92">
        <v>3607</v>
      </c>
      <c r="K49" s="212">
        <f>ROUND(D49/1000,0)</f>
        <v>13777</v>
      </c>
      <c r="L49" s="238"/>
      <c r="M49" s="204" t="s">
        <v>66</v>
      </c>
      <c r="N49" s="214">
        <f>K49-'[5]Novembris'!K50</f>
        <v>6306</v>
      </c>
      <c r="O49" s="54" t="s">
        <v>358</v>
      </c>
      <c r="P49" s="212"/>
      <c r="Q49">
        <v>7471</v>
      </c>
      <c r="S49" s="208">
        <f t="shared" si="1"/>
        <v>-7471</v>
      </c>
    </row>
    <row r="50" spans="1:19" ht="15" customHeight="1">
      <c r="A50" s="60" t="s">
        <v>360</v>
      </c>
      <c r="B50" s="200">
        <v>-124962182</v>
      </c>
      <c r="C50" s="92" t="s">
        <v>66</v>
      </c>
      <c r="D50" s="202">
        <f>(D10-D16-D45)</f>
        <v>-802311478.06</v>
      </c>
      <c r="E50" s="204" t="s">
        <v>66</v>
      </c>
      <c r="F50" s="204" t="s">
        <v>66</v>
      </c>
      <c r="G50" s="205">
        <f>D50-'[5]Novembris'!D51</f>
        <v>-698504229.06</v>
      </c>
      <c r="H50" s="54" t="s">
        <v>360</v>
      </c>
      <c r="I50" s="202">
        <f t="shared" si="8"/>
        <v>-124962</v>
      </c>
      <c r="J50" s="239" t="s">
        <v>66</v>
      </c>
      <c r="K50" s="234">
        <f>(K10-K16-K45)</f>
        <v>-120870</v>
      </c>
      <c r="L50" s="236" t="s">
        <v>66</v>
      </c>
      <c r="M50" s="204" t="s">
        <v>66</v>
      </c>
      <c r="N50" s="214">
        <f>K50-'[5]Novembris'!K51+1</f>
        <v>-17061</v>
      </c>
      <c r="O50" s="54" t="s">
        <v>360</v>
      </c>
      <c r="P50" s="234"/>
      <c r="Q50">
        <v>-103808</v>
      </c>
      <c r="S50" s="208">
        <f t="shared" si="1"/>
        <v>103808</v>
      </c>
    </row>
    <row r="51" spans="1:19" ht="15" customHeight="1">
      <c r="A51" s="112" t="s">
        <v>361</v>
      </c>
      <c r="B51" s="200">
        <f>B52+B53+B54</f>
        <v>124962182</v>
      </c>
      <c r="C51" s="92" t="s">
        <v>66</v>
      </c>
      <c r="D51" s="202">
        <f>-D50</f>
        <v>802311478.06</v>
      </c>
      <c r="E51" s="204" t="s">
        <v>66</v>
      </c>
      <c r="F51" s="204" t="s">
        <v>66</v>
      </c>
      <c r="G51" s="205">
        <f>D51-'[5]Novembris'!D52</f>
        <v>698504229.06</v>
      </c>
      <c r="H51" s="113" t="s">
        <v>361</v>
      </c>
      <c r="I51" s="202">
        <f t="shared" si="8"/>
        <v>124962</v>
      </c>
      <c r="J51" s="239" t="s">
        <v>66</v>
      </c>
      <c r="K51" s="234">
        <f>-K50</f>
        <v>120870</v>
      </c>
      <c r="L51" s="236" t="s">
        <v>66</v>
      </c>
      <c r="M51" s="204" t="s">
        <v>66</v>
      </c>
      <c r="N51" s="214">
        <f>K51-'[5]Novembris'!K52-1</f>
        <v>17061</v>
      </c>
      <c r="O51" s="113" t="s">
        <v>361</v>
      </c>
      <c r="P51" s="234"/>
      <c r="Q51">
        <v>103808</v>
      </c>
      <c r="S51" s="208">
        <f t="shared" si="1"/>
        <v>-103808</v>
      </c>
    </row>
    <row r="52" spans="1:19" ht="14.25" customHeight="1">
      <c r="A52" s="240" t="s">
        <v>362</v>
      </c>
      <c r="B52" s="200">
        <v>31009334</v>
      </c>
      <c r="C52" s="92" t="s">
        <v>66</v>
      </c>
      <c r="D52" s="202">
        <v>3015800</v>
      </c>
      <c r="E52" s="204" t="s">
        <v>66</v>
      </c>
      <c r="F52" s="204" t="s">
        <v>66</v>
      </c>
      <c r="G52" s="205">
        <f>D52-'[5]Novembris'!D53</f>
        <v>970705</v>
      </c>
      <c r="H52" s="179" t="s">
        <v>362</v>
      </c>
      <c r="I52" s="202">
        <f t="shared" si="8"/>
        <v>31009</v>
      </c>
      <c r="J52" s="239" t="s">
        <v>66</v>
      </c>
      <c r="K52" s="234">
        <f>D52/1000</f>
        <v>3015.8</v>
      </c>
      <c r="L52" s="236" t="s">
        <v>66</v>
      </c>
      <c r="M52" s="204" t="s">
        <v>66</v>
      </c>
      <c r="N52" s="214">
        <f>K52-'[5]Novembris'!K53</f>
        <v>970.8000000000002</v>
      </c>
      <c r="O52" s="179" t="s">
        <v>362</v>
      </c>
      <c r="P52" s="234"/>
      <c r="Q52">
        <v>2045</v>
      </c>
      <c r="S52" s="208">
        <f t="shared" si="1"/>
        <v>-2045</v>
      </c>
    </row>
    <row r="53" spans="1:19" ht="15" customHeight="1">
      <c r="A53" s="240" t="s">
        <v>363</v>
      </c>
      <c r="B53" s="200">
        <v>500000</v>
      </c>
      <c r="C53" s="92" t="s">
        <v>66</v>
      </c>
      <c r="D53" s="202">
        <v>502471</v>
      </c>
      <c r="E53" s="204" t="s">
        <v>66</v>
      </c>
      <c r="F53" s="204" t="s">
        <v>66</v>
      </c>
      <c r="G53" s="205">
        <f>D53-'[5]Novembris'!D54</f>
        <v>6378</v>
      </c>
      <c r="H53" s="93" t="s">
        <v>363</v>
      </c>
      <c r="I53" s="202">
        <f t="shared" si="8"/>
        <v>500</v>
      </c>
      <c r="J53" s="239" t="s">
        <v>66</v>
      </c>
      <c r="K53" s="234">
        <f>D53/1000</f>
        <v>502.471</v>
      </c>
      <c r="L53" s="236" t="s">
        <v>66</v>
      </c>
      <c r="M53" s="204" t="s">
        <v>66</v>
      </c>
      <c r="N53" s="214">
        <f>K53-'[5]Novembris'!K54</f>
        <v>6.471000000000004</v>
      </c>
      <c r="O53" s="93" t="s">
        <v>363</v>
      </c>
      <c r="P53" s="234"/>
      <c r="Q53">
        <v>496</v>
      </c>
      <c r="S53" s="208">
        <f t="shared" si="1"/>
        <v>-496</v>
      </c>
    </row>
    <row r="54" spans="1:19" ht="15" customHeight="1">
      <c r="A54" s="60" t="s">
        <v>364</v>
      </c>
      <c r="B54" s="200">
        <v>93452848</v>
      </c>
      <c r="C54" s="92" t="s">
        <v>66</v>
      </c>
      <c r="D54" s="202">
        <f>D51-D52-D53</f>
        <v>798793207.06</v>
      </c>
      <c r="E54" s="204" t="s">
        <v>66</v>
      </c>
      <c r="F54" s="204" t="s">
        <v>66</v>
      </c>
      <c r="G54" s="205">
        <f>D54-'[5]Novembris'!D55</f>
        <v>697527146.06</v>
      </c>
      <c r="H54" s="54" t="s">
        <v>364</v>
      </c>
      <c r="I54" s="202">
        <f t="shared" si="8"/>
        <v>93453</v>
      </c>
      <c r="J54" s="239" t="s">
        <v>66</v>
      </c>
      <c r="K54" s="234">
        <f>K51-K52-K53</f>
        <v>117351.72899999999</v>
      </c>
      <c r="L54" s="236" t="s">
        <v>66</v>
      </c>
      <c r="M54" s="204" t="s">
        <v>66</v>
      </c>
      <c r="N54" s="214">
        <f>K54-'[5]Novembris'!K55-1</f>
        <v>16083.728999999992</v>
      </c>
      <c r="O54" s="54" t="s">
        <v>364</v>
      </c>
      <c r="P54" s="234"/>
      <c r="Q54">
        <v>101267</v>
      </c>
      <c r="S54" s="208">
        <f t="shared" si="1"/>
        <v>-101267</v>
      </c>
    </row>
    <row r="55" spans="1:10" ht="12.75">
      <c r="A55" s="39"/>
      <c r="B55" s="39"/>
      <c r="C55" s="39"/>
      <c r="D55" s="241"/>
      <c r="H55" s="2"/>
      <c r="I55" s="39"/>
      <c r="J55" s="242"/>
    </row>
    <row r="56" spans="1:8" ht="12.75">
      <c r="A56" s="39"/>
      <c r="B56" s="39"/>
      <c r="C56" s="39"/>
      <c r="D56" s="241"/>
      <c r="H56" s="39" t="s">
        <v>365</v>
      </c>
    </row>
    <row r="57" spans="1:4" ht="12.75">
      <c r="A57" s="39"/>
      <c r="B57" s="39"/>
      <c r="C57" s="39"/>
      <c r="D57" s="241"/>
    </row>
    <row r="58" spans="1:4" ht="12.75">
      <c r="A58" s="39"/>
      <c r="B58" s="39"/>
      <c r="C58" s="39"/>
      <c r="D58" s="241"/>
    </row>
    <row r="59" spans="1:4" ht="12.75">
      <c r="A59" s="39"/>
      <c r="B59" s="39"/>
      <c r="C59" s="39"/>
      <c r="D59" s="241"/>
    </row>
    <row r="61" spans="1:11" ht="12.75">
      <c r="A61" s="37" t="s">
        <v>366</v>
      </c>
      <c r="H61" s="37" t="s">
        <v>367</v>
      </c>
      <c r="I61" s="43"/>
      <c r="J61" s="43"/>
      <c r="K61" s="193"/>
    </row>
    <row r="69" ht="12.75">
      <c r="A69" s="43" t="s">
        <v>178</v>
      </c>
    </row>
    <row r="70" ht="12.75">
      <c r="A70" s="43" t="s">
        <v>368</v>
      </c>
    </row>
    <row r="74" ht="12.75">
      <c r="H74" s="2" t="s">
        <v>178</v>
      </c>
    </row>
    <row r="75" ht="12.75">
      <c r="H75" s="2" t="s">
        <v>100</v>
      </c>
    </row>
  </sheetData>
  <printOptions/>
  <pageMargins left="0.75" right="0.22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4"/>
  <sheetViews>
    <sheetView workbookViewId="0" topLeftCell="G180">
      <selection activeCell="G189" sqref="G189"/>
    </sheetView>
  </sheetViews>
  <sheetFormatPr defaultColWidth="9.140625" defaultRowHeight="12.75"/>
  <cols>
    <col min="1" max="1" width="36.57421875" style="244" hidden="1" customWidth="1"/>
    <col min="2" max="2" width="13.421875" style="260" hidden="1" customWidth="1"/>
    <col min="3" max="3" width="13.28125" style="260" hidden="1" customWidth="1"/>
    <col min="4" max="4" width="12.7109375" style="260" hidden="1" customWidth="1"/>
    <col min="5" max="5" width="9.140625" style="244" hidden="1" customWidth="1"/>
    <col min="6" max="6" width="13.140625" style="244" hidden="1" customWidth="1"/>
    <col min="7" max="7" width="39.140625" style="244" customWidth="1"/>
    <col min="8" max="8" width="12.140625" style="244" customWidth="1"/>
    <col min="9" max="9" width="13.00390625" style="244" customWidth="1"/>
    <col min="10" max="11" width="9.28125" style="244" customWidth="1"/>
    <col min="12" max="12" width="9.7109375" style="244" customWidth="1"/>
    <col min="13" max="16384" width="9.140625" style="244" customWidth="1"/>
  </cols>
  <sheetData>
    <row r="1" spans="1:12" ht="12.75">
      <c r="A1" s="243"/>
      <c r="B1" s="38"/>
      <c r="C1" s="38"/>
      <c r="D1" s="38"/>
      <c r="E1" s="243"/>
      <c r="F1" s="243" t="s">
        <v>369</v>
      </c>
      <c r="L1" s="243" t="s">
        <v>369</v>
      </c>
    </row>
    <row r="2" spans="1:12" ht="12.75">
      <c r="A2" s="32" t="s">
        <v>370</v>
      </c>
      <c r="B2" s="35"/>
      <c r="C2" s="35"/>
      <c r="D2" s="35"/>
      <c r="E2" s="32"/>
      <c r="F2" s="243"/>
      <c r="G2" s="643" t="s">
        <v>102</v>
      </c>
      <c r="H2" s="643"/>
      <c r="I2" s="643"/>
      <c r="J2" s="643"/>
      <c r="K2" s="643"/>
      <c r="L2" s="643"/>
    </row>
    <row r="3" spans="1:6" ht="12.75">
      <c r="A3" s="32"/>
      <c r="B3" s="35"/>
      <c r="C3" s="35"/>
      <c r="D3" s="35"/>
      <c r="E3" s="32"/>
      <c r="F3" s="243"/>
    </row>
    <row r="4" spans="1:12" ht="18">
      <c r="A4" s="648" t="s">
        <v>371</v>
      </c>
      <c r="B4" s="648"/>
      <c r="C4" s="648"/>
      <c r="D4" s="648"/>
      <c r="E4" s="648"/>
      <c r="F4" s="648"/>
      <c r="G4" s="649" t="s">
        <v>371</v>
      </c>
      <c r="H4" s="649"/>
      <c r="I4" s="649"/>
      <c r="J4" s="649"/>
      <c r="K4" s="649"/>
      <c r="L4" s="649"/>
    </row>
    <row r="5" spans="1:12" ht="18">
      <c r="A5" s="648" t="s">
        <v>372</v>
      </c>
      <c r="B5" s="648"/>
      <c r="C5" s="648"/>
      <c r="D5" s="648"/>
      <c r="E5" s="648"/>
      <c r="F5" s="648"/>
      <c r="G5" s="649" t="str">
        <f>A5</f>
        <v>(2000.gada  janvāris - decembris)</v>
      </c>
      <c r="H5" s="649"/>
      <c r="I5" s="649"/>
      <c r="J5" s="649"/>
      <c r="K5" s="649"/>
      <c r="L5" s="649"/>
    </row>
    <row r="6" spans="1:12" ht="18">
      <c r="A6" s="247"/>
      <c r="B6" s="245"/>
      <c r="C6" s="245"/>
      <c r="D6" s="245"/>
      <c r="E6" s="247"/>
      <c r="F6" s="247"/>
      <c r="G6" s="246"/>
      <c r="H6" s="246"/>
      <c r="I6" s="246"/>
      <c r="J6" s="246"/>
      <c r="K6" s="246"/>
      <c r="L6" s="246"/>
    </row>
    <row r="7" spans="1:12" ht="15">
      <c r="A7" s="247"/>
      <c r="B7" s="245"/>
      <c r="C7" s="245"/>
      <c r="D7" s="245"/>
      <c r="E7" s="247"/>
      <c r="F7" s="247"/>
      <c r="G7" s="247"/>
      <c r="H7" s="247"/>
      <c r="I7" s="247"/>
      <c r="J7" s="247"/>
      <c r="K7" s="247"/>
      <c r="L7" s="247"/>
    </row>
    <row r="8" spans="1:13" ht="14.25">
      <c r="A8" s="243"/>
      <c r="B8" s="38"/>
      <c r="C8" s="38"/>
      <c r="D8" s="38"/>
      <c r="E8" s="243"/>
      <c r="F8" s="243" t="s">
        <v>373</v>
      </c>
      <c r="L8" s="243" t="s">
        <v>374</v>
      </c>
      <c r="M8" s="248"/>
    </row>
    <row r="9" spans="1:12" ht="51" customHeight="1">
      <c r="A9" s="84" t="s">
        <v>59</v>
      </c>
      <c r="B9" s="249" t="s">
        <v>106</v>
      </c>
      <c r="C9" s="249" t="s">
        <v>303</v>
      </c>
      <c r="D9" s="249" t="s">
        <v>107</v>
      </c>
      <c r="E9" s="84" t="s">
        <v>375</v>
      </c>
      <c r="F9" s="84" t="s">
        <v>306</v>
      </c>
      <c r="G9" s="86" t="s">
        <v>59</v>
      </c>
      <c r="H9" s="86" t="s">
        <v>106</v>
      </c>
      <c r="I9" s="86" t="s">
        <v>376</v>
      </c>
      <c r="J9" s="86" t="s">
        <v>107</v>
      </c>
      <c r="K9" s="86" t="s">
        <v>375</v>
      </c>
      <c r="L9" s="86" t="str">
        <f>F9</f>
        <v>Decembra  izpilde</v>
      </c>
    </row>
    <row r="10" spans="1:12" ht="12.75">
      <c r="A10" s="91">
        <v>1</v>
      </c>
      <c r="B10" s="202">
        <v>2</v>
      </c>
      <c r="C10" s="250">
        <v>3</v>
      </c>
      <c r="D10" s="250">
        <v>4</v>
      </c>
      <c r="E10" s="93">
        <v>5</v>
      </c>
      <c r="F10" s="251">
        <v>6</v>
      </c>
      <c r="G10" s="91">
        <v>1</v>
      </c>
      <c r="H10" s="92">
        <v>2</v>
      </c>
      <c r="I10" s="93">
        <v>3</v>
      </c>
      <c r="J10" s="93">
        <v>4</v>
      </c>
      <c r="K10" s="93">
        <v>5</v>
      </c>
      <c r="L10" s="91">
        <v>6</v>
      </c>
    </row>
    <row r="11" spans="1:13" ht="12.75">
      <c r="A11" s="252" t="s">
        <v>377</v>
      </c>
      <c r="B11" s="115">
        <f>SUM(B23,B30,B36,B41,B45,B52,B64,B72,B86,B93,B100,B111,B167,B175,B181,B188)</f>
        <v>692932778</v>
      </c>
      <c r="C11" s="115">
        <f>SUM(C23+C30+C36+C41+C45+C52+C64+C72+C86+C93+C100+C111+C167+C175+C181+C188)</f>
        <v>692932778</v>
      </c>
      <c r="D11" s="115">
        <f>SUM(D23+D30+D36+D41+D45+D52+D64+D72+D86+D93+D100+D111+D167+D175+D181+D188)</f>
        <v>682855525</v>
      </c>
      <c r="E11" s="253">
        <f>IF(ISERROR(D11/B11)," ",(D11/B11))</f>
        <v>0.9854570986970975</v>
      </c>
      <c r="F11" s="106">
        <f>SUM(F23+F30+F36+F45+F52+F64+F72+F86+F93+F100+F111+F167+F175+F181+F188)</f>
        <v>63095598</v>
      </c>
      <c r="G11" s="252" t="s">
        <v>377</v>
      </c>
      <c r="H11" s="254">
        <f>SUM(+H23+H30+H36+H41+H45+H52+H64+H72+H86+H93+H100+H111+H167+H175+H181+H188)</f>
        <v>692933</v>
      </c>
      <c r="I11" s="115">
        <f>SUM(I23+I30+I36+I41+I45+I52+I64+I72+I86+I93+I100+I111+I167+I175+I181+I188)</f>
        <v>692933</v>
      </c>
      <c r="J11" s="254">
        <f>SUM(J23+J30+J36+J45+J52+J64+J72+J86+J93+J100+J111+J167+J175+J181+J188)</f>
        <v>682855</v>
      </c>
      <c r="K11" s="171">
        <f>IF(ISERROR(ROUND(J11,0)/ROUND(H11,0))," ",(ROUND(J11,)/ROUND(H11,)))*100</f>
        <v>98.54560253300103</v>
      </c>
      <c r="L11" s="254">
        <f>SUM(L23+L30+L36+L45+L52+L64+L72+L86+L93+L100+L111+L167+L175+L181+L188)</f>
        <v>63095</v>
      </c>
      <c r="M11" s="255"/>
    </row>
    <row r="12" spans="1:13" ht="12.75">
      <c r="A12" s="252" t="s">
        <v>378</v>
      </c>
      <c r="B12" s="115">
        <f>B13+B15</f>
        <v>737587665</v>
      </c>
      <c r="C12" s="115">
        <f>C13+C15</f>
        <v>737587665</v>
      </c>
      <c r="D12" s="115">
        <f>D13+D15</f>
        <v>717195118</v>
      </c>
      <c r="E12" s="256">
        <f aca="true" t="shared" si="0" ref="E12:E74">IF(ISERROR(D12/B12)," ",(D12/B12))</f>
        <v>0.9723523752257978</v>
      </c>
      <c r="F12" s="257">
        <f>F13+F15</f>
        <v>61043574</v>
      </c>
      <c r="G12" s="252" t="s">
        <v>378</v>
      </c>
      <c r="H12" s="254">
        <f>H13+H15</f>
        <v>737587</v>
      </c>
      <c r="I12" s="254">
        <f>I13+I15</f>
        <v>737587</v>
      </c>
      <c r="J12" s="254">
        <f>J13+J15</f>
        <v>717195</v>
      </c>
      <c r="K12" s="171">
        <f aca="true" t="shared" si="1" ref="K12:K74">IF(ISERROR(ROUND(J12,0)/ROUND(H12,0))," ",(ROUND(J12,)/ROUND(H12,)))*100</f>
        <v>97.23530919064463</v>
      </c>
      <c r="L12" s="254">
        <f>L13+L15</f>
        <v>61043</v>
      </c>
      <c r="M12" s="255"/>
    </row>
    <row r="13" spans="1:12" ht="12.75">
      <c r="A13" s="252" t="s">
        <v>379</v>
      </c>
      <c r="B13" s="115">
        <f>SUM(B26,B34,B39,B48,B55,B68,B79,B90,B95,B105,B116,B172,B177,B186,B191)</f>
        <v>705943293</v>
      </c>
      <c r="C13" s="115">
        <f>SUM(C26+C34+C39+C48+C55+C68+C79+C90+C95+C105+C116+C172+C177+C186+C191)</f>
        <v>705943293</v>
      </c>
      <c r="D13" s="115">
        <f>SUM(D26+D34+D39+D48+D55+D68+D79+D90+D95+D105+D116+D172+D177+D186+D191)</f>
        <v>688139420</v>
      </c>
      <c r="E13" s="256">
        <f t="shared" si="0"/>
        <v>0.9747800238680078</v>
      </c>
      <c r="F13" s="106">
        <f>SUM(F26+F34+F39+F48+F55+F68+F79+F90+F95+F105+F116+F172+F177+F186+F191)</f>
        <v>55893192</v>
      </c>
      <c r="G13" s="252" t="s">
        <v>380</v>
      </c>
      <c r="H13" s="258">
        <f>ROUND(B13/1000,0)</f>
        <v>705943</v>
      </c>
      <c r="I13" s="258">
        <f>ROUND(C13/1000,0)</f>
        <v>705943</v>
      </c>
      <c r="J13" s="115">
        <f>SUM(J26+J34+J39+J48+J55+J68+J79+J90+J95+J105+J116+J172+J177+J186+J191)</f>
        <v>688139</v>
      </c>
      <c r="K13" s="171">
        <f t="shared" si="1"/>
        <v>97.47798334993053</v>
      </c>
      <c r="L13" s="106">
        <f>SUM(L26+L34+L39+L48+L55+L68+L79+L90+L95+L105+L116+L172+L177+L186+L191)</f>
        <v>55893</v>
      </c>
    </row>
    <row r="14" spans="1:12" ht="25.5">
      <c r="A14" s="62" t="s">
        <v>381</v>
      </c>
      <c r="B14" s="115">
        <v>2967682</v>
      </c>
      <c r="C14" s="115"/>
      <c r="D14" s="115">
        <f>SUM(D49,D56,D80,D106,D192)</f>
        <v>2947183</v>
      </c>
      <c r="E14" s="256">
        <f t="shared" si="0"/>
        <v>0.9930925887611948</v>
      </c>
      <c r="F14" s="115">
        <f>SUM(F49,F56,F80,F106,F192)</f>
        <v>75488</v>
      </c>
      <c r="G14" s="62" t="str">
        <f>A14</f>
        <v>        t.sk. aizņēmuma atmaksa pamatbudžetā</v>
      </c>
      <c r="H14" s="258">
        <f>ROUND(B14/1000,0)</f>
        <v>2968</v>
      </c>
      <c r="I14" s="106"/>
      <c r="J14" s="258">
        <f>ROUND(D14/1000,0)+1</f>
        <v>2948</v>
      </c>
      <c r="K14" s="258">
        <f>ROUND(E14/1000,0)</f>
        <v>0</v>
      </c>
      <c r="L14" s="258">
        <f>ROUND(F14/1000,0)+1</f>
        <v>76</v>
      </c>
    </row>
    <row r="15" spans="1:12" ht="12.75">
      <c r="A15" s="252" t="s">
        <v>382</v>
      </c>
      <c r="B15" s="115">
        <f>SUM(B27+B50+B57+B69+B81+B91+B96+B107+B117+B173+B178+B193)</f>
        <v>31644372</v>
      </c>
      <c r="C15" s="115">
        <f>SUM(C27+C50+C57+C69+C81+C91+C96+C107+C117+C173+C178+C193)</f>
        <v>31644372</v>
      </c>
      <c r="D15" s="115">
        <f>SUM(D27+D50+D57+D69+D81+D91+D96+D107+D117+D173+D178+D193)</f>
        <v>29055698</v>
      </c>
      <c r="E15" s="256">
        <f t="shared" si="0"/>
        <v>0.9181948056987828</v>
      </c>
      <c r="F15" s="106">
        <f>SUM(F27+F50+F57+F69+F81+F91+F96+F107+F117+F173+F178+F193)</f>
        <v>5150382</v>
      </c>
      <c r="G15" s="252" t="s">
        <v>382</v>
      </c>
      <c r="H15" s="258">
        <f>ROUND(B15/1000,0)</f>
        <v>31644</v>
      </c>
      <c r="I15" s="258">
        <f>ROUND(C15/1000,0)</f>
        <v>31644</v>
      </c>
      <c r="J15" s="106">
        <f>SUM(J27+J50+J57+J69+J81+J91+J96+J107+J117+J173+J178+J193)</f>
        <v>29056</v>
      </c>
      <c r="K15" s="171">
        <f t="shared" si="1"/>
        <v>91.82151434711162</v>
      </c>
      <c r="L15" s="106">
        <f>SUM(L27+L50+L57+L69+L81+L91+L96+L107+L117+L173+L178+L193)</f>
        <v>5150</v>
      </c>
    </row>
    <row r="16" spans="1:13" ht="12.75">
      <c r="A16" s="252" t="s">
        <v>383</v>
      </c>
      <c r="B16" s="115">
        <f aca="true" t="shared" si="2" ref="B16:D17">SUM(B58)</f>
        <v>6756000</v>
      </c>
      <c r="C16" s="115"/>
      <c r="D16" s="115">
        <f t="shared" si="2"/>
        <v>5426134</v>
      </c>
      <c r="E16" s="256">
        <f t="shared" si="0"/>
        <v>0.8031577856719953</v>
      </c>
      <c r="F16" s="257">
        <f>SUM(F58)</f>
        <v>689653</v>
      </c>
      <c r="G16" s="252" t="s">
        <v>383</v>
      </c>
      <c r="H16" s="254">
        <f aca="true" t="shared" si="3" ref="H16:J17">SUM(H58)</f>
        <v>6756</v>
      </c>
      <c r="I16" s="254">
        <f t="shared" si="3"/>
        <v>0</v>
      </c>
      <c r="J16" s="254">
        <f>SUM(J58)</f>
        <v>5426</v>
      </c>
      <c r="K16" s="171">
        <f t="shared" si="1"/>
        <v>80.31379514505625</v>
      </c>
      <c r="L16" s="254">
        <f>SUM(L58)</f>
        <v>690</v>
      </c>
      <c r="M16" s="259"/>
    </row>
    <row r="17" spans="1:13" ht="12.75">
      <c r="A17" s="252" t="s">
        <v>384</v>
      </c>
      <c r="B17" s="115">
        <f t="shared" si="2"/>
        <v>16380</v>
      </c>
      <c r="C17" s="115"/>
      <c r="D17" s="115">
        <f t="shared" si="2"/>
        <v>61040</v>
      </c>
      <c r="E17" s="256">
        <f t="shared" si="0"/>
        <v>3.7264957264957266</v>
      </c>
      <c r="F17" s="257">
        <f>SUM(F59)</f>
        <v>9310</v>
      </c>
      <c r="G17" s="252" t="s">
        <v>384</v>
      </c>
      <c r="H17" s="254">
        <f t="shared" si="3"/>
        <v>16</v>
      </c>
      <c r="I17" s="254">
        <f t="shared" si="3"/>
        <v>0</v>
      </c>
      <c r="J17" s="254">
        <f t="shared" si="3"/>
        <v>61</v>
      </c>
      <c r="K17" s="171">
        <f t="shared" si="1"/>
        <v>381.25</v>
      </c>
      <c r="L17" s="254">
        <f>SUM(L59)</f>
        <v>9</v>
      </c>
      <c r="M17" s="259"/>
    </row>
    <row r="18" spans="1:13" ht="12.75">
      <c r="A18" s="252" t="s">
        <v>385</v>
      </c>
      <c r="B18" s="115">
        <f>B11-B12-B16+B17</f>
        <v>-51394507</v>
      </c>
      <c r="C18" s="115">
        <f>C11-C12-C16+C17</f>
        <v>-44654887</v>
      </c>
      <c r="D18" s="115">
        <f>D11-D12-D16+D17</f>
        <v>-39704687</v>
      </c>
      <c r="E18" s="256">
        <f t="shared" si="0"/>
        <v>0.7725472879815736</v>
      </c>
      <c r="F18" s="257">
        <f>F11-F12-F16+F17</f>
        <v>1371681</v>
      </c>
      <c r="G18" s="252" t="s">
        <v>385</v>
      </c>
      <c r="H18" s="106">
        <f>H11-H12-H16+H17</f>
        <v>-51394</v>
      </c>
      <c r="I18" s="106">
        <f>I11-I12-I16+I17</f>
        <v>-44654</v>
      </c>
      <c r="J18" s="106">
        <f>J11-J12-J16+J17</f>
        <v>-39705</v>
      </c>
      <c r="K18" s="171">
        <f t="shared" si="1"/>
        <v>77.25609993384441</v>
      </c>
      <c r="L18" s="106">
        <f>L11-L12-L16+L17</f>
        <v>1371</v>
      </c>
      <c r="M18" s="259"/>
    </row>
    <row r="19" spans="1:13" ht="25.5">
      <c r="A19" s="62" t="s">
        <v>386</v>
      </c>
      <c r="B19" s="115">
        <f>SUM(B61+B83+B119+B109+B195)</f>
        <v>50694324</v>
      </c>
      <c r="C19" s="115">
        <f>SUM(C61+C83+C109+C119+C195)</f>
        <v>50694324</v>
      </c>
      <c r="D19" s="115">
        <f>SUM(D61,D83,D109,D119,D195)</f>
        <v>45850473</v>
      </c>
      <c r="E19" s="256">
        <f t="shared" si="0"/>
        <v>0.9044498354490337</v>
      </c>
      <c r="F19" s="106">
        <f>SUM(F61+F83+F97+F109+F119+F195-F49)</f>
        <v>-3895648</v>
      </c>
      <c r="G19" s="62" t="s">
        <v>386</v>
      </c>
      <c r="H19" s="106">
        <f>SUM(H61+H83+H109+H119+H195)</f>
        <v>50694</v>
      </c>
      <c r="I19" s="254">
        <f>SUM(I61+I83+I109+I119+I195)</f>
        <v>50694</v>
      </c>
      <c r="J19" s="258">
        <f>ROUND(D19/1000,0)</f>
        <v>45850</v>
      </c>
      <c r="K19" s="171">
        <f t="shared" si="1"/>
        <v>90.44462855564761</v>
      </c>
      <c r="L19" s="254">
        <f>SUM(L61+L83+L97+L109+L119+L195-L49)</f>
        <v>-3896</v>
      </c>
      <c r="M19" s="259"/>
    </row>
    <row r="20" spans="1:13" ht="25.5" hidden="1">
      <c r="A20" s="62" t="s">
        <v>387</v>
      </c>
      <c r="B20" s="115"/>
      <c r="C20" s="115"/>
      <c r="D20" s="115"/>
      <c r="E20" s="115"/>
      <c r="F20" s="115"/>
      <c r="G20" s="62" t="s">
        <v>387</v>
      </c>
      <c r="H20" s="106"/>
      <c r="I20" s="254"/>
      <c r="J20" s="258">
        <f>ROUND(D20/1000,0)</f>
        <v>0</v>
      </c>
      <c r="K20" s="258">
        <f>ROUND(E20/1000,0)</f>
        <v>0</v>
      </c>
      <c r="L20" s="258">
        <f>ROUND(F20/1000,0)</f>
        <v>0</v>
      </c>
      <c r="M20" s="259"/>
    </row>
    <row r="21" spans="1:12" ht="12.75">
      <c r="A21" s="252" t="s">
        <v>268</v>
      </c>
      <c r="B21" s="115"/>
      <c r="C21" s="115"/>
      <c r="D21" s="115"/>
      <c r="E21" s="256" t="str">
        <f t="shared" si="0"/>
        <v> </v>
      </c>
      <c r="F21" s="257"/>
      <c r="G21" s="252" t="s">
        <v>268</v>
      </c>
      <c r="H21" s="254"/>
      <c r="I21" s="254"/>
      <c r="J21" s="254"/>
      <c r="K21" s="171"/>
      <c r="L21" s="254"/>
    </row>
    <row r="22" spans="1:12" ht="12.75">
      <c r="A22" s="92" t="s">
        <v>388</v>
      </c>
      <c r="B22" s="115"/>
      <c r="C22" s="115"/>
      <c r="D22" s="115"/>
      <c r="E22" s="256" t="str">
        <f t="shared" si="0"/>
        <v> </v>
      </c>
      <c r="F22" s="257"/>
      <c r="G22" s="217" t="s">
        <v>388</v>
      </c>
      <c r="H22" s="254"/>
      <c r="I22" s="254"/>
      <c r="J22" s="254"/>
      <c r="K22" s="171"/>
      <c r="L22" s="254"/>
    </row>
    <row r="23" spans="1:12" ht="12.75">
      <c r="A23" s="252" t="s">
        <v>389</v>
      </c>
      <c r="B23" s="214">
        <f>B24</f>
        <v>2100500</v>
      </c>
      <c r="C23" s="214">
        <f>SUM(C24)</f>
        <v>2100500</v>
      </c>
      <c r="D23" s="115">
        <f>D24</f>
        <v>2146729</v>
      </c>
      <c r="E23" s="256">
        <f t="shared" si="0"/>
        <v>1.0220085693882408</v>
      </c>
      <c r="F23" s="106">
        <f>F24</f>
        <v>96134</v>
      </c>
      <c r="G23" s="252" t="s">
        <v>389</v>
      </c>
      <c r="H23" s="258">
        <f>H24</f>
        <v>2101</v>
      </c>
      <c r="I23" s="258">
        <f>ROUND(C23/1000,0)</f>
        <v>2101</v>
      </c>
      <c r="J23" s="258">
        <f>J24</f>
        <v>2147</v>
      </c>
      <c r="K23" s="171">
        <f t="shared" si="1"/>
        <v>102.18943360304618</v>
      </c>
      <c r="L23" s="258">
        <f>SUM(L24)</f>
        <v>96</v>
      </c>
    </row>
    <row r="24" spans="1:12" ht="12.75">
      <c r="A24" s="252" t="s">
        <v>390</v>
      </c>
      <c r="B24" s="115">
        <v>2100500</v>
      </c>
      <c r="C24" s="260">
        <v>2100500</v>
      </c>
      <c r="D24" s="115">
        <f>'[6]Decembris'!$L$6</f>
        <v>2146729</v>
      </c>
      <c r="E24" s="256">
        <f t="shared" si="0"/>
        <v>1.0220085693882408</v>
      </c>
      <c r="F24" s="257">
        <f>D24-'[7]Novembris'!D24</f>
        <v>96134</v>
      </c>
      <c r="G24" s="252" t="s">
        <v>390</v>
      </c>
      <c r="H24" s="258">
        <f>ROUND(B24/1000,0)</f>
        <v>2101</v>
      </c>
      <c r="I24" s="258">
        <f>ROUND(C24/1000,0)</f>
        <v>2101</v>
      </c>
      <c r="J24" s="258">
        <f>ROUND(D24/1000,0)</f>
        <v>2147</v>
      </c>
      <c r="K24" s="171">
        <f t="shared" si="1"/>
        <v>102.18943360304618</v>
      </c>
      <c r="L24" s="258">
        <f>J24-'[7]Novembris'!J24</f>
        <v>96</v>
      </c>
    </row>
    <row r="25" spans="1:12" ht="12.75">
      <c r="A25" s="252" t="s">
        <v>391</v>
      </c>
      <c r="B25" s="115">
        <f>B26+B27</f>
        <v>2059242</v>
      </c>
      <c r="C25" s="214">
        <f>SUM(C26:C27)</f>
        <v>2059242</v>
      </c>
      <c r="D25" s="115">
        <f>D26+D27</f>
        <v>2058870</v>
      </c>
      <c r="E25" s="256">
        <f t="shared" si="0"/>
        <v>0.9998193510039131</v>
      </c>
      <c r="F25" s="106">
        <f>F26+F27</f>
        <v>109841</v>
      </c>
      <c r="G25" s="252" t="s">
        <v>391</v>
      </c>
      <c r="H25" s="254">
        <f>H26+H27</f>
        <v>2060</v>
      </c>
      <c r="I25" s="258">
        <f>ROUND(C25/1000,0)</f>
        <v>2059</v>
      </c>
      <c r="J25" s="254">
        <f>J26+J27</f>
        <v>2058</v>
      </c>
      <c r="K25" s="171">
        <f t="shared" si="1"/>
        <v>99.90291262135922</v>
      </c>
      <c r="L25" s="254">
        <f>L26+L27</f>
        <v>109</v>
      </c>
    </row>
    <row r="26" spans="1:12" ht="12.75">
      <c r="A26" s="252" t="s">
        <v>392</v>
      </c>
      <c r="B26" s="115">
        <v>2014500</v>
      </c>
      <c r="C26" s="214">
        <v>2014500</v>
      </c>
      <c r="D26" s="115">
        <f>'[6]Decembris'!$L$8</f>
        <v>2014489</v>
      </c>
      <c r="E26" s="256">
        <f t="shared" si="0"/>
        <v>0.9999945395879871</v>
      </c>
      <c r="F26" s="257">
        <f>D26-'[7]Novembris'!D26</f>
        <v>94377</v>
      </c>
      <c r="G26" s="252" t="s">
        <v>392</v>
      </c>
      <c r="H26" s="258">
        <f aca="true" t="shared" si="4" ref="H26:J27">ROUND(B26/1000,0)</f>
        <v>2015</v>
      </c>
      <c r="I26" s="258">
        <f>ROUND(C26/1000,0)</f>
        <v>2015</v>
      </c>
      <c r="J26" s="258">
        <f>ROUND(D26/1000,0)</f>
        <v>2014</v>
      </c>
      <c r="K26" s="171">
        <f t="shared" si="1"/>
        <v>99.95037220843672</v>
      </c>
      <c r="L26" s="258">
        <f>J26-'[7]Novembris'!J26</f>
        <v>94</v>
      </c>
    </row>
    <row r="27" spans="1:12" ht="12.75">
      <c r="A27" s="252" t="s">
        <v>382</v>
      </c>
      <c r="B27" s="115">
        <v>44742</v>
      </c>
      <c r="C27" s="214">
        <v>44742</v>
      </c>
      <c r="D27" s="115">
        <f>'[6]Decembris'!$L$30</f>
        <v>44381</v>
      </c>
      <c r="E27" s="256">
        <f t="shared" si="0"/>
        <v>0.9919315184837513</v>
      </c>
      <c r="F27" s="257">
        <f>D27-'[7]Novembris'!D27</f>
        <v>15464</v>
      </c>
      <c r="G27" s="252" t="s">
        <v>382</v>
      </c>
      <c r="H27" s="258">
        <f t="shared" si="4"/>
        <v>45</v>
      </c>
      <c r="I27" s="258">
        <f t="shared" si="4"/>
        <v>45</v>
      </c>
      <c r="J27" s="258">
        <f t="shared" si="4"/>
        <v>44</v>
      </c>
      <c r="K27" s="171">
        <f t="shared" si="1"/>
        <v>97.77777777777777</v>
      </c>
      <c r="L27" s="258">
        <f>J27-'[7]Novembris'!J27</f>
        <v>15</v>
      </c>
    </row>
    <row r="28" spans="1:12" ht="12.75">
      <c r="A28" s="252" t="s">
        <v>269</v>
      </c>
      <c r="B28" s="115"/>
      <c r="C28" s="214"/>
      <c r="D28" s="115"/>
      <c r="E28" s="256" t="str">
        <f t="shared" si="0"/>
        <v> </v>
      </c>
      <c r="F28" s="257"/>
      <c r="G28" s="252" t="s">
        <v>269</v>
      </c>
      <c r="H28" s="254"/>
      <c r="I28" s="254"/>
      <c r="J28" s="254"/>
      <c r="K28" s="171"/>
      <c r="L28" s="254"/>
    </row>
    <row r="29" spans="1:12" ht="36.75" customHeight="1">
      <c r="A29" s="93" t="s">
        <v>393</v>
      </c>
      <c r="B29" s="115"/>
      <c r="C29" s="214"/>
      <c r="D29" s="115"/>
      <c r="E29" s="256" t="str">
        <f t="shared" si="0"/>
        <v> </v>
      </c>
      <c r="F29" s="257"/>
      <c r="G29" s="136" t="s">
        <v>393</v>
      </c>
      <c r="H29" s="254"/>
      <c r="I29" s="254"/>
      <c r="J29" s="254"/>
      <c r="K29" s="171"/>
      <c r="L29" s="254"/>
    </row>
    <row r="30" spans="1:12" ht="12.75">
      <c r="A30" s="252" t="s">
        <v>389</v>
      </c>
      <c r="B30" s="115">
        <f>B31+B32</f>
        <v>1770000</v>
      </c>
      <c r="C30" s="115">
        <v>1770000</v>
      </c>
      <c r="D30" s="115">
        <f>SUM(D31:D32)</f>
        <v>3194139</v>
      </c>
      <c r="E30" s="256">
        <f t="shared" si="0"/>
        <v>1.8045983050847458</v>
      </c>
      <c r="F30" s="257">
        <f>F31+F32</f>
        <v>269464</v>
      </c>
      <c r="G30" s="252" t="s">
        <v>389</v>
      </c>
      <c r="H30" s="254">
        <f>H31+H32</f>
        <v>1770</v>
      </c>
      <c r="I30" s="258">
        <f>ROUND(C30/1000,0)</f>
        <v>1770</v>
      </c>
      <c r="J30" s="254">
        <f>J31+J32</f>
        <v>3194</v>
      </c>
      <c r="K30" s="171">
        <f t="shared" si="1"/>
        <v>180.45197740112994</v>
      </c>
      <c r="L30" s="254">
        <f>SUM(L31:L32)</f>
        <v>269</v>
      </c>
    </row>
    <row r="31" spans="1:12" ht="25.5">
      <c r="A31" s="62" t="s">
        <v>394</v>
      </c>
      <c r="B31" s="115">
        <v>1415000</v>
      </c>
      <c r="D31" s="115">
        <f>2001636+236082+144028+160840+53370</f>
        <v>2595956</v>
      </c>
      <c r="E31" s="256">
        <f t="shared" si="0"/>
        <v>1.8345978798586573</v>
      </c>
      <c r="F31" s="257">
        <f>D31-'[7]Novembris'!D31</f>
        <v>245581</v>
      </c>
      <c r="G31" s="62" t="s">
        <v>394</v>
      </c>
      <c r="H31" s="258">
        <f>ROUND(B31/1000,0)</f>
        <v>1415</v>
      </c>
      <c r="I31" s="258">
        <f>ROUND(C34/1000,0)</f>
        <v>1045</v>
      </c>
      <c r="J31" s="258">
        <f>ROUND(D31/1000,0)</f>
        <v>2596</v>
      </c>
      <c r="K31" s="171">
        <f t="shared" si="1"/>
        <v>183.46289752650176</v>
      </c>
      <c r="L31" s="258">
        <f>J31-'[7]Novembris'!J31</f>
        <v>245</v>
      </c>
    </row>
    <row r="32" spans="1:12" ht="12.75">
      <c r="A32" s="233" t="s">
        <v>395</v>
      </c>
      <c r="B32" s="115">
        <f>310000+45000</f>
        <v>355000</v>
      </c>
      <c r="C32" s="214"/>
      <c r="D32" s="115">
        <f>10045+218656+369482</f>
        <v>598183</v>
      </c>
      <c r="E32" s="256"/>
      <c r="F32" s="257">
        <f>D32-'[7]Novembris'!D32</f>
        <v>23883</v>
      </c>
      <c r="G32" s="233" t="s">
        <v>395</v>
      </c>
      <c r="H32" s="258">
        <f>ROUND(B32/1000,0)</f>
        <v>355</v>
      </c>
      <c r="I32" s="258">
        <f aca="true" t="shared" si="5" ref="I32:I37">ROUND(C32/1000,0)</f>
        <v>0</v>
      </c>
      <c r="J32" s="258">
        <f>ROUND(D32/1000,0)</f>
        <v>598</v>
      </c>
      <c r="K32" s="171">
        <f t="shared" si="1"/>
        <v>168.4507042253521</v>
      </c>
      <c r="L32" s="258">
        <f>J32-'[7]Novembris'!J32</f>
        <v>24</v>
      </c>
    </row>
    <row r="33" spans="1:12" ht="12.75">
      <c r="A33" s="252" t="s">
        <v>391</v>
      </c>
      <c r="B33" s="115">
        <f>B34</f>
        <v>1045000</v>
      </c>
      <c r="C33" s="214">
        <f>SUM(C34)</f>
        <v>1045000</v>
      </c>
      <c r="D33" s="115">
        <f>D34</f>
        <v>658208</v>
      </c>
      <c r="E33" s="256">
        <f t="shared" si="0"/>
        <v>0.6298641148325359</v>
      </c>
      <c r="F33" s="257">
        <f>F34</f>
        <v>74367</v>
      </c>
      <c r="G33" s="252" t="s">
        <v>391</v>
      </c>
      <c r="H33" s="254">
        <f>H34</f>
        <v>1045</v>
      </c>
      <c r="I33" s="258">
        <f t="shared" si="5"/>
        <v>1045</v>
      </c>
      <c r="J33" s="254">
        <f>J34</f>
        <v>658</v>
      </c>
      <c r="K33" s="171">
        <f t="shared" si="1"/>
        <v>62.96650717703349</v>
      </c>
      <c r="L33" s="254">
        <f>L34</f>
        <v>74</v>
      </c>
    </row>
    <row r="34" spans="1:12" ht="12.75">
      <c r="A34" s="252" t="s">
        <v>392</v>
      </c>
      <c r="B34" s="115">
        <v>1045000</v>
      </c>
      <c r="C34" s="214">
        <v>1045000</v>
      </c>
      <c r="D34" s="115">
        <f>'[6]Decembris'!$X$8</f>
        <v>658208</v>
      </c>
      <c r="E34" s="256">
        <f t="shared" si="0"/>
        <v>0.6298641148325359</v>
      </c>
      <c r="F34" s="257">
        <f>D34-'[7]Novembris'!D34</f>
        <v>74367</v>
      </c>
      <c r="G34" s="252" t="s">
        <v>392</v>
      </c>
      <c r="H34" s="258">
        <f>ROUND(B34/1000,0)</f>
        <v>1045</v>
      </c>
      <c r="I34" s="258">
        <f t="shared" si="5"/>
        <v>1045</v>
      </c>
      <c r="J34" s="258">
        <f>ROUND(D34/1000,0)</f>
        <v>658</v>
      </c>
      <c r="K34" s="171">
        <f t="shared" si="1"/>
        <v>62.96650717703349</v>
      </c>
      <c r="L34" s="258">
        <f>J34-'[7]Novembris'!J34</f>
        <v>74</v>
      </c>
    </row>
    <row r="35" spans="1:12" ht="25.5">
      <c r="A35" s="93" t="s">
        <v>396</v>
      </c>
      <c r="B35" s="202"/>
      <c r="C35" s="214"/>
      <c r="D35" s="202"/>
      <c r="E35" s="256" t="str">
        <f t="shared" si="0"/>
        <v> </v>
      </c>
      <c r="F35" s="261"/>
      <c r="G35" s="94" t="s">
        <v>396</v>
      </c>
      <c r="H35" s="213"/>
      <c r="I35" s="258">
        <f t="shared" si="5"/>
        <v>0</v>
      </c>
      <c r="J35" s="213"/>
      <c r="K35" s="171"/>
      <c r="L35" s="213"/>
    </row>
    <row r="36" spans="1:12" ht="12.75">
      <c r="A36" s="252" t="s">
        <v>389</v>
      </c>
      <c r="B36" s="115">
        <f>B37</f>
        <v>750000</v>
      </c>
      <c r="C36" s="214">
        <f>SUM(C37)</f>
        <v>750000</v>
      </c>
      <c r="D36" s="115">
        <f>D37</f>
        <v>1151229</v>
      </c>
      <c r="E36" s="256">
        <f t="shared" si="0"/>
        <v>1.534972</v>
      </c>
      <c r="F36" s="106">
        <f>F37</f>
        <v>0</v>
      </c>
      <c r="G36" s="252" t="s">
        <v>389</v>
      </c>
      <c r="H36" s="106">
        <f>H37</f>
        <v>750</v>
      </c>
      <c r="I36" s="258">
        <f t="shared" si="5"/>
        <v>750</v>
      </c>
      <c r="J36" s="106">
        <f>J37</f>
        <v>1151</v>
      </c>
      <c r="K36" s="171">
        <f t="shared" si="1"/>
        <v>153.46666666666667</v>
      </c>
      <c r="L36" s="106">
        <f>L37</f>
        <v>0</v>
      </c>
    </row>
    <row r="37" spans="1:12" ht="12.75">
      <c r="A37" s="262" t="s">
        <v>397</v>
      </c>
      <c r="B37" s="263">
        <v>750000</v>
      </c>
      <c r="C37" s="264">
        <v>750000</v>
      </c>
      <c r="D37" s="263">
        <f>'[6]Decembris'!$Y$6</f>
        <v>1151229</v>
      </c>
      <c r="E37" s="256">
        <f t="shared" si="0"/>
        <v>1.534972</v>
      </c>
      <c r="F37" s="257">
        <f>D37-'[7]Novembris'!D37</f>
        <v>0</v>
      </c>
      <c r="G37" s="262" t="s">
        <v>398</v>
      </c>
      <c r="H37" s="258">
        <f>ROUND(B37/1000,0)</f>
        <v>750</v>
      </c>
      <c r="I37" s="258">
        <f t="shared" si="5"/>
        <v>750</v>
      </c>
      <c r="J37" s="258">
        <f>ROUND(D37/1000,0)</f>
        <v>1151</v>
      </c>
      <c r="K37" s="171">
        <f t="shared" si="1"/>
        <v>153.46666666666667</v>
      </c>
      <c r="L37" s="258">
        <f>J37-'[7]Novembris'!J37</f>
        <v>0</v>
      </c>
    </row>
    <row r="38" spans="1:12" ht="12.75">
      <c r="A38" s="252" t="s">
        <v>391</v>
      </c>
      <c r="B38" s="115">
        <f>B39</f>
        <v>53300</v>
      </c>
      <c r="C38" s="214">
        <f>SUM(C39)</f>
        <v>53300</v>
      </c>
      <c r="D38" s="115">
        <f>D39</f>
        <v>40325</v>
      </c>
      <c r="E38" s="256">
        <f t="shared" si="0"/>
        <v>0.7565666041275797</v>
      </c>
      <c r="F38" s="257">
        <f>F39</f>
        <v>2783</v>
      </c>
      <c r="G38" s="252" t="s">
        <v>391</v>
      </c>
      <c r="H38" s="254">
        <f>H39</f>
        <v>53</v>
      </c>
      <c r="I38" s="254">
        <f>I39</f>
        <v>53</v>
      </c>
      <c r="J38" s="254">
        <f>J39</f>
        <v>40</v>
      </c>
      <c r="K38" s="171">
        <f t="shared" si="1"/>
        <v>75.47169811320755</v>
      </c>
      <c r="L38" s="254">
        <f>L39</f>
        <v>2</v>
      </c>
    </row>
    <row r="39" spans="1:12" ht="12.75">
      <c r="A39" s="252" t="s">
        <v>392</v>
      </c>
      <c r="B39" s="265">
        <v>53300</v>
      </c>
      <c r="C39" s="214">
        <v>53300</v>
      </c>
      <c r="D39" s="115">
        <f>'[6]Decembris'!$Y$8</f>
        <v>40325</v>
      </c>
      <c r="E39" s="256">
        <f t="shared" si="0"/>
        <v>0.7565666041275797</v>
      </c>
      <c r="F39" s="257">
        <f>D39-'[7]Novembris'!D39</f>
        <v>2783</v>
      </c>
      <c r="G39" s="252" t="s">
        <v>399</v>
      </c>
      <c r="H39" s="258">
        <f>ROUND(B39/1000,0)</f>
        <v>53</v>
      </c>
      <c r="I39" s="258">
        <f>ROUND(C39/1000,0)</f>
        <v>53</v>
      </c>
      <c r="J39" s="258">
        <f>ROUND(D39/1000,0)</f>
        <v>40</v>
      </c>
      <c r="K39" s="171">
        <f t="shared" si="1"/>
        <v>75.47169811320755</v>
      </c>
      <c r="L39" s="258">
        <f>J39-'[7]Novembris'!J39</f>
        <v>2</v>
      </c>
    </row>
    <row r="40" spans="1:12" ht="15" customHeight="1">
      <c r="A40" s="93" t="s">
        <v>400</v>
      </c>
      <c r="B40" s="265"/>
      <c r="C40" s="214"/>
      <c r="D40" s="115"/>
      <c r="E40" s="256" t="str">
        <f t="shared" si="0"/>
        <v> </v>
      </c>
      <c r="F40" s="257">
        <f>D40-'[7]Novembris'!D40</f>
        <v>0</v>
      </c>
      <c r="G40" s="94" t="s">
        <v>400</v>
      </c>
      <c r="H40" s="258">
        <f aca="true" t="shared" si="6" ref="H40:I42">ROUND(B40/1000,0)</f>
        <v>0</v>
      </c>
      <c r="I40" s="258">
        <f t="shared" si="6"/>
        <v>0</v>
      </c>
      <c r="J40" s="258"/>
      <c r="K40" s="171"/>
      <c r="L40" s="258"/>
    </row>
    <row r="41" spans="1:12" ht="12.75">
      <c r="A41" s="252" t="s">
        <v>389</v>
      </c>
      <c r="B41" s="265">
        <f>B42</f>
        <v>56793</v>
      </c>
      <c r="C41" s="214">
        <v>56793</v>
      </c>
      <c r="D41" s="115">
        <f>D42</f>
        <v>8</v>
      </c>
      <c r="E41" s="256">
        <f t="shared" si="0"/>
        <v>0.00014086243022907752</v>
      </c>
      <c r="F41" s="257">
        <f>D41-'[7]Novembris'!D41</f>
        <v>8</v>
      </c>
      <c r="G41" s="252" t="s">
        <v>389</v>
      </c>
      <c r="H41" s="258">
        <f t="shared" si="6"/>
        <v>57</v>
      </c>
      <c r="I41" s="258">
        <f t="shared" si="6"/>
        <v>57</v>
      </c>
      <c r="J41" s="258"/>
      <c r="K41" s="171"/>
      <c r="L41" s="258"/>
    </row>
    <row r="42" spans="1:12" ht="30" customHeight="1">
      <c r="A42" s="62" t="s">
        <v>394</v>
      </c>
      <c r="B42" s="265">
        <v>56793</v>
      </c>
      <c r="C42" s="214"/>
      <c r="D42" s="115">
        <v>8</v>
      </c>
      <c r="E42" s="256">
        <f t="shared" si="0"/>
        <v>0.00014086243022907752</v>
      </c>
      <c r="F42" s="257">
        <v>8</v>
      </c>
      <c r="G42" s="62" t="s">
        <v>394</v>
      </c>
      <c r="H42" s="258">
        <f t="shared" si="6"/>
        <v>57</v>
      </c>
      <c r="I42" s="258">
        <f t="shared" si="6"/>
        <v>0</v>
      </c>
      <c r="J42" s="258"/>
      <c r="K42" s="171"/>
      <c r="L42" s="258"/>
    </row>
    <row r="43" spans="1:12" ht="12.75">
      <c r="A43" s="252" t="s">
        <v>271</v>
      </c>
      <c r="B43" s="115"/>
      <c r="C43" s="214"/>
      <c r="D43" s="115"/>
      <c r="E43" s="256" t="str">
        <f t="shared" si="0"/>
        <v> </v>
      </c>
      <c r="F43" s="257"/>
      <c r="G43" s="252" t="s">
        <v>271</v>
      </c>
      <c r="H43" s="254"/>
      <c r="I43" s="254"/>
      <c r="J43" s="254"/>
      <c r="K43" s="171"/>
      <c r="L43" s="254"/>
    </row>
    <row r="44" spans="1:12" ht="12.75">
      <c r="A44" s="92" t="s">
        <v>401</v>
      </c>
      <c r="B44" s="115"/>
      <c r="C44" s="214"/>
      <c r="D44" s="115"/>
      <c r="E44" s="256" t="str">
        <f t="shared" si="0"/>
        <v> </v>
      </c>
      <c r="F44" s="257"/>
      <c r="G44" s="96" t="s">
        <v>401</v>
      </c>
      <c r="H44" s="254"/>
      <c r="I44" s="254"/>
      <c r="J44" s="254"/>
      <c r="K44" s="171"/>
      <c r="L44" s="254"/>
    </row>
    <row r="45" spans="1:12" ht="12.75">
      <c r="A45" s="252" t="s">
        <v>389</v>
      </c>
      <c r="B45" s="266">
        <f>B46</f>
        <v>1550000</v>
      </c>
      <c r="C45" s="214">
        <f>SUM(C46)</f>
        <v>1550000</v>
      </c>
      <c r="D45" s="115">
        <f>D46</f>
        <v>1550000</v>
      </c>
      <c r="E45" s="256">
        <f t="shared" si="0"/>
        <v>1</v>
      </c>
      <c r="F45" s="257">
        <f>F46</f>
        <v>97158</v>
      </c>
      <c r="G45" s="252" t="s">
        <v>389</v>
      </c>
      <c r="H45" s="254">
        <f>H46</f>
        <v>1550</v>
      </c>
      <c r="I45" s="258">
        <f>ROUND(C45/1000,0)</f>
        <v>1550</v>
      </c>
      <c r="J45" s="254">
        <f>J46</f>
        <v>1550</v>
      </c>
      <c r="K45" s="171">
        <f t="shared" si="1"/>
        <v>100</v>
      </c>
      <c r="L45" s="254">
        <f>L46</f>
        <v>97</v>
      </c>
    </row>
    <row r="46" spans="1:12" ht="12.75">
      <c r="A46" s="62" t="s">
        <v>402</v>
      </c>
      <c r="B46" s="115">
        <v>1550000</v>
      </c>
      <c r="C46" s="214">
        <v>1550000</v>
      </c>
      <c r="D46" s="115">
        <f>'[6]Decembris'!$O$6</f>
        <v>1550000</v>
      </c>
      <c r="E46" s="256">
        <f t="shared" si="0"/>
        <v>1</v>
      </c>
      <c r="F46" s="257">
        <f>D46-'[7]Novembris'!D46</f>
        <v>97158</v>
      </c>
      <c r="G46" s="62" t="s">
        <v>402</v>
      </c>
      <c r="H46" s="258">
        <f>ROUND(B46/1000,0)</f>
        <v>1550</v>
      </c>
      <c r="I46" s="258">
        <f>ROUND(C46/1000,0)</f>
        <v>1550</v>
      </c>
      <c r="J46" s="258">
        <f>ROUND(D46/1000,0)</f>
        <v>1550</v>
      </c>
      <c r="K46" s="171">
        <f t="shared" si="1"/>
        <v>100</v>
      </c>
      <c r="L46" s="258">
        <f>J46-'[7]Novembris'!J46</f>
        <v>97</v>
      </c>
    </row>
    <row r="47" spans="1:12" ht="12.75">
      <c r="A47" s="252" t="s">
        <v>391</v>
      </c>
      <c r="B47" s="115">
        <f>B48+B50</f>
        <v>2249512</v>
      </c>
      <c r="C47" s="214">
        <f>SUM(C48:C50)</f>
        <v>2249512</v>
      </c>
      <c r="D47" s="115">
        <f>D48+D50</f>
        <v>2249512</v>
      </c>
      <c r="E47" s="256">
        <f t="shared" si="0"/>
        <v>1</v>
      </c>
      <c r="F47" s="257">
        <f>F48+F50</f>
        <v>285302</v>
      </c>
      <c r="G47" s="252" t="s">
        <v>391</v>
      </c>
      <c r="H47" s="254">
        <f>H48+H50</f>
        <v>2250</v>
      </c>
      <c r="I47" s="254">
        <f>I48+I50</f>
        <v>2250</v>
      </c>
      <c r="J47" s="254">
        <f>J48+J50</f>
        <v>2250</v>
      </c>
      <c r="K47" s="171">
        <f t="shared" si="1"/>
        <v>100</v>
      </c>
      <c r="L47" s="254">
        <f>L48+L50</f>
        <v>286</v>
      </c>
    </row>
    <row r="48" spans="1:12" ht="12.75">
      <c r="A48" s="252" t="s">
        <v>392</v>
      </c>
      <c r="B48" s="115">
        <v>1617000</v>
      </c>
      <c r="C48" s="214">
        <v>1617000</v>
      </c>
      <c r="D48" s="115">
        <f>'[6]Decembris'!$O$8</f>
        <v>1617000</v>
      </c>
      <c r="E48" s="256">
        <f t="shared" si="0"/>
        <v>1</v>
      </c>
      <c r="F48" s="257">
        <f>D48-'[7]Novembris'!D48</f>
        <v>72790</v>
      </c>
      <c r="G48" s="252" t="s">
        <v>403</v>
      </c>
      <c r="H48" s="258">
        <f>ROUND(B48/1000,0)</f>
        <v>1617</v>
      </c>
      <c r="I48" s="258">
        <f>ROUND(C48/1000,0)</f>
        <v>1617</v>
      </c>
      <c r="J48" s="258">
        <f>ROUND(D48/1000,0)</f>
        <v>1617</v>
      </c>
      <c r="K48" s="171">
        <f t="shared" si="1"/>
        <v>100</v>
      </c>
      <c r="L48" s="258">
        <f>J48-'[7]Novembris'!J48</f>
        <v>73</v>
      </c>
    </row>
    <row r="49" spans="1:12" ht="25.5">
      <c r="A49" s="62" t="s">
        <v>404</v>
      </c>
      <c r="B49" s="115">
        <v>300000</v>
      </c>
      <c r="C49" s="214"/>
      <c r="D49" s="115">
        <f>'[6]Decembris'!$O$15</f>
        <v>300000</v>
      </c>
      <c r="E49" s="256">
        <f t="shared" si="0"/>
        <v>1</v>
      </c>
      <c r="F49" s="257">
        <v>0</v>
      </c>
      <c r="G49" s="62" t="str">
        <f>A49</f>
        <v>               t.sk. aizņēmumu atmaksa pamatbudžetā</v>
      </c>
      <c r="H49" s="258">
        <f>ROUND(B49/1000,0)</f>
        <v>300</v>
      </c>
      <c r="I49" s="258"/>
      <c r="J49" s="258">
        <f>ROUND(D49/1000,0)</f>
        <v>300</v>
      </c>
      <c r="K49" s="171">
        <f t="shared" si="1"/>
        <v>100</v>
      </c>
      <c r="L49" s="258">
        <f>J49-'[7]Novembris'!J49</f>
        <v>0</v>
      </c>
    </row>
    <row r="50" spans="1:12" ht="12.75">
      <c r="A50" s="252" t="s">
        <v>382</v>
      </c>
      <c r="B50" s="115">
        <v>632512</v>
      </c>
      <c r="C50" s="214">
        <v>632512</v>
      </c>
      <c r="D50" s="115">
        <f>'[6]Decembris'!$O$30</f>
        <v>632512</v>
      </c>
      <c r="E50" s="256">
        <f t="shared" si="0"/>
        <v>1</v>
      </c>
      <c r="F50" s="257">
        <f>D50-'[7]Novembris'!D50</f>
        <v>212512</v>
      </c>
      <c r="G50" s="252" t="s">
        <v>405</v>
      </c>
      <c r="H50" s="258">
        <f>ROUND(B50/1000,0)</f>
        <v>633</v>
      </c>
      <c r="I50" s="258">
        <f>ROUND(C50/1000,0)</f>
        <v>633</v>
      </c>
      <c r="J50" s="258">
        <f>ROUND(D50/1000,0)</f>
        <v>633</v>
      </c>
      <c r="K50" s="171">
        <f t="shared" si="1"/>
        <v>100</v>
      </c>
      <c r="L50" s="258">
        <f>J50-'[7]Novembris'!J50</f>
        <v>213</v>
      </c>
    </row>
    <row r="51" spans="1:12" ht="12.75">
      <c r="A51" s="93" t="s">
        <v>406</v>
      </c>
      <c r="B51" s="115"/>
      <c r="C51" s="214"/>
      <c r="D51" s="115"/>
      <c r="E51" s="256" t="str">
        <f t="shared" si="0"/>
        <v> </v>
      </c>
      <c r="F51" s="257"/>
      <c r="G51" s="94" t="s">
        <v>406</v>
      </c>
      <c r="H51" s="254"/>
      <c r="I51" s="254"/>
      <c r="J51" s="254"/>
      <c r="K51" s="171"/>
      <c r="L51" s="254"/>
    </row>
    <row r="52" spans="1:12" ht="12.75">
      <c r="A52" s="252" t="s">
        <v>389</v>
      </c>
      <c r="B52" s="266">
        <f>B53</f>
        <v>889484</v>
      </c>
      <c r="C52" s="214">
        <f>C53</f>
        <v>889484</v>
      </c>
      <c r="D52" s="115">
        <f>D53</f>
        <v>889484</v>
      </c>
      <c r="E52" s="256">
        <f t="shared" si="0"/>
        <v>1</v>
      </c>
      <c r="F52" s="257">
        <f>F53</f>
        <v>-288168</v>
      </c>
      <c r="G52" s="252" t="s">
        <v>389</v>
      </c>
      <c r="H52" s="254">
        <f>H53</f>
        <v>889</v>
      </c>
      <c r="I52" s="258">
        <f>ROUND(C52/1000,0)</f>
        <v>889</v>
      </c>
      <c r="J52" s="254">
        <f>J53</f>
        <v>889</v>
      </c>
      <c r="K52" s="171">
        <f t="shared" si="1"/>
        <v>100</v>
      </c>
      <c r="L52" s="254">
        <f>L53</f>
        <v>-289</v>
      </c>
    </row>
    <row r="53" spans="1:12" ht="12.75">
      <c r="A53" s="62" t="s">
        <v>402</v>
      </c>
      <c r="B53" s="115">
        <v>889484</v>
      </c>
      <c r="C53" s="214">
        <v>889484</v>
      </c>
      <c r="D53" s="115">
        <f>'[6]Decembris'!$P$6</f>
        <v>889484</v>
      </c>
      <c r="E53" s="256">
        <f t="shared" si="0"/>
        <v>1</v>
      </c>
      <c r="F53" s="257">
        <f>D53-'[7]Novembris'!D53</f>
        <v>-288168</v>
      </c>
      <c r="G53" s="62" t="s">
        <v>402</v>
      </c>
      <c r="H53" s="258">
        <f>ROUND(B53/1000,0)</f>
        <v>889</v>
      </c>
      <c r="I53" s="258">
        <f>ROUND(C53/1000,0)</f>
        <v>889</v>
      </c>
      <c r="J53" s="258">
        <f>ROUND(D53/1000,0)</f>
        <v>889</v>
      </c>
      <c r="K53" s="171">
        <f t="shared" si="1"/>
        <v>100</v>
      </c>
      <c r="L53" s="258">
        <f>J53-'[7]Novembris'!J53</f>
        <v>-289</v>
      </c>
    </row>
    <row r="54" spans="1:12" ht="12.75">
      <c r="A54" s="252" t="s">
        <v>391</v>
      </c>
      <c r="B54" s="115">
        <f>B55+B57</f>
        <v>905864</v>
      </c>
      <c r="C54" s="214">
        <f>SUM(C55:C57)</f>
        <v>905864</v>
      </c>
      <c r="D54" s="115">
        <f>D55+D57</f>
        <v>626140</v>
      </c>
      <c r="E54" s="256">
        <f t="shared" si="0"/>
        <v>0.6912075101781283</v>
      </c>
      <c r="F54" s="257">
        <f>F55+F57</f>
        <v>14622</v>
      </c>
      <c r="G54" s="252" t="s">
        <v>391</v>
      </c>
      <c r="H54" s="254">
        <f>H55+H57</f>
        <v>906</v>
      </c>
      <c r="I54" s="254">
        <f>I55+I57</f>
        <v>906</v>
      </c>
      <c r="J54" s="254">
        <f>J55+J57</f>
        <v>626</v>
      </c>
      <c r="K54" s="171">
        <f t="shared" si="1"/>
        <v>69.09492273730685</v>
      </c>
      <c r="L54" s="254">
        <f>L55+L57</f>
        <v>15</v>
      </c>
    </row>
    <row r="55" spans="1:12" ht="12.75">
      <c r="A55" s="252" t="s">
        <v>392</v>
      </c>
      <c r="B55" s="115">
        <v>901664</v>
      </c>
      <c r="C55" s="214">
        <v>901664</v>
      </c>
      <c r="D55" s="115">
        <f>'[6]Decembris'!$P$8</f>
        <v>621940</v>
      </c>
      <c r="E55" s="256">
        <f t="shared" si="0"/>
        <v>0.6897691379493913</v>
      </c>
      <c r="F55" s="257">
        <f>D55-'[7]Novembris'!D55</f>
        <v>14622</v>
      </c>
      <c r="G55" s="252" t="s">
        <v>403</v>
      </c>
      <c r="H55" s="258">
        <f aca="true" t="shared" si="7" ref="H55:J61">ROUND(B55/1000,0)</f>
        <v>902</v>
      </c>
      <c r="I55" s="258">
        <f>ROUND(C55/1000,0)</f>
        <v>902</v>
      </c>
      <c r="J55" s="258">
        <f t="shared" si="7"/>
        <v>622</v>
      </c>
      <c r="K55" s="171">
        <f t="shared" si="1"/>
        <v>68.95787139689578</v>
      </c>
      <c r="L55" s="258">
        <f>J55-'[7]Novembris'!J55</f>
        <v>15</v>
      </c>
    </row>
    <row r="56" spans="1:12" ht="25.5">
      <c r="A56" s="62" t="s">
        <v>404</v>
      </c>
      <c r="B56" s="115">
        <v>53970</v>
      </c>
      <c r="C56" s="214"/>
      <c r="D56" s="115">
        <v>4926</v>
      </c>
      <c r="E56" s="256">
        <f t="shared" si="0"/>
        <v>0.09127292940522512</v>
      </c>
      <c r="F56" s="257">
        <v>2706</v>
      </c>
      <c r="G56" s="62" t="s">
        <v>404</v>
      </c>
      <c r="H56" s="258">
        <f t="shared" si="7"/>
        <v>54</v>
      </c>
      <c r="I56" s="258"/>
      <c r="J56" s="258">
        <f t="shared" si="7"/>
        <v>5</v>
      </c>
      <c r="K56" s="171">
        <f t="shared" si="1"/>
        <v>9.25925925925926</v>
      </c>
      <c r="L56" s="258">
        <f>J56-'[7]Novembris'!J56</f>
        <v>3</v>
      </c>
    </row>
    <row r="57" spans="1:12" ht="12.75">
      <c r="A57" s="252" t="s">
        <v>382</v>
      </c>
      <c r="B57" s="115">
        <v>4200</v>
      </c>
      <c r="C57" s="214">
        <v>4200</v>
      </c>
      <c r="D57" s="115">
        <f>'[6]Decembris'!$P$30</f>
        <v>4200</v>
      </c>
      <c r="E57" s="256">
        <f t="shared" si="0"/>
        <v>1</v>
      </c>
      <c r="F57" s="257">
        <f>D57-'[7]Novembris'!D57</f>
        <v>0</v>
      </c>
      <c r="G57" s="252" t="s">
        <v>405</v>
      </c>
      <c r="H57" s="258">
        <f t="shared" si="7"/>
        <v>4</v>
      </c>
      <c r="I57" s="258">
        <f t="shared" si="7"/>
        <v>4</v>
      </c>
      <c r="J57" s="258">
        <f t="shared" si="7"/>
        <v>4</v>
      </c>
      <c r="K57" s="171">
        <f t="shared" si="1"/>
        <v>100</v>
      </c>
      <c r="L57" s="258">
        <f>J57-'[7]Novembris'!J57</f>
        <v>0</v>
      </c>
    </row>
    <row r="58" spans="1:12" ht="12.75">
      <c r="A58" s="252" t="s">
        <v>383</v>
      </c>
      <c r="B58" s="115">
        <v>6756000</v>
      </c>
      <c r="C58" s="214"/>
      <c r="D58" s="115">
        <f>'[6]Decembris'!$P$34</f>
        <v>5426134</v>
      </c>
      <c r="E58" s="256">
        <f t="shared" si="0"/>
        <v>0.8031577856719953</v>
      </c>
      <c r="F58" s="257">
        <f>D58-'[7]Novembris'!D58</f>
        <v>689653</v>
      </c>
      <c r="G58" s="252" t="s">
        <v>383</v>
      </c>
      <c r="H58" s="258">
        <f t="shared" si="7"/>
        <v>6756</v>
      </c>
      <c r="I58" s="258">
        <f t="shared" si="7"/>
        <v>0</v>
      </c>
      <c r="J58" s="258">
        <f>ROUND(D58/1000,0)</f>
        <v>5426</v>
      </c>
      <c r="K58" s="171">
        <f t="shared" si="1"/>
        <v>80.31379514505625</v>
      </c>
      <c r="L58" s="258">
        <f>J58-'[7]Novembris'!J58</f>
        <v>690</v>
      </c>
    </row>
    <row r="59" spans="1:12" ht="12.75">
      <c r="A59" s="252" t="s">
        <v>384</v>
      </c>
      <c r="B59" s="115">
        <v>16380</v>
      </c>
      <c r="C59" s="214"/>
      <c r="D59" s="115">
        <f>-'[6]Decembris'!$P$35</f>
        <v>61040</v>
      </c>
      <c r="E59" s="256">
        <f t="shared" si="0"/>
        <v>3.7264957264957266</v>
      </c>
      <c r="F59" s="257">
        <f>D59-'[7]Novembris'!D59</f>
        <v>9310</v>
      </c>
      <c r="G59" s="252" t="s">
        <v>384</v>
      </c>
      <c r="H59" s="258">
        <f t="shared" si="7"/>
        <v>16</v>
      </c>
      <c r="I59" s="258">
        <f t="shared" si="7"/>
        <v>0</v>
      </c>
      <c r="J59" s="258">
        <f t="shared" si="7"/>
        <v>61</v>
      </c>
      <c r="K59" s="171">
        <f t="shared" si="1"/>
        <v>381.25</v>
      </c>
      <c r="L59" s="258">
        <f>J59-'[7]Novembris'!J59</f>
        <v>9</v>
      </c>
    </row>
    <row r="60" spans="1:12" ht="12.75">
      <c r="A60" s="252" t="s">
        <v>385</v>
      </c>
      <c r="B60" s="115">
        <f>B52-B54-B58+B59</f>
        <v>-6756000</v>
      </c>
      <c r="C60" s="214">
        <f>C52-C54-C58+C59</f>
        <v>-16380</v>
      </c>
      <c r="D60" s="115">
        <f>D52-D54-D58+D59</f>
        <v>-5101750</v>
      </c>
      <c r="E60" s="256">
        <f t="shared" si="0"/>
        <v>0.7551435760805211</v>
      </c>
      <c r="F60" s="257">
        <f>D60-'[7]Novembris'!D60</f>
        <v>-983133</v>
      </c>
      <c r="G60" s="252" t="s">
        <v>385</v>
      </c>
      <c r="H60" s="258">
        <f t="shared" si="7"/>
        <v>-6756</v>
      </c>
      <c r="I60" s="258">
        <f t="shared" si="7"/>
        <v>-16</v>
      </c>
      <c r="J60" s="258">
        <f t="shared" si="7"/>
        <v>-5102</v>
      </c>
      <c r="K60" s="171">
        <f t="shared" si="1"/>
        <v>75.51805802249852</v>
      </c>
      <c r="L60" s="258">
        <f>J60-'[7]Novembris'!J60</f>
        <v>-983</v>
      </c>
    </row>
    <row r="61" spans="1:12" ht="12.75">
      <c r="A61" s="252" t="s">
        <v>407</v>
      </c>
      <c r="B61" s="115">
        <v>6756000</v>
      </c>
      <c r="C61" s="214">
        <v>6756000</v>
      </c>
      <c r="D61" s="115">
        <f>'[6]Decembris'!$P$43</f>
        <v>5426134</v>
      </c>
      <c r="E61" s="256">
        <f t="shared" si="0"/>
        <v>0.8031577856719953</v>
      </c>
      <c r="F61" s="257">
        <f>D61-'[7]Novembris'!D61</f>
        <v>689178</v>
      </c>
      <c r="G61" s="252" t="s">
        <v>407</v>
      </c>
      <c r="H61" s="258">
        <f t="shared" si="7"/>
        <v>6756</v>
      </c>
      <c r="I61" s="258">
        <f t="shared" si="7"/>
        <v>6756</v>
      </c>
      <c r="J61" s="258">
        <f>ROUND(D61/1000,0)</f>
        <v>5426</v>
      </c>
      <c r="K61" s="171">
        <f t="shared" si="1"/>
        <v>80.31379514505625</v>
      </c>
      <c r="L61" s="258">
        <f>J61-'[7]Novembris'!J61</f>
        <v>689</v>
      </c>
    </row>
    <row r="62" spans="1:12" ht="12.75">
      <c r="A62" s="62" t="s">
        <v>272</v>
      </c>
      <c r="B62" s="115"/>
      <c r="C62" s="214"/>
      <c r="D62" s="115"/>
      <c r="E62" s="256" t="str">
        <f t="shared" si="0"/>
        <v> </v>
      </c>
      <c r="F62" s="257"/>
      <c r="G62" s="62" t="s">
        <v>272</v>
      </c>
      <c r="H62" s="254"/>
      <c r="I62" s="254"/>
      <c r="J62" s="254"/>
      <c r="K62" s="171"/>
      <c r="L62" s="254"/>
    </row>
    <row r="63" spans="1:12" ht="12.75">
      <c r="A63" s="92" t="s">
        <v>408</v>
      </c>
      <c r="B63" s="115"/>
      <c r="C63" s="214"/>
      <c r="D63" s="115"/>
      <c r="E63" s="256" t="str">
        <f t="shared" si="0"/>
        <v> </v>
      </c>
      <c r="F63" s="257"/>
      <c r="G63" s="96" t="s">
        <v>408</v>
      </c>
      <c r="H63" s="254"/>
      <c r="I63" s="254"/>
      <c r="J63" s="254"/>
      <c r="K63" s="171"/>
      <c r="L63" s="254"/>
    </row>
    <row r="64" spans="1:12" ht="12.75">
      <c r="A64" s="252" t="s">
        <v>389</v>
      </c>
      <c r="B64" s="214">
        <f>B65+B66</f>
        <v>550000</v>
      </c>
      <c r="C64" s="214">
        <v>550000</v>
      </c>
      <c r="D64" s="115">
        <f>SUM(D65:D66)</f>
        <v>569772</v>
      </c>
      <c r="E64" s="256">
        <f t="shared" si="0"/>
        <v>1.035949090909091</v>
      </c>
      <c r="F64" s="257">
        <f>F65+F66</f>
        <v>743</v>
      </c>
      <c r="G64" s="252" t="s">
        <v>389</v>
      </c>
      <c r="H64" s="254">
        <f>H65+H66</f>
        <v>550</v>
      </c>
      <c r="I64" s="258">
        <f>ROUND(C64/1000,0)</f>
        <v>550</v>
      </c>
      <c r="J64" s="254">
        <f>J65+J66</f>
        <v>570</v>
      </c>
      <c r="K64" s="171">
        <f t="shared" si="1"/>
        <v>103.63636363636364</v>
      </c>
      <c r="L64" s="254">
        <f>L65+L66</f>
        <v>1</v>
      </c>
    </row>
    <row r="65" spans="1:12" ht="25.5">
      <c r="A65" s="62" t="s">
        <v>409</v>
      </c>
      <c r="B65" s="115">
        <v>350000</v>
      </c>
      <c r="D65" s="115">
        <v>362167</v>
      </c>
      <c r="E65" s="256">
        <f t="shared" si="0"/>
        <v>1.034762857142857</v>
      </c>
      <c r="F65" s="257">
        <f>D65-'[7]Novembris'!D65</f>
        <v>-3080</v>
      </c>
      <c r="G65" s="62" t="s">
        <v>409</v>
      </c>
      <c r="H65" s="258">
        <f>ROUND(B65/1000,0)</f>
        <v>350</v>
      </c>
      <c r="I65" s="258">
        <f>ROUND(C64/1000,0)</f>
        <v>550</v>
      </c>
      <c r="J65" s="258">
        <f>ROUND(D65/1000,0)</f>
        <v>362</v>
      </c>
      <c r="K65" s="171">
        <f t="shared" si="1"/>
        <v>103.42857142857143</v>
      </c>
      <c r="L65" s="258">
        <f>J65-'[7]Novembris'!J65</f>
        <v>-3</v>
      </c>
    </row>
    <row r="66" spans="1:12" ht="12.75">
      <c r="A66" s="252" t="s">
        <v>410</v>
      </c>
      <c r="B66" s="115">
        <f>65000+135000</f>
        <v>200000</v>
      </c>
      <c r="C66" s="214"/>
      <c r="D66" s="115">
        <f>37237+170368</f>
        <v>207605</v>
      </c>
      <c r="E66" s="256">
        <f t="shared" si="0"/>
        <v>1.038025</v>
      </c>
      <c r="F66" s="257">
        <f>D66-'[7]Novembris'!D66</f>
        <v>3823</v>
      </c>
      <c r="G66" s="62" t="s">
        <v>395</v>
      </c>
      <c r="H66" s="258">
        <f>ROUND(B66/1000,0)</f>
        <v>200</v>
      </c>
      <c r="I66" s="258">
        <f>ROUND(C66/1000,0)</f>
        <v>0</v>
      </c>
      <c r="J66" s="258">
        <f>ROUND(D66/1000,0)</f>
        <v>208</v>
      </c>
      <c r="K66" s="171">
        <f t="shared" si="1"/>
        <v>104</v>
      </c>
      <c r="L66" s="258">
        <f>J66-'[7]Novembris'!J66</f>
        <v>4</v>
      </c>
    </row>
    <row r="67" spans="1:12" ht="12.75">
      <c r="A67" s="252" t="s">
        <v>391</v>
      </c>
      <c r="B67" s="115">
        <f>B68+B69</f>
        <v>550000</v>
      </c>
      <c r="C67" s="214">
        <f>SUM(C68:C69)</f>
        <v>550000</v>
      </c>
      <c r="D67" s="115">
        <f>D68+D69</f>
        <v>544249</v>
      </c>
      <c r="E67" s="256">
        <f t="shared" si="0"/>
        <v>0.9895436363636364</v>
      </c>
      <c r="F67" s="257">
        <f>F68+F69</f>
        <v>65405</v>
      </c>
      <c r="G67" s="252" t="s">
        <v>391</v>
      </c>
      <c r="H67" s="254">
        <f>H68+H69</f>
        <v>550</v>
      </c>
      <c r="I67" s="254">
        <f>I68+I69</f>
        <v>550</v>
      </c>
      <c r="J67" s="254">
        <f>J68+J69</f>
        <v>544</v>
      </c>
      <c r="K67" s="171">
        <f t="shared" si="1"/>
        <v>98.9090909090909</v>
      </c>
      <c r="L67" s="254">
        <f>L68+L69</f>
        <v>66</v>
      </c>
    </row>
    <row r="68" spans="1:12" ht="12.75">
      <c r="A68" s="252" t="s">
        <v>392</v>
      </c>
      <c r="B68" s="115">
        <v>456000</v>
      </c>
      <c r="C68" s="214">
        <v>456000</v>
      </c>
      <c r="D68" s="115">
        <f>'[6]Decembris'!$M$8</f>
        <v>456000</v>
      </c>
      <c r="E68" s="256">
        <f t="shared" si="0"/>
        <v>1</v>
      </c>
      <c r="F68" s="257">
        <f>D68-'[7]Novembris'!D68</f>
        <v>60624</v>
      </c>
      <c r="G68" s="252" t="s">
        <v>392</v>
      </c>
      <c r="H68" s="258">
        <f aca="true" t="shared" si="8" ref="H68:J69">ROUND(B68/1000,0)</f>
        <v>456</v>
      </c>
      <c r="I68" s="258">
        <f>ROUND(C68/1000,0)</f>
        <v>456</v>
      </c>
      <c r="J68" s="258">
        <f t="shared" si="8"/>
        <v>456</v>
      </c>
      <c r="K68" s="171">
        <f t="shared" si="1"/>
        <v>100</v>
      </c>
      <c r="L68" s="258">
        <f>J68-'[7]Novembris'!J68</f>
        <v>61</v>
      </c>
    </row>
    <row r="69" spans="1:12" ht="12.75">
      <c r="A69" s="252" t="s">
        <v>382</v>
      </c>
      <c r="B69" s="115">
        <v>94000</v>
      </c>
      <c r="C69" s="214">
        <v>94000</v>
      </c>
      <c r="D69" s="115">
        <f>'[6]Decembris'!$M$30</f>
        <v>88249</v>
      </c>
      <c r="E69" s="256">
        <f t="shared" si="0"/>
        <v>0.9388191489361702</v>
      </c>
      <c r="F69" s="257">
        <f>D69-'[7]Novembris'!D69</f>
        <v>4781</v>
      </c>
      <c r="G69" s="252" t="s">
        <v>382</v>
      </c>
      <c r="H69" s="258">
        <f t="shared" si="8"/>
        <v>94</v>
      </c>
      <c r="I69" s="258">
        <f t="shared" si="8"/>
        <v>94</v>
      </c>
      <c r="J69" s="258">
        <f>ROUND(D69/1000,0)</f>
        <v>88</v>
      </c>
      <c r="K69" s="171">
        <f t="shared" si="1"/>
        <v>93.61702127659575</v>
      </c>
      <c r="L69" s="258">
        <f>J69-'[7]Novembris'!J69</f>
        <v>5</v>
      </c>
    </row>
    <row r="70" spans="1:12" ht="12.75">
      <c r="A70" s="252" t="s">
        <v>273</v>
      </c>
      <c r="B70" s="115"/>
      <c r="C70" s="214"/>
      <c r="D70" s="115"/>
      <c r="E70" s="256" t="str">
        <f t="shared" si="0"/>
        <v> </v>
      </c>
      <c r="F70" s="257"/>
      <c r="G70" s="252" t="s">
        <v>273</v>
      </c>
      <c r="H70" s="258"/>
      <c r="I70" s="258"/>
      <c r="J70" s="258"/>
      <c r="K70" s="171"/>
      <c r="L70" s="258"/>
    </row>
    <row r="71" spans="1:12" ht="12.75">
      <c r="A71" s="92" t="s">
        <v>411</v>
      </c>
      <c r="B71" s="115"/>
      <c r="C71" s="214"/>
      <c r="D71" s="115"/>
      <c r="E71" s="256" t="str">
        <f t="shared" si="0"/>
        <v> </v>
      </c>
      <c r="F71" s="257"/>
      <c r="G71" s="96" t="s">
        <v>411</v>
      </c>
      <c r="H71" s="254"/>
      <c r="I71" s="254"/>
      <c r="J71" s="254"/>
      <c r="K71" s="171"/>
      <c r="L71" s="254"/>
    </row>
    <row r="72" spans="1:12" ht="12.75">
      <c r="A72" s="252" t="s">
        <v>389</v>
      </c>
      <c r="B72" s="115">
        <f>SUM(B73:B77)</f>
        <v>54806618</v>
      </c>
      <c r="C72" s="115">
        <v>54806618</v>
      </c>
      <c r="D72" s="115">
        <f>SUM(D73:D77)</f>
        <v>53656144</v>
      </c>
      <c r="E72" s="256">
        <f t="shared" si="0"/>
        <v>0.9790084839754206</v>
      </c>
      <c r="F72" s="257">
        <f>SUM(F73:F77)</f>
        <v>4631607</v>
      </c>
      <c r="G72" s="252" t="s">
        <v>389</v>
      </c>
      <c r="H72" s="254">
        <f>SUM(H73:H77)</f>
        <v>54807</v>
      </c>
      <c r="I72" s="258">
        <f>ROUND(C72/1000,0)</f>
        <v>54807</v>
      </c>
      <c r="J72" s="254">
        <f>SUM(J73:J77)</f>
        <v>53657</v>
      </c>
      <c r="K72" s="171">
        <f t="shared" si="1"/>
        <v>97.901727881475</v>
      </c>
      <c r="L72" s="254">
        <f>SUM(L73:L77)</f>
        <v>4633</v>
      </c>
    </row>
    <row r="73" spans="1:12" ht="12.75">
      <c r="A73" s="252" t="s">
        <v>412</v>
      </c>
      <c r="B73" s="115">
        <v>8500000</v>
      </c>
      <c r="C73" s="214"/>
      <c r="D73" s="115">
        <v>8179899</v>
      </c>
      <c r="E73" s="256">
        <f t="shared" si="0"/>
        <v>0.9623410588235294</v>
      </c>
      <c r="F73" s="257">
        <f>D73-'[7]Novembris'!D73</f>
        <v>402202</v>
      </c>
      <c r="G73" s="252" t="s">
        <v>412</v>
      </c>
      <c r="H73" s="258">
        <f aca="true" t="shared" si="9" ref="H73:J77">ROUND(B73/1000,0)</f>
        <v>8500</v>
      </c>
      <c r="I73" s="258">
        <f t="shared" si="9"/>
        <v>0</v>
      </c>
      <c r="J73" s="258">
        <f t="shared" si="9"/>
        <v>8180</v>
      </c>
      <c r="K73" s="171">
        <f t="shared" si="1"/>
        <v>96.23529411764706</v>
      </c>
      <c r="L73" s="258">
        <f>J73-'[7]Novembris'!J73</f>
        <v>402</v>
      </c>
    </row>
    <row r="74" spans="1:12" ht="12.75">
      <c r="A74" s="252" t="s">
        <v>413</v>
      </c>
      <c r="B74" s="115">
        <v>43850000</v>
      </c>
      <c r="C74" s="214"/>
      <c r="D74" s="115">
        <v>44037835</v>
      </c>
      <c r="E74" s="256">
        <f t="shared" si="0"/>
        <v>1.0042835803876853</v>
      </c>
      <c r="F74" s="257">
        <f>D74-'[7]Novembris'!D74</f>
        <v>4105678</v>
      </c>
      <c r="G74" s="252" t="s">
        <v>413</v>
      </c>
      <c r="H74" s="258">
        <f t="shared" si="9"/>
        <v>43850</v>
      </c>
      <c r="I74" s="258">
        <f t="shared" si="9"/>
        <v>0</v>
      </c>
      <c r="J74" s="258">
        <f t="shared" si="9"/>
        <v>44038</v>
      </c>
      <c r="K74" s="171">
        <f t="shared" si="1"/>
        <v>100.42873432155075</v>
      </c>
      <c r="L74" s="258">
        <f>J74-'[7]Novembris'!J74</f>
        <v>4106</v>
      </c>
    </row>
    <row r="75" spans="1:12" ht="12.75">
      <c r="A75" s="252" t="s">
        <v>402</v>
      </c>
      <c r="B75" s="115">
        <v>316765</v>
      </c>
      <c r="C75" s="214"/>
      <c r="D75" s="115">
        <v>316765</v>
      </c>
      <c r="E75" s="256"/>
      <c r="F75" s="257">
        <f>D75-'[7]Novembris'!D75</f>
        <v>158382</v>
      </c>
      <c r="G75" s="252" t="s">
        <v>402</v>
      </c>
      <c r="H75" s="258">
        <f t="shared" si="9"/>
        <v>317</v>
      </c>
      <c r="I75" s="258"/>
      <c r="J75" s="258">
        <f>ROUND(D75/1000,0)</f>
        <v>317</v>
      </c>
      <c r="K75" s="171"/>
      <c r="L75" s="258">
        <f>J75-'[7]Novembris'!J75</f>
        <v>159</v>
      </c>
    </row>
    <row r="76" spans="1:12" ht="12.75">
      <c r="A76" s="267" t="s">
        <v>313</v>
      </c>
      <c r="B76" s="115">
        <v>30000</v>
      </c>
      <c r="C76" s="214"/>
      <c r="D76" s="115">
        <v>22645</v>
      </c>
      <c r="E76" s="256">
        <f aca="true" t="shared" si="10" ref="E76:E139">IF(ISERROR(D76/B76)," ",(D76/B76))</f>
        <v>0.7548333333333334</v>
      </c>
      <c r="F76" s="257">
        <f>D76-'[7]Novembris'!D76</f>
        <v>222</v>
      </c>
      <c r="G76" s="252" t="s">
        <v>313</v>
      </c>
      <c r="H76" s="258">
        <f t="shared" si="9"/>
        <v>30</v>
      </c>
      <c r="I76" s="258">
        <f t="shared" si="9"/>
        <v>0</v>
      </c>
      <c r="J76" s="258">
        <f>ROUND(D76/1000,0)</f>
        <v>23</v>
      </c>
      <c r="K76" s="171">
        <f aca="true" t="shared" si="11" ref="K76:K83">IF(ISERROR(ROUND(J76,0)/ROUND(H76,0))," ",(ROUND(J76,)/ROUND(H76,)))*100</f>
        <v>76.66666666666667</v>
      </c>
      <c r="L76" s="258">
        <f>J76-'[7]Novembris'!J76</f>
        <v>1</v>
      </c>
    </row>
    <row r="77" spans="1:12" ht="12.75">
      <c r="A77" s="252" t="s">
        <v>414</v>
      </c>
      <c r="B77" s="115">
        <v>2109853</v>
      </c>
      <c r="C77" s="214"/>
      <c r="D77" s="115">
        <v>1099000</v>
      </c>
      <c r="E77" s="256">
        <f>IF(ISERROR(D77/B77)," ",(D77/B77))</f>
        <v>0.5208893700177216</v>
      </c>
      <c r="F77" s="257">
        <f>D77-'[7]Novembris'!D77</f>
        <v>-34877</v>
      </c>
      <c r="G77" s="252" t="s">
        <v>415</v>
      </c>
      <c r="H77" s="258">
        <f t="shared" si="9"/>
        <v>2110</v>
      </c>
      <c r="I77" s="258">
        <f t="shared" si="9"/>
        <v>0</v>
      </c>
      <c r="J77" s="258">
        <f t="shared" si="9"/>
        <v>1099</v>
      </c>
      <c r="K77" s="171">
        <f t="shared" si="11"/>
        <v>52.08530805687204</v>
      </c>
      <c r="L77" s="258">
        <f>J77-'[7]Novembris'!J77</f>
        <v>-35</v>
      </c>
    </row>
    <row r="78" spans="1:12" ht="12.75">
      <c r="A78" s="252" t="s">
        <v>391</v>
      </c>
      <c r="B78" s="115">
        <f>B79+B81</f>
        <v>60206618</v>
      </c>
      <c r="C78" s="214">
        <f>SUM(C79:C81)</f>
        <v>60206618</v>
      </c>
      <c r="D78" s="115">
        <f>D79+D81</f>
        <v>57984498</v>
      </c>
      <c r="E78" s="256">
        <f t="shared" si="10"/>
        <v>0.9630917650946612</v>
      </c>
      <c r="F78" s="257">
        <f>F79+F81</f>
        <v>5252374</v>
      </c>
      <c r="G78" s="252" t="s">
        <v>391</v>
      </c>
      <c r="H78" s="254">
        <f>H79+H81</f>
        <v>60207</v>
      </c>
      <c r="I78" s="254">
        <f>I79+I81</f>
        <v>60207</v>
      </c>
      <c r="J78" s="254">
        <f>J79+J81</f>
        <v>57985</v>
      </c>
      <c r="K78" s="171">
        <f t="shared" si="11"/>
        <v>96.30939923929111</v>
      </c>
      <c r="L78" s="254">
        <f>L79+L81</f>
        <v>5253</v>
      </c>
    </row>
    <row r="79" spans="1:12" ht="12.75">
      <c r="A79" s="252" t="s">
        <v>392</v>
      </c>
      <c r="B79" s="115">
        <v>45360593</v>
      </c>
      <c r="C79" s="214">
        <v>45360593</v>
      </c>
      <c r="D79" s="115">
        <f>'[6]Decembris'!$J$8</f>
        <v>44496823</v>
      </c>
      <c r="E79" s="256">
        <f t="shared" si="10"/>
        <v>0.980957700442761</v>
      </c>
      <c r="F79" s="257">
        <f>D79-'[7]Novembris'!D79</f>
        <v>3893362</v>
      </c>
      <c r="G79" s="252" t="s">
        <v>392</v>
      </c>
      <c r="H79" s="258">
        <f aca="true" t="shared" si="12" ref="H79:J83">ROUND(B79/1000,0)</f>
        <v>45361</v>
      </c>
      <c r="I79" s="258">
        <f t="shared" si="12"/>
        <v>45361</v>
      </c>
      <c r="J79" s="258">
        <f>ROUND(D79/1000,0)</f>
        <v>44497</v>
      </c>
      <c r="K79" s="171">
        <f t="shared" si="11"/>
        <v>98.09528008641784</v>
      </c>
      <c r="L79" s="258">
        <f>J79-'[7]Novembris'!J79</f>
        <v>3894</v>
      </c>
    </row>
    <row r="80" spans="1:12" ht="25.5">
      <c r="A80" s="62" t="s">
        <v>404</v>
      </c>
      <c r="B80" s="115">
        <v>1818632</v>
      </c>
      <c r="C80" s="214"/>
      <c r="D80" s="115">
        <v>1886609</v>
      </c>
      <c r="E80" s="256">
        <f t="shared" si="10"/>
        <v>1.0373780951836324</v>
      </c>
      <c r="F80" s="257">
        <v>72782</v>
      </c>
      <c r="G80" s="62" t="s">
        <v>404</v>
      </c>
      <c r="H80" s="258">
        <f t="shared" si="12"/>
        <v>1819</v>
      </c>
      <c r="I80" s="258"/>
      <c r="J80" s="258">
        <f>ROUND(D80/1000,0)</f>
        <v>1887</v>
      </c>
      <c r="K80" s="171">
        <f t="shared" si="11"/>
        <v>103.73831775700934</v>
      </c>
      <c r="L80" s="258">
        <f>J80-'[7]Novembris'!J80</f>
        <v>73</v>
      </c>
    </row>
    <row r="81" spans="1:12" ht="12.75">
      <c r="A81" s="252" t="s">
        <v>382</v>
      </c>
      <c r="B81" s="115">
        <v>14846025</v>
      </c>
      <c r="C81" s="214">
        <v>14846025</v>
      </c>
      <c r="D81" s="115">
        <f>'[6]Decembris'!$J$30</f>
        <v>13487675</v>
      </c>
      <c r="E81" s="256">
        <f t="shared" si="10"/>
        <v>0.9085041282094029</v>
      </c>
      <c r="F81" s="257">
        <f>D81-'[7]Novembris'!D81</f>
        <v>1359012</v>
      </c>
      <c r="G81" s="252" t="s">
        <v>416</v>
      </c>
      <c r="H81" s="258">
        <f t="shared" si="12"/>
        <v>14846</v>
      </c>
      <c r="I81" s="258">
        <f t="shared" si="12"/>
        <v>14846</v>
      </c>
      <c r="J81" s="258">
        <f t="shared" si="12"/>
        <v>13488</v>
      </c>
      <c r="K81" s="171">
        <f t="shared" si="11"/>
        <v>90.85275495082851</v>
      </c>
      <c r="L81" s="258">
        <f>J81-'[7]Novembris'!J81</f>
        <v>1359</v>
      </c>
    </row>
    <row r="82" spans="1:12" ht="12.75">
      <c r="A82" s="252" t="s">
        <v>385</v>
      </c>
      <c r="B82" s="115">
        <f>B72-B78</f>
        <v>-5400000</v>
      </c>
      <c r="C82" s="214">
        <f>C72-C78</f>
        <v>-5400000</v>
      </c>
      <c r="D82" s="115">
        <f>D72-D78</f>
        <v>-4328354</v>
      </c>
      <c r="E82" s="256">
        <f t="shared" si="10"/>
        <v>0.801547037037037</v>
      </c>
      <c r="F82" s="257">
        <f>D82-'[7]Novembris'!D82</f>
        <v>-620767</v>
      </c>
      <c r="G82" s="252" t="s">
        <v>385</v>
      </c>
      <c r="H82" s="254">
        <f>H72-H78</f>
        <v>-5400</v>
      </c>
      <c r="I82" s="254">
        <f>I72-I78</f>
        <v>-5400</v>
      </c>
      <c r="J82" s="254">
        <f>J72-J78</f>
        <v>-4328</v>
      </c>
      <c r="K82" s="171">
        <f t="shared" si="11"/>
        <v>80.14814814814815</v>
      </c>
      <c r="L82" s="258">
        <f>J82-'[7]Novembris'!J82</f>
        <v>-620</v>
      </c>
    </row>
    <row r="83" spans="1:12" ht="25.5">
      <c r="A83" s="62" t="s">
        <v>386</v>
      </c>
      <c r="B83" s="115">
        <v>5400000</v>
      </c>
      <c r="C83" s="214">
        <v>5400000</v>
      </c>
      <c r="D83" s="115">
        <f>1300000+3913395</f>
        <v>5213395</v>
      </c>
      <c r="E83" s="256" t="str">
        <f>IF(ISERROR(#REF!/B83)," ",(#REF!/B83))</f>
        <v> </v>
      </c>
      <c r="F83" s="257">
        <v>1464060</v>
      </c>
      <c r="G83" s="62" t="s">
        <v>386</v>
      </c>
      <c r="H83" s="258">
        <f t="shared" si="12"/>
        <v>5400</v>
      </c>
      <c r="I83" s="258">
        <f t="shared" si="12"/>
        <v>5400</v>
      </c>
      <c r="J83" s="258">
        <f t="shared" si="12"/>
        <v>5213</v>
      </c>
      <c r="K83" s="171">
        <f t="shared" si="11"/>
        <v>96.53703703703704</v>
      </c>
      <c r="L83" s="258">
        <f>J83-'[7]Novembris'!J83</f>
        <v>1464</v>
      </c>
    </row>
    <row r="84" spans="1:12" ht="25.5" hidden="1">
      <c r="A84" s="62" t="s">
        <v>387</v>
      </c>
      <c r="B84" s="115"/>
      <c r="C84" s="214"/>
      <c r="E84" s="256" t="str">
        <f>IF(ISERROR(D83/B84)," ",(D83/B84))</f>
        <v> </v>
      </c>
      <c r="F84" s="257">
        <v>1300000</v>
      </c>
      <c r="G84" s="62" t="s">
        <v>417</v>
      </c>
      <c r="H84" s="258"/>
      <c r="I84" s="258"/>
      <c r="J84" s="258">
        <f>ROUND(D83/1000,0)</f>
        <v>5213</v>
      </c>
      <c r="K84" s="171"/>
      <c r="L84" s="258">
        <v>1262</v>
      </c>
    </row>
    <row r="85" spans="1:12" ht="12.75">
      <c r="A85" s="92" t="s">
        <v>418</v>
      </c>
      <c r="B85" s="115"/>
      <c r="C85" s="214"/>
      <c r="D85" s="115"/>
      <c r="E85" s="256" t="str">
        <f t="shared" si="10"/>
        <v> </v>
      </c>
      <c r="F85" s="257"/>
      <c r="G85" s="96" t="s">
        <v>418</v>
      </c>
      <c r="H85" s="254"/>
      <c r="I85" s="254"/>
      <c r="J85" s="254"/>
      <c r="K85" s="171"/>
      <c r="L85" s="254"/>
    </row>
    <row r="86" spans="1:12" ht="12.75">
      <c r="A86" s="252" t="s">
        <v>389</v>
      </c>
      <c r="B86" s="115">
        <f>B87+B88</f>
        <v>728400</v>
      </c>
      <c r="C86" s="214">
        <v>728400</v>
      </c>
      <c r="D86" s="115">
        <f>D87+D88</f>
        <v>751588</v>
      </c>
      <c r="E86" s="256">
        <f t="shared" si="10"/>
        <v>1.0318341570565623</v>
      </c>
      <c r="F86" s="257">
        <f>F87+F88</f>
        <v>63188</v>
      </c>
      <c r="G86" s="252" t="s">
        <v>389</v>
      </c>
      <c r="H86" s="254">
        <f>H87+H88</f>
        <v>728</v>
      </c>
      <c r="I86" s="258">
        <f>ROUND(C86/1000,0)</f>
        <v>728</v>
      </c>
      <c r="J86" s="254">
        <f>J87+J88</f>
        <v>751</v>
      </c>
      <c r="K86" s="171">
        <f aca="true" t="shared" si="13" ref="K86:K149">IF(ISERROR(ROUND(J86,0)/ROUND(H86,0))," ",(ROUND(J86,)/ROUND(H86,)))*100</f>
        <v>103.15934065934067</v>
      </c>
      <c r="L86" s="254">
        <f>L87+L88</f>
        <v>63</v>
      </c>
    </row>
    <row r="87" spans="1:12" ht="12.75">
      <c r="A87" s="252" t="s">
        <v>419</v>
      </c>
      <c r="B87" s="115">
        <v>728400</v>
      </c>
      <c r="C87" s="214"/>
      <c r="D87" s="115">
        <v>742433</v>
      </c>
      <c r="E87" s="256">
        <f t="shared" si="10"/>
        <v>1.0192655134541462</v>
      </c>
      <c r="F87" s="257">
        <f>D87-'[7]Novembris'!D87</f>
        <v>67271</v>
      </c>
      <c r="G87" s="252" t="s">
        <v>420</v>
      </c>
      <c r="H87" s="258">
        <f>ROUND(B87/1000,0)</f>
        <v>728</v>
      </c>
      <c r="I87" s="258">
        <f>ROUND(C87/1000,0)</f>
        <v>0</v>
      </c>
      <c r="J87" s="258">
        <f>ROUND(D87/1000,0)</f>
        <v>742</v>
      </c>
      <c r="K87" s="171">
        <f t="shared" si="13"/>
        <v>101.92307692307692</v>
      </c>
      <c r="L87" s="258">
        <f>J87-'[7]Novembris'!J87</f>
        <v>67</v>
      </c>
    </row>
    <row r="88" spans="1:12" ht="12.75">
      <c r="A88" s="252" t="s">
        <v>395</v>
      </c>
      <c r="B88" s="115"/>
      <c r="C88" s="214"/>
      <c r="D88" s="115">
        <v>9155</v>
      </c>
      <c r="E88" s="256" t="str">
        <f t="shared" si="10"/>
        <v> </v>
      </c>
      <c r="F88" s="257">
        <f>D88-'[7]Novembris'!D88</f>
        <v>-4083</v>
      </c>
      <c r="G88" s="252" t="s">
        <v>395</v>
      </c>
      <c r="H88" s="258">
        <f>ROUND(B88/1000,0)</f>
        <v>0</v>
      </c>
      <c r="I88" s="258">
        <f>ROUND(C88/1000,0)</f>
        <v>0</v>
      </c>
      <c r="J88" s="258">
        <f>ROUND(D88/1000,0)</f>
        <v>9</v>
      </c>
      <c r="K88" s="171"/>
      <c r="L88" s="258">
        <f>J88-'[7]Novembris'!J88</f>
        <v>-4</v>
      </c>
    </row>
    <row r="89" spans="1:12" ht="12.75">
      <c r="A89" s="252" t="s">
        <v>391</v>
      </c>
      <c r="B89" s="115">
        <f>B90+B91</f>
        <v>850000</v>
      </c>
      <c r="C89" s="214">
        <f>SUM(C90:C91)</f>
        <v>850000</v>
      </c>
      <c r="D89" s="115">
        <f>D90+D91</f>
        <v>846168</v>
      </c>
      <c r="E89" s="256">
        <f t="shared" si="10"/>
        <v>0.9954917647058823</v>
      </c>
      <c r="F89" s="257">
        <f>F90+F91</f>
        <v>423367</v>
      </c>
      <c r="G89" s="252" t="s">
        <v>391</v>
      </c>
      <c r="H89" s="254">
        <f>H90+H91</f>
        <v>850</v>
      </c>
      <c r="I89" s="254">
        <f>I90+I91</f>
        <v>850</v>
      </c>
      <c r="J89" s="254">
        <f>J90+J91</f>
        <v>846</v>
      </c>
      <c r="K89" s="171">
        <f t="shared" si="13"/>
        <v>99.52941176470588</v>
      </c>
      <c r="L89" s="254">
        <f>L90+L91</f>
        <v>423</v>
      </c>
    </row>
    <row r="90" spans="1:12" ht="12.75">
      <c r="A90" s="252" t="s">
        <v>392</v>
      </c>
      <c r="B90" s="115">
        <v>739620</v>
      </c>
      <c r="C90" s="214">
        <v>739620</v>
      </c>
      <c r="D90" s="115">
        <f>'[6]Decembris'!$G$8</f>
        <v>736994</v>
      </c>
      <c r="E90" s="256">
        <f t="shared" si="10"/>
        <v>0.9964495281360699</v>
      </c>
      <c r="F90" s="257">
        <f>D90-'[7]Novembris'!D90</f>
        <v>402364</v>
      </c>
      <c r="G90" s="252" t="s">
        <v>392</v>
      </c>
      <c r="H90" s="258">
        <f aca="true" t="shared" si="14" ref="H90:J91">ROUND(B90/1000,0)</f>
        <v>740</v>
      </c>
      <c r="I90" s="258">
        <f t="shared" si="14"/>
        <v>740</v>
      </c>
      <c r="J90" s="258">
        <f t="shared" si="14"/>
        <v>737</v>
      </c>
      <c r="K90" s="171">
        <f t="shared" si="13"/>
        <v>99.5945945945946</v>
      </c>
      <c r="L90" s="258">
        <f>J90-'[7]Novembris'!J90</f>
        <v>402</v>
      </c>
    </row>
    <row r="91" spans="1:12" ht="12.75">
      <c r="A91" s="252" t="s">
        <v>382</v>
      </c>
      <c r="B91" s="115">
        <v>110380</v>
      </c>
      <c r="C91" s="214">
        <v>110380</v>
      </c>
      <c r="D91" s="115">
        <f>'[6]Decembris'!$G$30</f>
        <v>109174</v>
      </c>
      <c r="E91" s="256">
        <f t="shared" si="10"/>
        <v>0.9890741076281935</v>
      </c>
      <c r="F91" s="257">
        <f>D91-'[7]Novembris'!D91</f>
        <v>21003</v>
      </c>
      <c r="G91" s="252" t="s">
        <v>382</v>
      </c>
      <c r="H91" s="258">
        <f t="shared" si="14"/>
        <v>110</v>
      </c>
      <c r="I91" s="258">
        <f t="shared" si="14"/>
        <v>110</v>
      </c>
      <c r="J91" s="258">
        <f t="shared" si="14"/>
        <v>109</v>
      </c>
      <c r="K91" s="171">
        <f t="shared" si="13"/>
        <v>99.0909090909091</v>
      </c>
      <c r="L91" s="258">
        <f>J91-'[7]Novembris'!J91</f>
        <v>21</v>
      </c>
    </row>
    <row r="92" spans="1:12" ht="25.5" customHeight="1">
      <c r="A92" s="93" t="s">
        <v>421</v>
      </c>
      <c r="B92" s="115"/>
      <c r="C92" s="214"/>
      <c r="D92" s="115"/>
      <c r="E92" s="256" t="str">
        <f t="shared" si="10"/>
        <v> </v>
      </c>
      <c r="F92" s="257"/>
      <c r="G92" s="94" t="s">
        <v>421</v>
      </c>
      <c r="H92" s="254"/>
      <c r="I92" s="254"/>
      <c r="J92" s="254"/>
      <c r="K92" s="171"/>
      <c r="L92" s="254"/>
    </row>
    <row r="93" spans="1:12" ht="12.75">
      <c r="A93" s="252" t="s">
        <v>389</v>
      </c>
      <c r="B93" s="115">
        <v>2303648</v>
      </c>
      <c r="C93" s="214">
        <v>2303648</v>
      </c>
      <c r="D93" s="115">
        <f>'[6]Decembris'!$H$6</f>
        <v>2225962</v>
      </c>
      <c r="E93" s="256">
        <f t="shared" si="10"/>
        <v>0.9662769659253497</v>
      </c>
      <c r="F93" s="257">
        <f>D93-'[7]Novembris'!D93</f>
        <v>239638</v>
      </c>
      <c r="G93" s="252" t="s">
        <v>389</v>
      </c>
      <c r="H93" s="258">
        <f>ROUND(B93/1000,0)</f>
        <v>2304</v>
      </c>
      <c r="I93" s="258">
        <f>ROUND(C93/1000,0)</f>
        <v>2304</v>
      </c>
      <c r="J93" s="258">
        <f>ROUND(D93/1000,0)</f>
        <v>2226</v>
      </c>
      <c r="K93" s="171">
        <f t="shared" si="13"/>
        <v>96.61458333333334</v>
      </c>
      <c r="L93" s="258">
        <f>J93-'[7]Novembris'!J93</f>
        <v>240</v>
      </c>
    </row>
    <row r="94" spans="1:12" ht="12.75">
      <c r="A94" s="252" t="s">
        <v>391</v>
      </c>
      <c r="B94" s="115">
        <f>SUM(B95:B96)</f>
        <v>2400000</v>
      </c>
      <c r="C94" s="214">
        <f>SUM(C95:C96)</f>
        <v>2400000</v>
      </c>
      <c r="D94" s="115">
        <f>D96+D95</f>
        <v>2223922</v>
      </c>
      <c r="E94" s="256">
        <f t="shared" si="10"/>
        <v>0.9266341666666666</v>
      </c>
      <c r="F94" s="257">
        <f>SUM(F95:F96)</f>
        <v>228564</v>
      </c>
      <c r="G94" s="252" t="s">
        <v>391</v>
      </c>
      <c r="H94" s="254">
        <f>SUM(H95:H96)</f>
        <v>2400</v>
      </c>
      <c r="I94" s="258">
        <f>ROUND(C94/1000,0)</f>
        <v>2400</v>
      </c>
      <c r="J94" s="254">
        <f>SUM(J95:J96)</f>
        <v>2224</v>
      </c>
      <c r="K94" s="171">
        <f t="shared" si="13"/>
        <v>92.66666666666666</v>
      </c>
      <c r="L94" s="258">
        <f>J94-'[7]Novembris'!J94</f>
        <v>229</v>
      </c>
    </row>
    <row r="95" spans="1:12" ht="12.75">
      <c r="A95" s="252" t="s">
        <v>392</v>
      </c>
      <c r="B95" s="115">
        <v>250000</v>
      </c>
      <c r="C95" s="214">
        <v>250000</v>
      </c>
      <c r="D95" s="115">
        <v>190000</v>
      </c>
      <c r="E95" s="256">
        <f t="shared" si="10"/>
        <v>0.76</v>
      </c>
      <c r="F95" s="257">
        <f>D95-'[7]Novembris'!D95</f>
        <v>190000</v>
      </c>
      <c r="G95" s="252" t="s">
        <v>392</v>
      </c>
      <c r="H95" s="258">
        <f aca="true" t="shared" si="15" ref="H95:J97">ROUND(B95/1000,0)</f>
        <v>250</v>
      </c>
      <c r="I95" s="258">
        <f t="shared" si="15"/>
        <v>250</v>
      </c>
      <c r="J95" s="254">
        <v>190</v>
      </c>
      <c r="K95" s="171">
        <f t="shared" si="13"/>
        <v>76</v>
      </c>
      <c r="L95" s="258">
        <v>190</v>
      </c>
    </row>
    <row r="96" spans="1:12" ht="12.75">
      <c r="A96" s="252" t="s">
        <v>382</v>
      </c>
      <c r="B96" s="115">
        <v>2150000</v>
      </c>
      <c r="C96" s="214">
        <v>2150000</v>
      </c>
      <c r="D96" s="115">
        <f>'[6]Decembris'!$H$30</f>
        <v>2033922</v>
      </c>
      <c r="E96" s="256">
        <f t="shared" si="10"/>
        <v>0.9460102325581395</v>
      </c>
      <c r="F96" s="257">
        <f>D96-'[7]Novembris'!D96</f>
        <v>38564</v>
      </c>
      <c r="G96" s="252" t="s">
        <v>382</v>
      </c>
      <c r="H96" s="258">
        <f t="shared" si="15"/>
        <v>2150</v>
      </c>
      <c r="I96" s="258">
        <f t="shared" si="15"/>
        <v>2150</v>
      </c>
      <c r="J96" s="258">
        <f t="shared" si="15"/>
        <v>2034</v>
      </c>
      <c r="K96" s="171">
        <f t="shared" si="13"/>
        <v>94.6046511627907</v>
      </c>
      <c r="L96" s="258">
        <f>J96-'[7]Novembris'!J96</f>
        <v>39</v>
      </c>
    </row>
    <row r="97" spans="1:12" ht="25.5" hidden="1">
      <c r="A97" s="62" t="s">
        <v>387</v>
      </c>
      <c r="B97" s="115"/>
      <c r="C97" s="214"/>
      <c r="D97" s="115"/>
      <c r="E97" s="256" t="str">
        <f t="shared" si="10"/>
        <v> </v>
      </c>
      <c r="F97" s="257">
        <v>0</v>
      </c>
      <c r="G97" s="62" t="s">
        <v>387</v>
      </c>
      <c r="H97" s="258">
        <f t="shared" si="15"/>
        <v>0</v>
      </c>
      <c r="I97" s="258">
        <f t="shared" si="15"/>
        <v>0</v>
      </c>
      <c r="J97" s="258">
        <f t="shared" si="15"/>
        <v>0</v>
      </c>
      <c r="K97" s="171"/>
      <c r="L97" s="258">
        <v>0</v>
      </c>
    </row>
    <row r="98" spans="1:13" ht="12.75">
      <c r="A98" s="252" t="s">
        <v>274</v>
      </c>
      <c r="B98" s="115"/>
      <c r="C98" s="214"/>
      <c r="D98" s="115"/>
      <c r="E98" s="256" t="str">
        <f t="shared" si="10"/>
        <v> </v>
      </c>
      <c r="F98" s="257"/>
      <c r="G98" s="252" t="s">
        <v>274</v>
      </c>
      <c r="H98" s="254"/>
      <c r="I98" s="254"/>
      <c r="J98" s="254"/>
      <c r="K98" s="171"/>
      <c r="L98" s="254"/>
      <c r="M98" s="43"/>
    </row>
    <row r="99" spans="1:13" ht="12.75">
      <c r="A99" s="92" t="s">
        <v>422</v>
      </c>
      <c r="B99" s="115"/>
      <c r="C99" s="214"/>
      <c r="D99" s="115"/>
      <c r="E99" s="256" t="str">
        <f t="shared" si="10"/>
        <v> </v>
      </c>
      <c r="F99" s="257"/>
      <c r="G99" s="109" t="s">
        <v>422</v>
      </c>
      <c r="H99" s="254"/>
      <c r="I99" s="254"/>
      <c r="J99" s="254"/>
      <c r="K99" s="171"/>
      <c r="L99" s="254"/>
      <c r="M99" s="43"/>
    </row>
    <row r="100" spans="1:13" ht="12.75">
      <c r="A100" s="252" t="s">
        <v>389</v>
      </c>
      <c r="B100" s="115">
        <f>SUM(B101:B103)</f>
        <v>130978314</v>
      </c>
      <c r="C100" s="214">
        <v>130978314</v>
      </c>
      <c r="D100" s="115">
        <f>SUM(D101:D103)</f>
        <v>130859265</v>
      </c>
      <c r="E100" s="256">
        <f t="shared" si="10"/>
        <v>0.9990910785429716</v>
      </c>
      <c r="F100" s="257">
        <f>SUM(F101:F103)</f>
        <v>12620500</v>
      </c>
      <c r="G100" s="252" t="s">
        <v>389</v>
      </c>
      <c r="H100" s="254">
        <f>SUM(H101:H103)</f>
        <v>130978</v>
      </c>
      <c r="I100" s="254">
        <f>ROUND(C100/1000,0)</f>
        <v>130978</v>
      </c>
      <c r="J100" s="254">
        <f>SUM(J101:J103)</f>
        <v>130859</v>
      </c>
      <c r="K100" s="171">
        <f t="shared" si="13"/>
        <v>99.90914504725984</v>
      </c>
      <c r="L100" s="254">
        <f>SUM(L101:L103)</f>
        <v>12620</v>
      </c>
      <c r="M100" s="43"/>
    </row>
    <row r="101" spans="1:13" ht="12.75">
      <c r="A101" s="252" t="s">
        <v>423</v>
      </c>
      <c r="B101" s="115">
        <v>74152400</v>
      </c>
      <c r="C101" s="214"/>
      <c r="D101" s="115">
        <v>74218078</v>
      </c>
      <c r="E101" s="256">
        <f t="shared" si="10"/>
        <v>1.0008857164434326</v>
      </c>
      <c r="F101" s="257">
        <f>D101-'[7]Novembris'!D101</f>
        <v>7874439</v>
      </c>
      <c r="G101" s="252" t="s">
        <v>423</v>
      </c>
      <c r="H101" s="254">
        <f>ROUND(B101/1000,0)</f>
        <v>74152</v>
      </c>
      <c r="I101" s="254">
        <f>ROUND(C101/1000,0)</f>
        <v>0</v>
      </c>
      <c r="J101" s="254">
        <f>ROUND(D101/1000,0)</f>
        <v>74218</v>
      </c>
      <c r="K101" s="171">
        <f t="shared" si="13"/>
        <v>100.08900636530369</v>
      </c>
      <c r="L101" s="258">
        <f>J101-'[7]Novembris'!J101</f>
        <v>7874</v>
      </c>
      <c r="M101" s="43"/>
    </row>
    <row r="102" spans="1:13" ht="12.75">
      <c r="A102" s="252" t="s">
        <v>424</v>
      </c>
      <c r="B102" s="115">
        <v>54092286</v>
      </c>
      <c r="C102" s="214"/>
      <c r="D102" s="115">
        <v>54092286</v>
      </c>
      <c r="E102" s="256">
        <f t="shared" si="10"/>
        <v>1</v>
      </c>
      <c r="F102" s="257">
        <f>D102-'[7]Novembris'!D102</f>
        <v>4646448</v>
      </c>
      <c r="G102" s="252" t="s">
        <v>424</v>
      </c>
      <c r="H102" s="254">
        <f>ROUND(B102/1000,0)</f>
        <v>54092</v>
      </c>
      <c r="I102" s="254">
        <f>ROUND(C102/1000,0)</f>
        <v>0</v>
      </c>
      <c r="J102" s="254">
        <f>ROUND(D102/1000,0)</f>
        <v>54092</v>
      </c>
      <c r="K102" s="171">
        <f t="shared" si="13"/>
        <v>100</v>
      </c>
      <c r="L102" s="258">
        <f>J102-'[7]Novembris'!J102</f>
        <v>4646</v>
      </c>
      <c r="M102" s="43"/>
    </row>
    <row r="103" spans="1:13" ht="12.75">
      <c r="A103" s="267" t="s">
        <v>313</v>
      </c>
      <c r="B103" s="115">
        <v>2733628</v>
      </c>
      <c r="C103" s="214"/>
      <c r="D103" s="115">
        <v>2548901</v>
      </c>
      <c r="E103" s="256">
        <f t="shared" si="10"/>
        <v>0.932424236216486</v>
      </c>
      <c r="F103" s="257">
        <f>D103-'[7]Novembris'!D103</f>
        <v>99613</v>
      </c>
      <c r="G103" s="252" t="s">
        <v>313</v>
      </c>
      <c r="H103" s="254">
        <f>ROUND(B103/1000,0)</f>
        <v>2734</v>
      </c>
      <c r="I103" s="254">
        <f>ROUND(C103/1000,0)</f>
        <v>0</v>
      </c>
      <c r="J103" s="254">
        <f>ROUND(D103/1000,0)</f>
        <v>2549</v>
      </c>
      <c r="K103" s="171">
        <f t="shared" si="13"/>
        <v>93.23335771762984</v>
      </c>
      <c r="L103" s="258">
        <f>J103-'[7]Novembris'!J103</f>
        <v>100</v>
      </c>
      <c r="M103" s="43"/>
    </row>
    <row r="104" spans="1:13" ht="12.75">
      <c r="A104" s="252" t="s">
        <v>391</v>
      </c>
      <c r="B104" s="115">
        <f>SUM(B105+B107)</f>
        <v>135564665</v>
      </c>
      <c r="C104" s="214">
        <f>SUM(C105:C107)</f>
        <v>135564665</v>
      </c>
      <c r="D104" s="115">
        <f>SUM(D105+D107)</f>
        <v>133568460</v>
      </c>
      <c r="E104" s="256">
        <f t="shared" si="10"/>
        <v>0.9852748870806416</v>
      </c>
      <c r="F104" s="257">
        <f>SUM(F105:F107)</f>
        <v>12426454</v>
      </c>
      <c r="G104" s="252" t="s">
        <v>391</v>
      </c>
      <c r="H104" s="254">
        <f>SUM(H105+H107)</f>
        <v>135564</v>
      </c>
      <c r="I104" s="254">
        <f>SUM(I105:I107)</f>
        <v>135564</v>
      </c>
      <c r="J104" s="254">
        <f>SUM(J105,J107)</f>
        <v>133569</v>
      </c>
      <c r="K104" s="171">
        <f t="shared" si="13"/>
        <v>98.5283703638134</v>
      </c>
      <c r="L104" s="254">
        <f>SUM(L105:L107)</f>
        <v>12427</v>
      </c>
      <c r="M104" s="43"/>
    </row>
    <row r="105" spans="1:13" ht="12.75">
      <c r="A105" s="252" t="s">
        <v>392</v>
      </c>
      <c r="B105" s="115">
        <v>129548435</v>
      </c>
      <c r="C105" s="214">
        <v>129548435</v>
      </c>
      <c r="D105" s="115">
        <f>'[6]Decembris'!$D$8</f>
        <v>127955616</v>
      </c>
      <c r="E105" s="256">
        <f t="shared" si="10"/>
        <v>0.987704837962728</v>
      </c>
      <c r="F105" s="257">
        <f>D105-'[7]Novembris'!D105</f>
        <v>10771139</v>
      </c>
      <c r="G105" s="252" t="s">
        <v>392</v>
      </c>
      <c r="H105" s="254">
        <f aca="true" t="shared" si="16" ref="H105:J107">ROUND(B105/1000,0)</f>
        <v>129548</v>
      </c>
      <c r="I105" s="254">
        <f>ROUND(C105/1000,0)</f>
        <v>129548</v>
      </c>
      <c r="J105" s="254">
        <f t="shared" si="16"/>
        <v>127956</v>
      </c>
      <c r="K105" s="171">
        <f t="shared" si="13"/>
        <v>98.77111186587211</v>
      </c>
      <c r="L105" s="258">
        <f>J105-'[7]Novembris'!J105</f>
        <v>10772</v>
      </c>
      <c r="M105" s="43"/>
    </row>
    <row r="106" spans="1:13" ht="25.5">
      <c r="A106" s="62" t="s">
        <v>404</v>
      </c>
      <c r="B106" s="115">
        <v>785592</v>
      </c>
      <c r="C106" s="214"/>
      <c r="D106" s="115">
        <v>747032</v>
      </c>
      <c r="E106" s="256">
        <f t="shared" si="10"/>
        <v>0.9509159971079135</v>
      </c>
      <c r="F106" s="257">
        <v>0</v>
      </c>
      <c r="G106" s="62" t="s">
        <v>404</v>
      </c>
      <c r="H106" s="254">
        <f t="shared" si="16"/>
        <v>786</v>
      </c>
      <c r="I106" s="254"/>
      <c r="J106" s="254">
        <f t="shared" si="16"/>
        <v>747</v>
      </c>
      <c r="K106" s="171">
        <f t="shared" si="13"/>
        <v>95.0381679389313</v>
      </c>
      <c r="L106" s="258">
        <f>J106-'[7]Novembris'!J106</f>
        <v>0</v>
      </c>
      <c r="M106" s="43"/>
    </row>
    <row r="107" spans="1:13" ht="12.75">
      <c r="A107" s="252" t="s">
        <v>382</v>
      </c>
      <c r="B107" s="115">
        <v>6016230</v>
      </c>
      <c r="C107" s="214">
        <v>6016230</v>
      </c>
      <c r="D107" s="115">
        <f>'[6]Decembris'!$D$30</f>
        <v>5612844</v>
      </c>
      <c r="E107" s="256">
        <f t="shared" si="10"/>
        <v>0.9329503692511756</v>
      </c>
      <c r="F107" s="257">
        <f>D107-'[7]Novembris'!D107</f>
        <v>1655315</v>
      </c>
      <c r="G107" s="252" t="s">
        <v>382</v>
      </c>
      <c r="H107" s="254">
        <f t="shared" si="16"/>
        <v>6016</v>
      </c>
      <c r="I107" s="254">
        <f t="shared" si="16"/>
        <v>6016</v>
      </c>
      <c r="J107" s="254">
        <f t="shared" si="16"/>
        <v>5613</v>
      </c>
      <c r="K107" s="171">
        <f t="shared" si="13"/>
        <v>93.30119680851064</v>
      </c>
      <c r="L107" s="258">
        <f>J107-'[7]Novembris'!J107</f>
        <v>1655</v>
      </c>
      <c r="M107" s="43"/>
    </row>
    <row r="108" spans="1:13" ht="12.75">
      <c r="A108" s="252" t="s">
        <v>385</v>
      </c>
      <c r="B108" s="115">
        <f>SUM(B100-B104)</f>
        <v>-4586351</v>
      </c>
      <c r="C108" s="214">
        <f>SUM(C100-C104)</f>
        <v>-4586351</v>
      </c>
      <c r="D108" s="115">
        <f>SUM(D100-D104)</f>
        <v>-2709195</v>
      </c>
      <c r="E108" s="256">
        <f t="shared" si="10"/>
        <v>0.5907081686508512</v>
      </c>
      <c r="F108" s="257">
        <f>D108-'[7]Novembris'!D108</f>
        <v>194046</v>
      </c>
      <c r="G108" s="252" t="s">
        <v>385</v>
      </c>
      <c r="H108" s="254">
        <f>SUM(H100-H104)</f>
        <v>-4586</v>
      </c>
      <c r="I108" s="254">
        <f>SUM(I100-I104)</f>
        <v>-4586</v>
      </c>
      <c r="J108" s="254">
        <f>SUM(J100-J104)</f>
        <v>-2710</v>
      </c>
      <c r="K108" s="171"/>
      <c r="L108" s="258">
        <f>J108-'[7]Novembris'!J97</f>
        <v>-2835</v>
      </c>
      <c r="M108" s="43"/>
    </row>
    <row r="109" spans="1:13" ht="12.75">
      <c r="A109" s="252" t="s">
        <v>407</v>
      </c>
      <c r="B109" s="115">
        <v>3389000</v>
      </c>
      <c r="C109" s="214">
        <v>3389000</v>
      </c>
      <c r="D109" s="115">
        <v>3234411</v>
      </c>
      <c r="E109" s="256">
        <f t="shared" si="10"/>
        <v>0.9543850693419887</v>
      </c>
      <c r="F109" s="257">
        <f>D109-'[7]Novembris'!D109</f>
        <v>338313</v>
      </c>
      <c r="G109" s="252" t="s">
        <v>407</v>
      </c>
      <c r="H109" s="254">
        <f>ROUND(B109/1000,0)</f>
        <v>3389</v>
      </c>
      <c r="I109" s="254">
        <f>ROUND(C109/1000,0)</f>
        <v>3389</v>
      </c>
      <c r="J109" s="254">
        <f>ROUND(D109/1000,0)</f>
        <v>3234</v>
      </c>
      <c r="K109" s="171">
        <f t="shared" si="13"/>
        <v>95.42637946296843</v>
      </c>
      <c r="L109" s="258">
        <f>J109-'[7]Novembris'!J109</f>
        <v>338</v>
      </c>
      <c r="M109" s="43"/>
    </row>
    <row r="110" spans="1:12" ht="12.75">
      <c r="A110" s="92" t="s">
        <v>425</v>
      </c>
      <c r="B110" s="115"/>
      <c r="C110" s="214"/>
      <c r="D110" s="115"/>
      <c r="E110" s="256" t="str">
        <f t="shared" si="10"/>
        <v> </v>
      </c>
      <c r="F110" s="257"/>
      <c r="G110" s="96" t="s">
        <v>425</v>
      </c>
      <c r="H110" s="254"/>
      <c r="I110" s="254"/>
      <c r="J110" s="254"/>
      <c r="K110" s="171"/>
      <c r="L110" s="254"/>
    </row>
    <row r="111" spans="1:12" ht="12.75">
      <c r="A111" s="252" t="s">
        <v>389</v>
      </c>
      <c r="B111" s="115">
        <f>SUM(B112:B114)</f>
        <v>485014039</v>
      </c>
      <c r="C111" s="115">
        <v>485014039</v>
      </c>
      <c r="D111" s="115">
        <f>SUM(D112:D114)</f>
        <v>474584318</v>
      </c>
      <c r="E111" s="256">
        <f t="shared" si="10"/>
        <v>0.978496043080518</v>
      </c>
      <c r="F111" s="257">
        <f>D111-'[7]Novembris'!D111</f>
        <v>44536176</v>
      </c>
      <c r="G111" s="252" t="s">
        <v>389</v>
      </c>
      <c r="H111" s="254">
        <f>SUM(H112:H114)</f>
        <v>485014</v>
      </c>
      <c r="I111" s="258">
        <f aca="true" t="shared" si="17" ref="H111:J114">ROUND(C111/1000,0)</f>
        <v>485014</v>
      </c>
      <c r="J111" s="254">
        <f>SUM(J112:J114)</f>
        <v>474584</v>
      </c>
      <c r="K111" s="171">
        <f t="shared" si="13"/>
        <v>97.84954661102566</v>
      </c>
      <c r="L111" s="258">
        <f>SUM(L112:L114)</f>
        <v>44536</v>
      </c>
    </row>
    <row r="112" spans="1:12" ht="12.75">
      <c r="A112" s="268" t="s">
        <v>426</v>
      </c>
      <c r="B112" s="269">
        <v>476999247</v>
      </c>
      <c r="C112" s="270"/>
      <c r="D112" s="269">
        <v>466369992</v>
      </c>
      <c r="E112" s="256">
        <f t="shared" si="10"/>
        <v>0.9777164113636431</v>
      </c>
      <c r="F112" s="257">
        <f>D112-'[7]Novembris'!D112</f>
        <v>43602075</v>
      </c>
      <c r="G112" s="252" t="s">
        <v>426</v>
      </c>
      <c r="H112" s="258">
        <f t="shared" si="17"/>
        <v>476999</v>
      </c>
      <c r="I112" s="258">
        <f t="shared" si="17"/>
        <v>0</v>
      </c>
      <c r="J112" s="258">
        <f>ROUND(D112/1000,0)</f>
        <v>466370</v>
      </c>
      <c r="K112" s="171">
        <f t="shared" si="13"/>
        <v>97.77169344170534</v>
      </c>
      <c r="L112" s="258">
        <f>J112-'[7]Novembris'!J112</f>
        <v>43602</v>
      </c>
    </row>
    <row r="113" spans="1:12" ht="12.75">
      <c r="A113" s="268" t="s">
        <v>427</v>
      </c>
      <c r="B113" s="269">
        <f>280000+1890000+4209878</f>
        <v>6379878</v>
      </c>
      <c r="C113" s="270"/>
      <c r="D113" s="269">
        <v>6379878</v>
      </c>
      <c r="E113" s="256">
        <f t="shared" si="10"/>
        <v>1</v>
      </c>
      <c r="F113" s="257">
        <f>D113-'[7]Novembris'!D113</f>
        <v>808866</v>
      </c>
      <c r="G113" s="252" t="s">
        <v>427</v>
      </c>
      <c r="H113" s="258">
        <f t="shared" si="17"/>
        <v>6380</v>
      </c>
      <c r="I113" s="258">
        <f t="shared" si="17"/>
        <v>0</v>
      </c>
      <c r="J113" s="258">
        <f t="shared" si="17"/>
        <v>6380</v>
      </c>
      <c r="K113" s="171">
        <f t="shared" si="13"/>
        <v>100</v>
      </c>
      <c r="L113" s="258">
        <f>J113-'[7]Novembris'!J113</f>
        <v>809</v>
      </c>
    </row>
    <row r="114" spans="1:12" ht="12.75">
      <c r="A114" s="268" t="s">
        <v>428</v>
      </c>
      <c r="B114" s="269">
        <f>8014792-B113</f>
        <v>1634914</v>
      </c>
      <c r="C114" s="270"/>
      <c r="D114" s="269">
        <f>8214326-D113</f>
        <v>1834448</v>
      </c>
      <c r="E114" s="256">
        <f t="shared" si="10"/>
        <v>1.1220455632528683</v>
      </c>
      <c r="F114" s="257">
        <f>D114-'[7]Novembris'!D114</f>
        <v>125235</v>
      </c>
      <c r="G114" s="252" t="s">
        <v>428</v>
      </c>
      <c r="H114" s="258">
        <f t="shared" si="17"/>
        <v>1635</v>
      </c>
      <c r="I114" s="258">
        <f t="shared" si="17"/>
        <v>0</v>
      </c>
      <c r="J114" s="258">
        <f>ROUND(D114/1000,0)</f>
        <v>1834</v>
      </c>
      <c r="K114" s="171">
        <f t="shared" si="13"/>
        <v>112.17125382262998</v>
      </c>
      <c r="L114" s="258">
        <f>J114-'[7]Novembris'!J114</f>
        <v>125</v>
      </c>
    </row>
    <row r="115" spans="1:12" ht="12.75">
      <c r="A115" s="252" t="s">
        <v>429</v>
      </c>
      <c r="B115" s="115">
        <f>SUM(B116:B117)</f>
        <v>518721421</v>
      </c>
      <c r="C115" s="214">
        <f>SUM(C116:C117)</f>
        <v>518721421</v>
      </c>
      <c r="D115" s="115">
        <f>SUM(D116+D117)</f>
        <v>503755203</v>
      </c>
      <c r="E115" s="256">
        <f t="shared" si="10"/>
        <v>0.9711478697541585</v>
      </c>
      <c r="F115" s="257">
        <f>D115-'[7]Novembris'!D115</f>
        <v>39303463</v>
      </c>
      <c r="G115" s="252" t="s">
        <v>430</v>
      </c>
      <c r="H115" s="106">
        <f>SUM(H116:H117)</f>
        <v>518721</v>
      </c>
      <c r="I115" s="106">
        <f>SUM(I116:I117)</f>
        <v>518721</v>
      </c>
      <c r="J115" s="106">
        <f>SUM(J116:J117)</f>
        <v>503755</v>
      </c>
      <c r="K115" s="171">
        <f t="shared" si="13"/>
        <v>97.1148266601892</v>
      </c>
      <c r="L115" s="254">
        <f>SUM(L116:L117)</f>
        <v>39303</v>
      </c>
    </row>
    <row r="116" spans="1:12" ht="12.75">
      <c r="A116" s="252" t="s">
        <v>392</v>
      </c>
      <c r="B116" s="115">
        <v>516170164</v>
      </c>
      <c r="C116" s="214">
        <v>516170164</v>
      </c>
      <c r="D116" s="115">
        <f>502452047-280093-394810+1</f>
        <v>501777145</v>
      </c>
      <c r="E116" s="256">
        <f t="shared" si="10"/>
        <v>0.9721157478602347</v>
      </c>
      <c r="F116" s="257">
        <f>D116-'[7]Novembris'!D116</f>
        <v>38791999</v>
      </c>
      <c r="G116" s="252" t="s">
        <v>392</v>
      </c>
      <c r="H116" s="258">
        <f aca="true" t="shared" si="18" ref="H116:J118">ROUND(B116/1000,0)</f>
        <v>516170</v>
      </c>
      <c r="I116" s="258">
        <f t="shared" si="18"/>
        <v>516170</v>
      </c>
      <c r="J116" s="258">
        <f>ROUND(D116/1000,0)</f>
        <v>501777</v>
      </c>
      <c r="K116" s="171">
        <f t="shared" si="13"/>
        <v>97.2115775810295</v>
      </c>
      <c r="L116" s="258">
        <f>J116-'[7]Novembris'!J116</f>
        <v>38792</v>
      </c>
    </row>
    <row r="117" spans="1:12" ht="12.75">
      <c r="A117" s="252" t="s">
        <v>382</v>
      </c>
      <c r="B117" s="115">
        <v>2551257</v>
      </c>
      <c r="C117" s="214">
        <v>2551257</v>
      </c>
      <c r="D117" s="115">
        <f>280093+1303155+394810</f>
        <v>1978058</v>
      </c>
      <c r="E117" s="256">
        <f t="shared" si="10"/>
        <v>0.775326829088563</v>
      </c>
      <c r="F117" s="257">
        <f>D117-'[7]Novembris'!D117</f>
        <v>511464</v>
      </c>
      <c r="G117" s="252" t="s">
        <v>382</v>
      </c>
      <c r="H117" s="258">
        <f t="shared" si="18"/>
        <v>2551</v>
      </c>
      <c r="I117" s="258">
        <f t="shared" si="18"/>
        <v>2551</v>
      </c>
      <c r="J117" s="258">
        <f t="shared" si="18"/>
        <v>1978</v>
      </c>
      <c r="K117" s="171">
        <f t="shared" si="13"/>
        <v>77.53822030576245</v>
      </c>
      <c r="L117" s="258">
        <f>J117-'[7]Novembris'!J117</f>
        <v>511</v>
      </c>
    </row>
    <row r="118" spans="1:12" ht="12.75">
      <c r="A118" s="252" t="s">
        <v>385</v>
      </c>
      <c r="B118" s="115">
        <f>SUM(B111-B115)</f>
        <v>-33707382</v>
      </c>
      <c r="C118" s="214">
        <f>SUM(C111-C115)</f>
        <v>-33707382</v>
      </c>
      <c r="D118" s="115">
        <f>SUM(D111-D115)</f>
        <v>-29170885</v>
      </c>
      <c r="E118" s="256">
        <f t="shared" si="10"/>
        <v>0.8654153265299571</v>
      </c>
      <c r="F118" s="257">
        <f>D118-'[7]Novembris'!D118</f>
        <v>5232713</v>
      </c>
      <c r="G118" s="252" t="s">
        <v>385</v>
      </c>
      <c r="H118" s="258">
        <f t="shared" si="18"/>
        <v>-33707</v>
      </c>
      <c r="I118" s="258">
        <f t="shared" si="18"/>
        <v>-33707</v>
      </c>
      <c r="J118" s="258">
        <f t="shared" si="18"/>
        <v>-29171</v>
      </c>
      <c r="K118" s="171">
        <f t="shared" si="13"/>
        <v>86.54285459993473</v>
      </c>
      <c r="L118" s="258">
        <f>J118-'[7]Novembris'!J118</f>
        <v>5233</v>
      </c>
    </row>
    <row r="119" spans="1:12" ht="12.75">
      <c r="A119" s="252" t="s">
        <v>407</v>
      </c>
      <c r="B119" s="115">
        <v>35098568</v>
      </c>
      <c r="C119" s="214">
        <v>35098568</v>
      </c>
      <c r="D119" s="115">
        <f>30622622+1303155</f>
        <v>31925777</v>
      </c>
      <c r="E119" s="256">
        <f t="shared" si="10"/>
        <v>0.9096034060420927</v>
      </c>
      <c r="F119" s="257">
        <f>D119-'[7]Novembris'!D119</f>
        <v>-6384496</v>
      </c>
      <c r="G119" s="252" t="s">
        <v>407</v>
      </c>
      <c r="H119" s="258">
        <f>ROUND(B119/1000,0)-1</f>
        <v>35098</v>
      </c>
      <c r="I119" s="258">
        <f>ROUND(C119/1000,0)-1</f>
        <v>35098</v>
      </c>
      <c r="J119" s="258">
        <f>ROUND(D119/1000,0)</f>
        <v>31926</v>
      </c>
      <c r="K119" s="171">
        <f t="shared" si="13"/>
        <v>90.9624480027352</v>
      </c>
      <c r="L119" s="258">
        <f>J119-'[7]Novembris'!J119</f>
        <v>-6384</v>
      </c>
    </row>
    <row r="120" spans="1:12" ht="12.75">
      <c r="A120" s="92" t="s">
        <v>431</v>
      </c>
      <c r="B120" s="115"/>
      <c r="C120" s="214"/>
      <c r="D120" s="115"/>
      <c r="E120" s="256" t="str">
        <f t="shared" si="10"/>
        <v> </v>
      </c>
      <c r="F120" s="257"/>
      <c r="G120" s="92" t="s">
        <v>431</v>
      </c>
      <c r="H120" s="254"/>
      <c r="I120" s="254"/>
      <c r="J120" s="254"/>
      <c r="K120" s="171"/>
      <c r="L120" s="254"/>
    </row>
    <row r="121" spans="1:12" ht="12.75">
      <c r="A121" s="252" t="s">
        <v>389</v>
      </c>
      <c r="B121" s="115">
        <f>SUM(B122:B124)</f>
        <v>380564329</v>
      </c>
      <c r="C121" s="214">
        <v>380564329</v>
      </c>
      <c r="D121" s="115">
        <f>SUM(D122:D124)</f>
        <v>371380589</v>
      </c>
      <c r="E121" s="256">
        <f t="shared" si="10"/>
        <v>0.9758681008697481</v>
      </c>
      <c r="F121" s="257">
        <f>D121-'[7]Novembris'!D121</f>
        <v>33216724</v>
      </c>
      <c r="G121" s="252" t="s">
        <v>389</v>
      </c>
      <c r="H121" s="254">
        <f>SUM(H122:H124)</f>
        <v>380564</v>
      </c>
      <c r="I121" s="271">
        <f aca="true" t="shared" si="19" ref="H121:J126">ROUND(C121/1000,0)</f>
        <v>380564</v>
      </c>
      <c r="J121" s="254">
        <f>SUM(J122:J124)</f>
        <v>371381</v>
      </c>
      <c r="K121" s="171">
        <f t="shared" si="13"/>
        <v>97.58700244899676</v>
      </c>
      <c r="L121" s="258">
        <f>SUM(L122:L124)</f>
        <v>33217</v>
      </c>
    </row>
    <row r="122" spans="1:12" ht="12.75">
      <c r="A122" s="268" t="s">
        <v>426</v>
      </c>
      <c r="B122" s="269">
        <v>358336359</v>
      </c>
      <c r="C122" s="270"/>
      <c r="D122" s="272">
        <v>350317812</v>
      </c>
      <c r="E122" s="256">
        <f t="shared" si="10"/>
        <v>0.9776228484813063</v>
      </c>
      <c r="F122" s="257">
        <f>D122-'[7]Novembris'!D122</f>
        <v>32750972</v>
      </c>
      <c r="G122" s="268" t="s">
        <v>426</v>
      </c>
      <c r="H122" s="271">
        <f t="shared" si="19"/>
        <v>358336</v>
      </c>
      <c r="I122" s="271">
        <f t="shared" si="19"/>
        <v>0</v>
      </c>
      <c r="J122" s="271">
        <f>ROUND(D122/1000,0)</f>
        <v>350318</v>
      </c>
      <c r="K122" s="171">
        <f t="shared" si="13"/>
        <v>97.76243525629576</v>
      </c>
      <c r="L122" s="258">
        <f>J122-'[7]Novembris'!J122</f>
        <v>32751</v>
      </c>
    </row>
    <row r="123" spans="1:12" ht="12.75">
      <c r="A123" s="268" t="s">
        <v>427</v>
      </c>
      <c r="B123" s="269">
        <v>3770669</v>
      </c>
      <c r="C123" s="270"/>
      <c r="D123" s="272">
        <v>3787178</v>
      </c>
      <c r="E123" s="256">
        <f t="shared" si="10"/>
        <v>1.0043782681534763</v>
      </c>
      <c r="F123" s="257">
        <f>D123-'[7]Novembris'!D123</f>
        <v>615204</v>
      </c>
      <c r="G123" s="268" t="s">
        <v>427</v>
      </c>
      <c r="H123" s="271">
        <f t="shared" si="19"/>
        <v>3771</v>
      </c>
      <c r="I123" s="271">
        <f t="shared" si="19"/>
        <v>0</v>
      </c>
      <c r="J123" s="271">
        <f>ROUND(D123/1000,0)</f>
        <v>3787</v>
      </c>
      <c r="K123" s="171">
        <f t="shared" si="13"/>
        <v>100.42429063908777</v>
      </c>
      <c r="L123" s="258">
        <f>J123-'[7]Novembris'!J123</f>
        <v>615</v>
      </c>
    </row>
    <row r="124" spans="1:12" ht="12.75">
      <c r="A124" s="268" t="s">
        <v>428</v>
      </c>
      <c r="B124" s="269">
        <f>22227970-3770669</f>
        <v>18457301</v>
      </c>
      <c r="C124" s="270"/>
      <c r="D124" s="272">
        <f>21062777-D123</f>
        <v>17275599</v>
      </c>
      <c r="E124" s="256">
        <f t="shared" si="10"/>
        <v>0.9359764463937604</v>
      </c>
      <c r="F124" s="257">
        <f>D124-'[7]Novembris'!D124</f>
        <v>-149452</v>
      </c>
      <c r="G124" s="268" t="s">
        <v>428</v>
      </c>
      <c r="H124" s="271">
        <f t="shared" si="19"/>
        <v>18457</v>
      </c>
      <c r="I124" s="271">
        <f t="shared" si="19"/>
        <v>0</v>
      </c>
      <c r="J124" s="271">
        <f t="shared" si="19"/>
        <v>17276</v>
      </c>
      <c r="K124" s="171">
        <f t="shared" si="13"/>
        <v>93.60134366365065</v>
      </c>
      <c r="L124" s="258">
        <f>J124-'[7]Novembris'!J124</f>
        <v>-149</v>
      </c>
    </row>
    <row r="125" spans="1:12" ht="12.75">
      <c r="A125" s="252" t="s">
        <v>391</v>
      </c>
      <c r="B125" s="269">
        <f>SUM(B126)</f>
        <v>409497397</v>
      </c>
      <c r="C125" s="214">
        <f>SUM(C126)</f>
        <v>409497397</v>
      </c>
      <c r="D125" s="269">
        <f>SUM(D126)</f>
        <v>398839476</v>
      </c>
      <c r="E125" s="256">
        <f t="shared" si="10"/>
        <v>0.973973165450915</v>
      </c>
      <c r="F125" s="257">
        <f>D125-'[7]Novembris'!D125</f>
        <v>30310251</v>
      </c>
      <c r="G125" s="252" t="s">
        <v>391</v>
      </c>
      <c r="H125" s="254">
        <f>SUM(H126)</f>
        <v>409497</v>
      </c>
      <c r="I125" s="254">
        <f>SUM(I126)</f>
        <v>409497</v>
      </c>
      <c r="J125" s="254">
        <f>SUM(J126)</f>
        <v>398839</v>
      </c>
      <c r="K125" s="171">
        <f t="shared" si="13"/>
        <v>97.39729472987591</v>
      </c>
      <c r="L125" s="254">
        <f>SUM(L126)</f>
        <v>30310</v>
      </c>
    </row>
    <row r="126" spans="1:12" ht="12.75">
      <c r="A126" s="252" t="s">
        <v>432</v>
      </c>
      <c r="B126" s="115">
        <v>409497397</v>
      </c>
      <c r="C126" s="214">
        <v>409497397</v>
      </c>
      <c r="D126" s="272">
        <v>398839476</v>
      </c>
      <c r="E126" s="256">
        <f t="shared" si="10"/>
        <v>0.973973165450915</v>
      </c>
      <c r="F126" s="257">
        <f>D126-'[7]Novembris'!D126</f>
        <v>30310251</v>
      </c>
      <c r="G126" s="268" t="s">
        <v>432</v>
      </c>
      <c r="H126" s="271">
        <f>ROUND(B126/1000,0)</f>
        <v>409497</v>
      </c>
      <c r="I126" s="271">
        <f>ROUND(C126/1000,0)</f>
        <v>409497</v>
      </c>
      <c r="J126" s="271">
        <f t="shared" si="19"/>
        <v>398839</v>
      </c>
      <c r="K126" s="171">
        <f t="shared" si="13"/>
        <v>97.39729472987591</v>
      </c>
      <c r="L126" s="258">
        <f>J126-'[7]Novembris'!J126</f>
        <v>30310</v>
      </c>
    </row>
    <row r="127" spans="1:12" ht="12.75">
      <c r="A127" s="252" t="s">
        <v>385</v>
      </c>
      <c r="B127" s="115">
        <f>SUM(B121-B125)</f>
        <v>-28933068</v>
      </c>
      <c r="C127" s="214">
        <f>SUM(C121-C125)</f>
        <v>-28933068</v>
      </c>
      <c r="D127" s="115">
        <f>SUM(D121-D125)</f>
        <v>-27458887</v>
      </c>
      <c r="E127" s="256"/>
      <c r="F127" s="257">
        <f>D127-'[7]Novembris'!D127</f>
        <v>2906473</v>
      </c>
      <c r="G127" s="252" t="s">
        <v>385</v>
      </c>
      <c r="H127" s="254">
        <f>SUM(H121-H125)</f>
        <v>-28933</v>
      </c>
      <c r="I127" s="254">
        <f>SUM(I121-I125)</f>
        <v>-28933</v>
      </c>
      <c r="J127" s="254">
        <f>SUM(J121-J125)</f>
        <v>-27458</v>
      </c>
      <c r="K127" s="171"/>
      <c r="L127" s="258">
        <f>J127-'[7]Novembris'!J127</f>
        <v>2907</v>
      </c>
    </row>
    <row r="128" spans="1:12" ht="12.75">
      <c r="A128" s="252" t="s">
        <v>407</v>
      </c>
      <c r="B128" s="115">
        <v>28933068</v>
      </c>
      <c r="C128" s="214">
        <v>28933068</v>
      </c>
      <c r="D128" s="115">
        <v>27458900</v>
      </c>
      <c r="E128" s="256"/>
      <c r="F128" s="257">
        <f>D128-'[7]Novembris'!D128</f>
        <v>-2920130</v>
      </c>
      <c r="G128" s="252" t="s">
        <v>407</v>
      </c>
      <c r="H128" s="258">
        <f>ROUND(B128/1000,0)</f>
        <v>28933</v>
      </c>
      <c r="I128" s="258">
        <f>ROUND(C128/1000,0)</f>
        <v>28933</v>
      </c>
      <c r="J128" s="258">
        <f>ROUND(D128/1000,0)-1</f>
        <v>27458</v>
      </c>
      <c r="K128" s="171"/>
      <c r="L128" s="258">
        <f>J128-'[7]Novembris'!J128</f>
        <v>-2921</v>
      </c>
    </row>
    <row r="129" spans="1:12" ht="12.75">
      <c r="A129" s="92" t="s">
        <v>433</v>
      </c>
      <c r="B129" s="115"/>
      <c r="C129" s="214"/>
      <c r="D129" s="115"/>
      <c r="E129" s="256" t="str">
        <f t="shared" si="10"/>
        <v> </v>
      </c>
      <c r="F129" s="257"/>
      <c r="G129" s="92" t="s">
        <v>433</v>
      </c>
      <c r="H129" s="254"/>
      <c r="I129" s="254"/>
      <c r="J129" s="254"/>
      <c r="K129" s="171"/>
      <c r="L129" s="254"/>
    </row>
    <row r="130" spans="1:12" ht="12.75">
      <c r="A130" s="252" t="s">
        <v>389</v>
      </c>
      <c r="B130" s="115">
        <f>SUM(B131:B133)</f>
        <v>35218522</v>
      </c>
      <c r="C130" s="214">
        <v>35218522</v>
      </c>
      <c r="D130" s="115">
        <f>SUM(D131:D133)</f>
        <v>34370098</v>
      </c>
      <c r="E130" s="256">
        <f t="shared" si="10"/>
        <v>0.9759097215947904</v>
      </c>
      <c r="F130" s="257">
        <f>D130-'[7]Novembris'!D130</f>
        <v>1694521</v>
      </c>
      <c r="G130" s="252" t="s">
        <v>389</v>
      </c>
      <c r="H130" s="254">
        <f>SUM(H131:H133)</f>
        <v>35218</v>
      </c>
      <c r="I130" s="271">
        <f>ROUND(C130/1000,0)-1</f>
        <v>35218</v>
      </c>
      <c r="J130" s="254">
        <f>SUM(J131:J133)</f>
        <v>34370</v>
      </c>
      <c r="K130" s="171">
        <f t="shared" si="13"/>
        <v>97.59214038275881</v>
      </c>
      <c r="L130" s="258">
        <f>SUM(L131:L133)</f>
        <v>1694</v>
      </c>
    </row>
    <row r="131" spans="1:12" ht="12.75">
      <c r="A131" s="268" t="s">
        <v>426</v>
      </c>
      <c r="B131" s="269">
        <v>32418949</v>
      </c>
      <c r="C131" s="270"/>
      <c r="D131" s="269">
        <v>31705698</v>
      </c>
      <c r="E131" s="256">
        <f t="shared" si="10"/>
        <v>0.977998947467421</v>
      </c>
      <c r="F131" s="257">
        <f>D131-'[7]Novembris'!D131</f>
        <v>2964544</v>
      </c>
      <c r="G131" s="268" t="s">
        <v>426</v>
      </c>
      <c r="H131" s="271">
        <f aca="true" t="shared" si="20" ref="H131:I133">ROUND(B131/1000,0)</f>
        <v>32419</v>
      </c>
      <c r="I131" s="271">
        <f t="shared" si="20"/>
        <v>0</v>
      </c>
      <c r="J131" s="271">
        <f>ROUND(D131/1000,0)-1</f>
        <v>31705</v>
      </c>
      <c r="K131" s="171">
        <f t="shared" si="13"/>
        <v>97.7975878342947</v>
      </c>
      <c r="L131" s="258">
        <f>J131-'[7]Novembris'!J131</f>
        <v>2964</v>
      </c>
    </row>
    <row r="132" spans="1:12" ht="12.75">
      <c r="A132" s="268" t="s">
        <v>427</v>
      </c>
      <c r="B132" s="269">
        <v>439209</v>
      </c>
      <c r="C132" s="270"/>
      <c r="D132" s="269">
        <v>422700</v>
      </c>
      <c r="E132" s="256">
        <f t="shared" si="10"/>
        <v>0.962411972432259</v>
      </c>
      <c r="F132" s="257">
        <f>D132-'[7]Novembris'!D132</f>
        <v>10143</v>
      </c>
      <c r="G132" s="268" t="s">
        <v>427</v>
      </c>
      <c r="H132" s="271">
        <f t="shared" si="20"/>
        <v>439</v>
      </c>
      <c r="I132" s="271">
        <f t="shared" si="20"/>
        <v>0</v>
      </c>
      <c r="J132" s="271">
        <f>ROUND(D132/1000,0)</f>
        <v>423</v>
      </c>
      <c r="K132" s="171">
        <f t="shared" si="13"/>
        <v>96.35535307517085</v>
      </c>
      <c r="L132" s="258">
        <f>J132-'[7]Novembris'!J132</f>
        <v>10</v>
      </c>
    </row>
    <row r="133" spans="1:12" ht="12.75">
      <c r="A133" s="268" t="s">
        <v>428</v>
      </c>
      <c r="B133" s="269">
        <f>2799573-439209</f>
        <v>2360364</v>
      </c>
      <c r="C133" s="270"/>
      <c r="D133" s="269">
        <f>2664400-D132</f>
        <v>2241700</v>
      </c>
      <c r="E133" s="256">
        <f t="shared" si="10"/>
        <v>0.9497263981318136</v>
      </c>
      <c r="F133" s="257">
        <f>D133-'[7]Novembris'!D133</f>
        <v>-1280166</v>
      </c>
      <c r="G133" s="268" t="s">
        <v>428</v>
      </c>
      <c r="H133" s="271">
        <f t="shared" si="20"/>
        <v>2360</v>
      </c>
      <c r="I133" s="271">
        <f t="shared" si="20"/>
        <v>0</v>
      </c>
      <c r="J133" s="271">
        <f>ROUND(D133/1000,0)</f>
        <v>2242</v>
      </c>
      <c r="K133" s="171">
        <f t="shared" si="13"/>
        <v>95</v>
      </c>
      <c r="L133" s="258">
        <f>J133-'[7]Novembris'!J133</f>
        <v>-1280</v>
      </c>
    </row>
    <row r="134" spans="1:12" ht="12.75">
      <c r="A134" s="252" t="s">
        <v>391</v>
      </c>
      <c r="B134" s="269">
        <f>SUM(B135:B135)</f>
        <v>33566555</v>
      </c>
      <c r="C134" s="214">
        <f>SUM(C135)</f>
        <v>33566555</v>
      </c>
      <c r="D134" s="269">
        <f>SUM(D135:D135)</f>
        <v>31824508</v>
      </c>
      <c r="E134" s="256">
        <f t="shared" si="10"/>
        <v>0.9481017042112305</v>
      </c>
      <c r="F134" s="257">
        <f>D134-'[7]Novembris'!D134</f>
        <v>2213290</v>
      </c>
      <c r="G134" s="252" t="s">
        <v>391</v>
      </c>
      <c r="H134" s="254">
        <f>SUM(H135:H135)</f>
        <v>33567</v>
      </c>
      <c r="I134" s="254">
        <f>SUM(I135:I135)</f>
        <v>33567</v>
      </c>
      <c r="J134" s="254">
        <f>SUM(J135:J135)</f>
        <v>31825</v>
      </c>
      <c r="K134" s="171">
        <f t="shared" si="13"/>
        <v>94.81037924151696</v>
      </c>
      <c r="L134" s="254">
        <f>SUM(L135:L135)</f>
        <v>2214</v>
      </c>
    </row>
    <row r="135" spans="1:13" ht="12.75">
      <c r="A135" s="268" t="s">
        <v>432</v>
      </c>
      <c r="B135" s="269">
        <v>33566555</v>
      </c>
      <c r="C135" s="214">
        <v>33566555</v>
      </c>
      <c r="D135" s="269">
        <v>31824508</v>
      </c>
      <c r="E135" s="273">
        <f t="shared" si="10"/>
        <v>0.9481017042112305</v>
      </c>
      <c r="F135" s="257">
        <f>D135-'[7]Novembris'!D135</f>
        <v>2213290</v>
      </c>
      <c r="G135" s="268" t="s">
        <v>432</v>
      </c>
      <c r="H135" s="271">
        <f>ROUND(B135/1000,0)</f>
        <v>33567</v>
      </c>
      <c r="I135" s="271">
        <f>ROUND(C135/1000,0)</f>
        <v>33567</v>
      </c>
      <c r="J135" s="271">
        <f>ROUND(D135/1000,0)</f>
        <v>31825</v>
      </c>
      <c r="K135" s="171">
        <f t="shared" si="13"/>
        <v>94.81037924151696</v>
      </c>
      <c r="L135" s="258">
        <f>J135-'[7]Novembris'!J135</f>
        <v>2214</v>
      </c>
      <c r="M135" s="274"/>
    </row>
    <row r="136" spans="1:12" ht="12.75">
      <c r="A136" s="252" t="s">
        <v>385</v>
      </c>
      <c r="B136" s="115">
        <f>SUM(B130-B134)</f>
        <v>1651967</v>
      </c>
      <c r="C136" s="214">
        <f>SUM(C130-C134)</f>
        <v>1651967</v>
      </c>
      <c r="D136" s="115">
        <f>SUM(D130-D134)</f>
        <v>2545590</v>
      </c>
      <c r="E136" s="273"/>
      <c r="F136" s="257">
        <f>D136-'[7]Novembris'!D136</f>
        <v>-518769</v>
      </c>
      <c r="G136" s="252" t="s">
        <v>385</v>
      </c>
      <c r="H136" s="254">
        <f>SUM(H130-H134)</f>
        <v>1651</v>
      </c>
      <c r="I136" s="254">
        <f>SUM(I130-I134)</f>
        <v>1651</v>
      </c>
      <c r="J136" s="254">
        <f>SUM(J130-J134)</f>
        <v>2545</v>
      </c>
      <c r="K136" s="171"/>
      <c r="L136" s="258">
        <f>J136-'[7]Novembris'!J136</f>
        <v>-520</v>
      </c>
    </row>
    <row r="137" spans="1:12" ht="12.75">
      <c r="A137" s="92" t="s">
        <v>434</v>
      </c>
      <c r="B137" s="115"/>
      <c r="C137" s="214"/>
      <c r="D137" s="115"/>
      <c r="E137" s="256" t="str">
        <f t="shared" si="10"/>
        <v> </v>
      </c>
      <c r="F137" s="257"/>
      <c r="G137" s="92" t="s">
        <v>434</v>
      </c>
      <c r="H137" s="254"/>
      <c r="I137" s="254"/>
      <c r="J137" s="254"/>
      <c r="K137" s="171"/>
      <c r="L137" s="254"/>
    </row>
    <row r="138" spans="1:12" ht="12.75">
      <c r="A138" s="252" t="s">
        <v>389</v>
      </c>
      <c r="B138" s="115">
        <f>SUM(B139:B141)</f>
        <v>1065498</v>
      </c>
      <c r="C138" s="214">
        <v>1065498</v>
      </c>
      <c r="D138" s="115">
        <f>SUM(D139:D141)</f>
        <v>1102391</v>
      </c>
      <c r="E138" s="256">
        <f t="shared" si="10"/>
        <v>1.0346251236511002</v>
      </c>
      <c r="F138" s="257">
        <f>SUM(F139:F141)</f>
        <v>157783</v>
      </c>
      <c r="G138" s="252" t="s">
        <v>389</v>
      </c>
      <c r="H138" s="254">
        <f>SUM(H139:H141)</f>
        <v>1066</v>
      </c>
      <c r="I138" s="271">
        <f>ROUND(C138/1000,0)+1</f>
        <v>1066</v>
      </c>
      <c r="J138" s="254">
        <f>SUM(J139:J141)</f>
        <v>1102</v>
      </c>
      <c r="K138" s="171">
        <f t="shared" si="13"/>
        <v>103.37711069418387</v>
      </c>
      <c r="L138" s="254">
        <f>SUM(L139:L141)</f>
        <v>157</v>
      </c>
    </row>
    <row r="139" spans="1:12" ht="12" customHeight="1">
      <c r="A139" s="268" t="s">
        <v>426</v>
      </c>
      <c r="B139" s="269">
        <v>1048848</v>
      </c>
      <c r="C139" s="214"/>
      <c r="D139" s="269">
        <v>1025773</v>
      </c>
      <c r="E139" s="256">
        <f t="shared" si="10"/>
        <v>0.9779996720211127</v>
      </c>
      <c r="F139" s="257">
        <f>D139-'[7]Novembris'!D139</f>
        <v>95912</v>
      </c>
      <c r="G139" s="268" t="s">
        <v>426</v>
      </c>
      <c r="H139" s="271">
        <f>ROUND(B139/1000,0)</f>
        <v>1049</v>
      </c>
      <c r="I139" s="271">
        <f>ROUND(C139/1000,0)</f>
        <v>0</v>
      </c>
      <c r="J139" s="271">
        <f>ROUND(D139/1000,0)</f>
        <v>1026</v>
      </c>
      <c r="K139" s="171">
        <f t="shared" si="13"/>
        <v>97.80743565300286</v>
      </c>
      <c r="L139" s="258">
        <f>J139-'[7]Novembris'!J139</f>
        <v>96</v>
      </c>
    </row>
    <row r="140" spans="1:12" ht="12.75" hidden="1">
      <c r="A140" s="268"/>
      <c r="B140" s="269"/>
      <c r="C140" s="214"/>
      <c r="D140" s="269"/>
      <c r="E140" s="256" t="str">
        <f aca="true" t="shared" si="21" ref="E140:E195">IF(ISERROR(D140/B140)," ",(D140/B140))</f>
        <v> </v>
      </c>
      <c r="F140" s="257">
        <f>D140-'[7]Novembris'!D140</f>
        <v>0</v>
      </c>
      <c r="G140" s="268"/>
      <c r="H140" s="275"/>
      <c r="I140" s="275"/>
      <c r="J140" s="275"/>
      <c r="K140" s="171" t="e">
        <f t="shared" si="13"/>
        <v>#VALUE!</v>
      </c>
      <c r="L140" s="258">
        <f>J140-'[7]Novembris'!J140</f>
        <v>0</v>
      </c>
    </row>
    <row r="141" spans="1:12" ht="12.75">
      <c r="A141" s="268" t="s">
        <v>428</v>
      </c>
      <c r="B141" s="269">
        <v>16650</v>
      </c>
      <c r="C141" s="214"/>
      <c r="D141" s="269">
        <v>76618</v>
      </c>
      <c r="E141" s="256">
        <f t="shared" si="21"/>
        <v>4.601681681681682</v>
      </c>
      <c r="F141" s="257">
        <f>D141-'[7]Novembris'!D141</f>
        <v>61871</v>
      </c>
      <c r="G141" s="268" t="s">
        <v>428</v>
      </c>
      <c r="H141" s="271">
        <f>ROUND(B141/1000,0)</f>
        <v>17</v>
      </c>
      <c r="I141" s="271">
        <f>ROUND(C141/1000,0)</f>
        <v>0</v>
      </c>
      <c r="J141" s="271">
        <f>ROUND(D141/1000,0)-1</f>
        <v>76</v>
      </c>
      <c r="K141" s="171">
        <f t="shared" si="13"/>
        <v>447.05882352941177</v>
      </c>
      <c r="L141" s="258">
        <f>J141-'[7]Novembris'!J141</f>
        <v>61</v>
      </c>
    </row>
    <row r="142" spans="1:12" ht="12.75">
      <c r="A142" s="252" t="s">
        <v>391</v>
      </c>
      <c r="B142" s="269">
        <f>SUM(B143:B144)</f>
        <v>1192471</v>
      </c>
      <c r="C142" s="214">
        <f>SUM(C143)</f>
        <v>1192471</v>
      </c>
      <c r="D142" s="269">
        <f>SUM(D143:D144)</f>
        <v>821292</v>
      </c>
      <c r="E142" s="256">
        <f t="shared" si="21"/>
        <v>0.6887312144278561</v>
      </c>
      <c r="F142" s="257">
        <f>D142-'[7]Novembris'!D142</f>
        <v>103637</v>
      </c>
      <c r="G142" s="252" t="s">
        <v>391</v>
      </c>
      <c r="H142" s="254">
        <f>SUM(H143:H144)</f>
        <v>1192</v>
      </c>
      <c r="I142" s="254">
        <f>SUM(I143:I144)</f>
        <v>1192</v>
      </c>
      <c r="J142" s="254">
        <f>SUM(J143:J144)</f>
        <v>821</v>
      </c>
      <c r="K142" s="171">
        <f t="shared" si="13"/>
        <v>68.8758389261745</v>
      </c>
      <c r="L142" s="254">
        <f>SUM(L143:L144)</f>
        <v>103</v>
      </c>
    </row>
    <row r="143" spans="1:12" ht="12" customHeight="1">
      <c r="A143" s="252" t="s">
        <v>432</v>
      </c>
      <c r="B143" s="115">
        <v>1192471</v>
      </c>
      <c r="C143" s="214">
        <v>1192471</v>
      </c>
      <c r="D143" s="115">
        <v>821292</v>
      </c>
      <c r="E143" s="256">
        <f t="shared" si="21"/>
        <v>0.6887312144278561</v>
      </c>
      <c r="F143" s="257">
        <f>D143-'[7]Novembris'!D143</f>
        <v>103637</v>
      </c>
      <c r="G143" s="268" t="s">
        <v>432</v>
      </c>
      <c r="H143" s="271">
        <f>ROUND(B143/1000,0)</f>
        <v>1192</v>
      </c>
      <c r="I143" s="271">
        <f>ROUND(C143/1000,0)</f>
        <v>1192</v>
      </c>
      <c r="J143" s="271">
        <f>ROUND(D143/1000,0)</f>
        <v>821</v>
      </c>
      <c r="K143" s="171">
        <f t="shared" si="13"/>
        <v>68.8758389261745</v>
      </c>
      <c r="L143" s="258">
        <f>J143-'[7]Novembris'!J143</f>
        <v>103</v>
      </c>
    </row>
    <row r="144" spans="1:12" ht="12.75" hidden="1">
      <c r="A144" s="252"/>
      <c r="B144" s="115"/>
      <c r="C144" s="214"/>
      <c r="D144" s="115"/>
      <c r="E144" s="256" t="str">
        <f t="shared" si="21"/>
        <v> </v>
      </c>
      <c r="F144" s="257">
        <f>D144-'[7]Novembris'!D144</f>
        <v>0</v>
      </c>
      <c r="G144" s="252"/>
      <c r="H144" s="254"/>
      <c r="I144" s="254"/>
      <c r="J144" s="254"/>
      <c r="K144" s="171" t="e">
        <f t="shared" si="13"/>
        <v>#VALUE!</v>
      </c>
      <c r="L144" s="258">
        <f>J144-'[7]Novembris'!J144</f>
        <v>0</v>
      </c>
    </row>
    <row r="145" spans="1:12" ht="12.75">
      <c r="A145" s="252" t="s">
        <v>385</v>
      </c>
      <c r="B145" s="115">
        <f>SUM(B138-B142)</f>
        <v>-126973</v>
      </c>
      <c r="C145" s="214">
        <f>SUM(C138-C142)</f>
        <v>-126973</v>
      </c>
      <c r="D145" s="115">
        <f>SUM(D138-D142)</f>
        <v>281099</v>
      </c>
      <c r="E145" s="256"/>
      <c r="F145" s="257">
        <f>D145-'[7]Novembris'!D145</f>
        <v>54146</v>
      </c>
      <c r="G145" s="252" t="s">
        <v>385</v>
      </c>
      <c r="H145" s="254">
        <f>SUM(H138-H142)</f>
        <v>-126</v>
      </c>
      <c r="I145" s="254">
        <f>SUM(I138-I142)</f>
        <v>-126</v>
      </c>
      <c r="J145" s="254">
        <f>SUM(J138-J142)</f>
        <v>281</v>
      </c>
      <c r="K145" s="171"/>
      <c r="L145" s="258">
        <f>J145-'[7]Novembris'!J145</f>
        <v>54</v>
      </c>
    </row>
    <row r="146" spans="1:12" ht="12.75">
      <c r="A146" s="252" t="s">
        <v>407</v>
      </c>
      <c r="B146" s="115"/>
      <c r="C146" s="214"/>
      <c r="D146" s="115"/>
      <c r="E146" s="256"/>
      <c r="F146" s="257">
        <f>D146-'[7]Novembris'!D146</f>
        <v>0</v>
      </c>
      <c r="G146" s="252" t="s">
        <v>407</v>
      </c>
      <c r="H146" s="258">
        <f>ROUND(B146/1000,0)</f>
        <v>0</v>
      </c>
      <c r="I146" s="258">
        <f>ROUND(C146/1000,0)</f>
        <v>0</v>
      </c>
      <c r="J146" s="258">
        <f>ROUND(D146/1000,0)</f>
        <v>0</v>
      </c>
      <c r="K146" s="171"/>
      <c r="L146" s="258">
        <f>J146-'[7]Novembris'!J146</f>
        <v>0</v>
      </c>
    </row>
    <row r="147" spans="1:12" ht="25.5">
      <c r="A147" s="93" t="s">
        <v>435</v>
      </c>
      <c r="B147" s="115"/>
      <c r="C147" s="214"/>
      <c r="D147" s="115"/>
      <c r="E147" s="256" t="str">
        <f t="shared" si="21"/>
        <v> </v>
      </c>
      <c r="F147" s="257"/>
      <c r="G147" s="93" t="s">
        <v>435</v>
      </c>
      <c r="H147" s="254"/>
      <c r="I147" s="254"/>
      <c r="J147" s="254"/>
      <c r="K147" s="171"/>
      <c r="L147" s="254"/>
    </row>
    <row r="148" spans="1:12" ht="12.75">
      <c r="A148" s="252" t="s">
        <v>389</v>
      </c>
      <c r="B148" s="115">
        <f>SUM(B149:B151)</f>
        <v>85679116</v>
      </c>
      <c r="C148" s="214">
        <v>85679116</v>
      </c>
      <c r="D148" s="115">
        <f>SUM(D149:D151)</f>
        <v>83825416</v>
      </c>
      <c r="E148" s="256">
        <f t="shared" si="21"/>
        <v>0.9783646227162288</v>
      </c>
      <c r="F148" s="257">
        <f>SUM(F149:F151)</f>
        <v>7808779</v>
      </c>
      <c r="G148" s="252" t="s">
        <v>389</v>
      </c>
      <c r="H148" s="254">
        <f>SUM(H149:H151)</f>
        <v>85679</v>
      </c>
      <c r="I148" s="258">
        <f>ROUND(C148/1000,0)</f>
        <v>85679</v>
      </c>
      <c r="J148" s="254">
        <f>SUM(J149:J151)</f>
        <v>83826</v>
      </c>
      <c r="K148" s="171">
        <f t="shared" si="13"/>
        <v>97.83727634542888</v>
      </c>
      <c r="L148" s="254">
        <f>SUM(L149:L151)</f>
        <v>7809</v>
      </c>
    </row>
    <row r="149" spans="1:12" ht="12" customHeight="1">
      <c r="A149" s="268" t="s">
        <v>426</v>
      </c>
      <c r="B149" s="269">
        <v>85195091</v>
      </c>
      <c r="C149" s="214"/>
      <c r="D149" s="269">
        <v>83320709</v>
      </c>
      <c r="E149" s="256">
        <f t="shared" si="21"/>
        <v>0.9779989436245804</v>
      </c>
      <c r="F149" s="257">
        <f>D149-'[7]Novembris'!D149</f>
        <v>7790647</v>
      </c>
      <c r="G149" s="268" t="s">
        <v>426</v>
      </c>
      <c r="H149" s="271">
        <f>ROUND(B149/1000,0)</f>
        <v>85195</v>
      </c>
      <c r="I149" s="271">
        <f>ROUND(C149/1000,0)</f>
        <v>0</v>
      </c>
      <c r="J149" s="271">
        <f>ROUND(D149/1000,0)</f>
        <v>83321</v>
      </c>
      <c r="K149" s="171">
        <f t="shared" si="13"/>
        <v>97.80034039556313</v>
      </c>
      <c r="L149" s="258">
        <f>J149-'[7]Novembris'!J149</f>
        <v>7791</v>
      </c>
    </row>
    <row r="150" spans="1:12" ht="12.75" hidden="1">
      <c r="A150" s="268"/>
      <c r="B150" s="269"/>
      <c r="C150" s="214"/>
      <c r="D150" s="269"/>
      <c r="E150" s="256" t="str">
        <f t="shared" si="21"/>
        <v> </v>
      </c>
      <c r="F150" s="257">
        <f>D150-'[7]Novembris'!D150</f>
        <v>0</v>
      </c>
      <c r="G150" s="268"/>
      <c r="H150" s="275"/>
      <c r="I150" s="275"/>
      <c r="J150" s="275"/>
      <c r="K150" s="171" t="e">
        <f aca="true" t="shared" si="22" ref="K150:K195">IF(ISERROR(ROUND(J150,0)/ROUND(H150,0))," ",(ROUND(J150,)/ROUND(H150,)))*100</f>
        <v>#VALUE!</v>
      </c>
      <c r="L150" s="275"/>
    </row>
    <row r="151" spans="1:12" ht="12.75">
      <c r="A151" s="268" t="s">
        <v>428</v>
      </c>
      <c r="B151" s="269">
        <v>484025</v>
      </c>
      <c r="C151" s="214"/>
      <c r="D151" s="269">
        <v>504707</v>
      </c>
      <c r="E151" s="256">
        <f t="shared" si="21"/>
        <v>1.0427291978720108</v>
      </c>
      <c r="F151" s="257">
        <f>D151-'[7]Novembris'!D151</f>
        <v>18132</v>
      </c>
      <c r="G151" s="268" t="s">
        <v>428</v>
      </c>
      <c r="H151" s="271">
        <f>ROUND(B151/1000,0)</f>
        <v>484</v>
      </c>
      <c r="I151" s="271">
        <f>ROUND(C151/1000,0)</f>
        <v>0</v>
      </c>
      <c r="J151" s="271">
        <f>ROUND(D151/1000,0)</f>
        <v>505</v>
      </c>
      <c r="K151" s="171">
        <f t="shared" si="22"/>
        <v>104.33884297520662</v>
      </c>
      <c r="L151" s="258">
        <f>J151-'[7]Novembris'!J151</f>
        <v>18</v>
      </c>
    </row>
    <row r="152" spans="1:12" ht="12.75">
      <c r="A152" s="252" t="s">
        <v>391</v>
      </c>
      <c r="B152" s="269">
        <f>B153</f>
        <v>89994616</v>
      </c>
      <c r="C152" s="214">
        <f>SUM(C153)</f>
        <v>89994616</v>
      </c>
      <c r="D152" s="269">
        <f>D153</f>
        <v>86989133</v>
      </c>
      <c r="E152" s="256">
        <f t="shared" si="21"/>
        <v>0.9666037466063525</v>
      </c>
      <c r="F152" s="257">
        <f>D152-'[7]Novembris'!D152</f>
        <v>4227887</v>
      </c>
      <c r="G152" s="252" t="s">
        <v>391</v>
      </c>
      <c r="H152" s="254">
        <f>H153</f>
        <v>89995</v>
      </c>
      <c r="I152" s="254">
        <f>I153</f>
        <v>89995</v>
      </c>
      <c r="J152" s="254">
        <f>J153</f>
        <v>86989</v>
      </c>
      <c r="K152" s="171">
        <f t="shared" si="22"/>
        <v>96.65981443413523</v>
      </c>
      <c r="L152" s="254">
        <f>L153</f>
        <v>4228</v>
      </c>
    </row>
    <row r="153" spans="1:12" ht="12.75">
      <c r="A153" s="252" t="s">
        <v>432</v>
      </c>
      <c r="B153" s="115">
        <v>89994616</v>
      </c>
      <c r="C153" s="214">
        <v>89994616</v>
      </c>
      <c r="D153" s="115">
        <v>86989133</v>
      </c>
      <c r="E153" s="256">
        <f t="shared" si="21"/>
        <v>0.9666037466063525</v>
      </c>
      <c r="F153" s="257">
        <f>D153-'[7]Novembris'!D153</f>
        <v>4227887</v>
      </c>
      <c r="G153" s="268" t="s">
        <v>432</v>
      </c>
      <c r="H153" s="271">
        <f>ROUND(B153/1000,0)</f>
        <v>89995</v>
      </c>
      <c r="I153" s="271">
        <f>ROUND(C153/1000,0)</f>
        <v>89995</v>
      </c>
      <c r="J153" s="271">
        <f>ROUND(D153/1000,0)</f>
        <v>86989</v>
      </c>
      <c r="K153" s="171">
        <f t="shared" si="22"/>
        <v>96.65981443413523</v>
      </c>
      <c r="L153" s="258">
        <f>J153-'[7]Novembris'!J153</f>
        <v>4228</v>
      </c>
    </row>
    <row r="154" spans="1:12" ht="12.75">
      <c r="A154" s="252" t="s">
        <v>385</v>
      </c>
      <c r="B154" s="115">
        <f>SUM(B148-B152)</f>
        <v>-4315500</v>
      </c>
      <c r="C154" s="214">
        <f>SUM(C148-C152)</f>
        <v>-4315500</v>
      </c>
      <c r="D154" s="115">
        <f>SUM(D148-D152)</f>
        <v>-3163717</v>
      </c>
      <c r="E154" s="256">
        <f t="shared" si="21"/>
        <v>0.7331055497624841</v>
      </c>
      <c r="F154" s="257">
        <f>D154-'[7]Novembris'!D154</f>
        <v>3580892</v>
      </c>
      <c r="G154" s="252" t="s">
        <v>385</v>
      </c>
      <c r="H154" s="254">
        <f>SUM(H148-H152)</f>
        <v>-4316</v>
      </c>
      <c r="I154" s="254">
        <f>SUM(I148-I152)</f>
        <v>-4316</v>
      </c>
      <c r="J154" s="254">
        <f>SUM(J148-J152)</f>
        <v>-3163</v>
      </c>
      <c r="K154" s="171">
        <f t="shared" si="22"/>
        <v>73.28544949026877</v>
      </c>
      <c r="L154" s="258">
        <f>J154-'[7]Novembris'!J154</f>
        <v>3581</v>
      </c>
    </row>
    <row r="155" spans="1:12" ht="12.75">
      <c r="A155" s="252" t="s">
        <v>407</v>
      </c>
      <c r="B155" s="115">
        <v>4315500</v>
      </c>
      <c r="C155" s="214">
        <v>4315000</v>
      </c>
      <c r="D155" s="115">
        <v>3163722</v>
      </c>
      <c r="E155" s="256">
        <f t="shared" si="21"/>
        <v>0.7331067083767814</v>
      </c>
      <c r="F155" s="257">
        <f>D155-'[7]Novembris'!D155</f>
        <v>-3581020</v>
      </c>
      <c r="G155" s="252" t="s">
        <v>407</v>
      </c>
      <c r="H155" s="258">
        <f>ROUND(B155/1000,0)-1</f>
        <v>4315</v>
      </c>
      <c r="I155" s="258">
        <f>ROUND(C155/1000,0)</f>
        <v>4315</v>
      </c>
      <c r="J155" s="258">
        <f>ROUND(D155/1000,0)-1</f>
        <v>3163</v>
      </c>
      <c r="K155" s="171">
        <f t="shared" si="22"/>
        <v>73.30243337195829</v>
      </c>
      <c r="L155" s="258">
        <f>J155-'[7]Novembris'!J155</f>
        <v>-3582</v>
      </c>
    </row>
    <row r="156" spans="1:12" ht="12.75">
      <c r="A156" s="92" t="s">
        <v>436</v>
      </c>
      <c r="B156" s="115"/>
      <c r="C156" s="214"/>
      <c r="D156" s="115"/>
      <c r="E156" s="256" t="str">
        <f t="shared" si="21"/>
        <v> </v>
      </c>
      <c r="F156" s="257"/>
      <c r="G156" s="92" t="s">
        <v>436</v>
      </c>
      <c r="H156" s="254"/>
      <c r="I156" s="254"/>
      <c r="J156" s="254"/>
      <c r="K156" s="171"/>
      <c r="L156" s="254"/>
    </row>
    <row r="157" spans="1:12" ht="12.75">
      <c r="A157" s="252" t="s">
        <v>389</v>
      </c>
      <c r="B157" s="115">
        <f>SUM(B158:B159)</f>
        <v>9975184</v>
      </c>
      <c r="C157" s="214">
        <v>9975184</v>
      </c>
      <c r="D157" s="115">
        <f>SUM(D158:D159)</f>
        <v>9975184</v>
      </c>
      <c r="E157" s="256">
        <f t="shared" si="21"/>
        <v>1</v>
      </c>
      <c r="F157" s="257">
        <f>SUM(F158:F159)</f>
        <v>594832</v>
      </c>
      <c r="G157" s="252" t="s">
        <v>389</v>
      </c>
      <c r="H157" s="254">
        <f>SUM(H158:H159)</f>
        <v>9975</v>
      </c>
      <c r="I157" s="258">
        <f aca="true" t="shared" si="23" ref="H157:J159">ROUND(C157/1000,0)</f>
        <v>9975</v>
      </c>
      <c r="J157" s="254">
        <f>SUM(J158:J159)</f>
        <v>9975</v>
      </c>
      <c r="K157" s="171">
        <f t="shared" si="22"/>
        <v>100</v>
      </c>
      <c r="L157" s="258">
        <f>SUM(L158:L159)</f>
        <v>595</v>
      </c>
    </row>
    <row r="158" spans="1:12" ht="12.75">
      <c r="A158" s="268" t="s">
        <v>427</v>
      </c>
      <c r="B158" s="269">
        <f>280000+1890000</f>
        <v>2170000</v>
      </c>
      <c r="C158" s="270"/>
      <c r="D158" s="269">
        <v>2170000</v>
      </c>
      <c r="E158" s="256">
        <f t="shared" si="21"/>
        <v>1</v>
      </c>
      <c r="F158" s="257">
        <f>D158-'[7]Novembris'!D158</f>
        <v>183519</v>
      </c>
      <c r="G158" s="268" t="s">
        <v>427</v>
      </c>
      <c r="H158" s="271">
        <f t="shared" si="23"/>
        <v>2170</v>
      </c>
      <c r="I158" s="271">
        <f t="shared" si="23"/>
        <v>0</v>
      </c>
      <c r="J158" s="271">
        <f>ROUND(D158/1000,0)</f>
        <v>2170</v>
      </c>
      <c r="K158" s="171">
        <f t="shared" si="22"/>
        <v>100</v>
      </c>
      <c r="L158" s="258">
        <f>J158-'[7]Novembris'!J158</f>
        <v>184</v>
      </c>
    </row>
    <row r="159" spans="1:12" ht="12.75">
      <c r="A159" s="268" t="s">
        <v>428</v>
      </c>
      <c r="B159" s="269">
        <f>9975184-2170000</f>
        <v>7805184</v>
      </c>
      <c r="C159" s="270"/>
      <c r="D159" s="269">
        <f>9975184-D158</f>
        <v>7805184</v>
      </c>
      <c r="E159" s="256">
        <f t="shared" si="21"/>
        <v>1</v>
      </c>
      <c r="F159" s="257">
        <f>D159-'[7]Novembris'!D159</f>
        <v>411313</v>
      </c>
      <c r="G159" s="268" t="s">
        <v>428</v>
      </c>
      <c r="H159" s="271">
        <f t="shared" si="23"/>
        <v>7805</v>
      </c>
      <c r="I159" s="271">
        <f t="shared" si="23"/>
        <v>0</v>
      </c>
      <c r="J159" s="271">
        <f t="shared" si="23"/>
        <v>7805</v>
      </c>
      <c r="K159" s="171">
        <f t="shared" si="22"/>
        <v>100</v>
      </c>
      <c r="L159" s="258">
        <f>J159-'[7]Novembris'!J159</f>
        <v>411</v>
      </c>
    </row>
    <row r="160" spans="1:12" ht="12.75">
      <c r="A160" s="252" t="s">
        <v>391</v>
      </c>
      <c r="B160" s="115">
        <f>SUM(B161:B162)</f>
        <v>11958992</v>
      </c>
      <c r="C160" s="214">
        <f>SUM(C161:C162)</f>
        <v>10958992</v>
      </c>
      <c r="D160" s="115">
        <f>SUM(D161:D162)</f>
        <v>11350153</v>
      </c>
      <c r="E160" s="256">
        <f t="shared" si="21"/>
        <v>0.9490894383071751</v>
      </c>
      <c r="F160" s="257">
        <f>SUM(F161:F162)</f>
        <v>1384861</v>
      </c>
      <c r="G160" s="252" t="s">
        <v>391</v>
      </c>
      <c r="H160" s="254">
        <f>SUM(H161:H162)</f>
        <v>11959</v>
      </c>
      <c r="I160" s="254">
        <f>SUM(I161:I162)</f>
        <v>10959</v>
      </c>
      <c r="J160" s="254">
        <f>SUM(J161:J162)</f>
        <v>11350</v>
      </c>
      <c r="K160" s="171">
        <f t="shared" si="22"/>
        <v>94.90760096998076</v>
      </c>
      <c r="L160" s="254">
        <f>SUM(L161:L162)</f>
        <v>1385</v>
      </c>
    </row>
    <row r="161" spans="1:12" ht="12.75">
      <c r="A161" s="62" t="s">
        <v>432</v>
      </c>
      <c r="B161" s="115">
        <v>9407735</v>
      </c>
      <c r="C161" s="214">
        <v>8407735</v>
      </c>
      <c r="D161" s="115">
        <v>9372095</v>
      </c>
      <c r="E161" s="256">
        <f t="shared" si="21"/>
        <v>0.9962116279848444</v>
      </c>
      <c r="F161" s="257">
        <f>D161-'[7]Novembris'!D161</f>
        <v>873397</v>
      </c>
      <c r="G161" s="276" t="s">
        <v>432</v>
      </c>
      <c r="H161" s="271">
        <f aca="true" t="shared" si="24" ref="H161:J162">ROUND(B161/1000,0)</f>
        <v>9408</v>
      </c>
      <c r="I161" s="271">
        <f t="shared" si="24"/>
        <v>8408</v>
      </c>
      <c r="J161" s="271">
        <f t="shared" si="24"/>
        <v>9372</v>
      </c>
      <c r="K161" s="171">
        <f t="shared" si="22"/>
        <v>99.61734693877551</v>
      </c>
      <c r="L161" s="258">
        <f>J161-'[7]Novembris'!J161</f>
        <v>873</v>
      </c>
    </row>
    <row r="162" spans="1:12" ht="12.75">
      <c r="A162" s="62" t="s">
        <v>437</v>
      </c>
      <c r="B162" s="115">
        <v>2551257</v>
      </c>
      <c r="C162" s="214">
        <v>2551257</v>
      </c>
      <c r="D162" s="115">
        <v>1978058</v>
      </c>
      <c r="E162" s="256">
        <f t="shared" si="21"/>
        <v>0.775326829088563</v>
      </c>
      <c r="F162" s="257">
        <f>D162-'[7]Novembris'!D162</f>
        <v>511464</v>
      </c>
      <c r="G162" s="276" t="s">
        <v>437</v>
      </c>
      <c r="H162" s="271">
        <f t="shared" si="24"/>
        <v>2551</v>
      </c>
      <c r="I162" s="271">
        <f t="shared" si="24"/>
        <v>2551</v>
      </c>
      <c r="J162" s="271">
        <f t="shared" si="24"/>
        <v>1978</v>
      </c>
      <c r="K162" s="171">
        <f t="shared" si="22"/>
        <v>77.53822030576245</v>
      </c>
      <c r="L162" s="258">
        <f>J162-'[7]Novembris'!J162+1</f>
        <v>512</v>
      </c>
    </row>
    <row r="163" spans="1:12" ht="12.75">
      <c r="A163" s="252" t="s">
        <v>385</v>
      </c>
      <c r="B163" s="115">
        <f>SUM(B157-B160)</f>
        <v>-1983808</v>
      </c>
      <c r="C163" s="214">
        <f>SUM(C157-C160)</f>
        <v>-983808</v>
      </c>
      <c r="D163" s="115">
        <f>SUM(D157-D160)</f>
        <v>-1374969</v>
      </c>
      <c r="E163" s="256">
        <f t="shared" si="21"/>
        <v>0.6930958036261574</v>
      </c>
      <c r="F163" s="257">
        <f>D163-'[7]Novembris'!D163</f>
        <v>-790029</v>
      </c>
      <c r="G163" s="252" t="s">
        <v>385</v>
      </c>
      <c r="H163" s="254">
        <f>SUM(H157-H160)</f>
        <v>-1984</v>
      </c>
      <c r="I163" s="254">
        <f>SUM(I157-I160)</f>
        <v>-984</v>
      </c>
      <c r="J163" s="254">
        <f>SUM(J157-J160)</f>
        <v>-1375</v>
      </c>
      <c r="K163" s="171">
        <f t="shared" si="22"/>
        <v>69.30443548387096</v>
      </c>
      <c r="L163" s="258">
        <f>J163-'[7]Novembris'!J163-1</f>
        <v>-790</v>
      </c>
    </row>
    <row r="164" spans="1:12" ht="12.75">
      <c r="A164" s="252" t="s">
        <v>407</v>
      </c>
      <c r="B164" s="115">
        <v>1850000</v>
      </c>
      <c r="C164" s="214">
        <v>1850000</v>
      </c>
      <c r="D164" s="115">
        <v>1303155</v>
      </c>
      <c r="E164" s="256">
        <f t="shared" si="21"/>
        <v>0.704408108108108</v>
      </c>
      <c r="F164" s="257">
        <f>D164-'[7]Novembris'!D164</f>
        <v>116654</v>
      </c>
      <c r="G164" s="252" t="s">
        <v>407</v>
      </c>
      <c r="H164" s="258">
        <f>ROUND(B164/1000,0)</f>
        <v>1850</v>
      </c>
      <c r="I164" s="258">
        <f>ROUND(C164/1000,0)</f>
        <v>1850</v>
      </c>
      <c r="J164" s="258">
        <f>ROUND(D164/1000,0)</f>
        <v>1303</v>
      </c>
      <c r="K164" s="171">
        <f t="shared" si="22"/>
        <v>70.43243243243244</v>
      </c>
      <c r="L164" s="258">
        <f>J164-'[7]Novembris'!J164</f>
        <v>117</v>
      </c>
    </row>
    <row r="165" spans="1:12" ht="25.5">
      <c r="A165" s="62" t="s">
        <v>276</v>
      </c>
      <c r="B165" s="115"/>
      <c r="C165" s="214"/>
      <c r="D165" s="115"/>
      <c r="E165" s="256" t="str">
        <f t="shared" si="21"/>
        <v> </v>
      </c>
      <c r="F165" s="257"/>
      <c r="G165" s="62" t="s">
        <v>276</v>
      </c>
      <c r="H165" s="254"/>
      <c r="I165" s="254"/>
      <c r="J165" s="254"/>
      <c r="K165" s="171"/>
      <c r="L165" s="254"/>
    </row>
    <row r="166" spans="1:12" ht="12.75">
      <c r="A166" s="92" t="s">
        <v>438</v>
      </c>
      <c r="B166" s="115"/>
      <c r="C166" s="214"/>
      <c r="D166" s="115"/>
      <c r="E166" s="256" t="str">
        <f t="shared" si="21"/>
        <v> </v>
      </c>
      <c r="F166" s="257"/>
      <c r="G166" s="96" t="s">
        <v>438</v>
      </c>
      <c r="H166" s="254"/>
      <c r="I166" s="254"/>
      <c r="J166" s="254"/>
      <c r="K166" s="171"/>
      <c r="L166" s="254"/>
    </row>
    <row r="167" spans="1:12" ht="12.75">
      <c r="A167" s="252" t="s">
        <v>389</v>
      </c>
      <c r="B167" s="115">
        <f>SUM(B168:B170)</f>
        <v>8868100</v>
      </c>
      <c r="C167" s="115">
        <v>8868100</v>
      </c>
      <c r="D167" s="115">
        <f>SUM(D168:D170)</f>
        <v>8876993</v>
      </c>
      <c r="E167" s="256">
        <f t="shared" si="21"/>
        <v>1.0010028078167814</v>
      </c>
      <c r="F167" s="257">
        <f>SUM(F168:F170)</f>
        <v>827862</v>
      </c>
      <c r="G167" s="252" t="s">
        <v>389</v>
      </c>
      <c r="H167" s="254">
        <f>SUM(H168:H170)</f>
        <v>8868</v>
      </c>
      <c r="I167" s="258">
        <f>ROUND(C167/1000,0)</f>
        <v>8868</v>
      </c>
      <c r="J167" s="254">
        <f>SUM(J168:J170)</f>
        <v>8877</v>
      </c>
      <c r="K167" s="171">
        <f t="shared" si="22"/>
        <v>100.10148849797022</v>
      </c>
      <c r="L167" s="254">
        <f>SUM(L168:L170)</f>
        <v>828</v>
      </c>
    </row>
    <row r="168" spans="1:12" ht="12.75">
      <c r="A168" s="252" t="s">
        <v>439</v>
      </c>
      <c r="B168" s="115">
        <v>8300000</v>
      </c>
      <c r="C168" s="214"/>
      <c r="D168" s="115">
        <v>8258407</v>
      </c>
      <c r="E168" s="256">
        <f t="shared" si="21"/>
        <v>0.9949887951807229</v>
      </c>
      <c r="F168" s="257">
        <f>D168-'[7]Novembris'!D168</f>
        <v>728965</v>
      </c>
      <c r="G168" s="252" t="s">
        <v>439</v>
      </c>
      <c r="H168" s="258">
        <f>ROUND(B168/1000,0)</f>
        <v>8300</v>
      </c>
      <c r="I168" s="258">
        <f>ROUND(C168/1000,0)</f>
        <v>0</v>
      </c>
      <c r="J168" s="258">
        <f>ROUND(D168/1000,0)</f>
        <v>8258</v>
      </c>
      <c r="K168" s="171">
        <f t="shared" si="22"/>
        <v>99.49397590361446</v>
      </c>
      <c r="L168" s="258">
        <f>J168-'[7]Novembris'!J168</f>
        <v>729</v>
      </c>
    </row>
    <row r="169" spans="1:12" ht="12.75">
      <c r="A169" s="252" t="s">
        <v>440</v>
      </c>
      <c r="B169" s="115">
        <v>350000</v>
      </c>
      <c r="C169" s="214"/>
      <c r="D169" s="115">
        <v>462168</v>
      </c>
      <c r="E169" s="256">
        <f t="shared" si="21"/>
        <v>1.32048</v>
      </c>
      <c r="F169" s="257">
        <f>D169-'[7]Novembris'!D169</f>
        <v>52288</v>
      </c>
      <c r="G169" s="252" t="s">
        <v>440</v>
      </c>
      <c r="H169" s="258">
        <f>ROUND(B169/1000,0)</f>
        <v>350</v>
      </c>
      <c r="I169" s="258">
        <f>ROUND(C169/1000,0)</f>
        <v>0</v>
      </c>
      <c r="J169" s="258">
        <f>ROUND(D169/1000,0)</f>
        <v>462</v>
      </c>
      <c r="K169" s="171">
        <f t="shared" si="22"/>
        <v>132</v>
      </c>
      <c r="L169" s="258">
        <f>J169-'[7]Novembris'!J169</f>
        <v>52</v>
      </c>
    </row>
    <row r="170" spans="1:12" ht="12.75">
      <c r="A170" s="267" t="s">
        <v>313</v>
      </c>
      <c r="B170" s="115">
        <f>150000+68100</f>
        <v>218100</v>
      </c>
      <c r="C170" s="214"/>
      <c r="D170" s="115">
        <f>95093+61325</f>
        <v>156418</v>
      </c>
      <c r="E170" s="256">
        <f t="shared" si="21"/>
        <v>0.7171847776249427</v>
      </c>
      <c r="F170" s="257">
        <f>D170-'[7]Novembris'!D170</f>
        <v>46609</v>
      </c>
      <c r="G170" s="252" t="s">
        <v>313</v>
      </c>
      <c r="H170" s="258">
        <f>ROUND(B170/1000,0)</f>
        <v>218</v>
      </c>
      <c r="I170" s="258">
        <f>ROUND(C170/1000,0)</f>
        <v>0</v>
      </c>
      <c r="J170" s="258">
        <f>ROUND(D170/1000,0)+1</f>
        <v>157</v>
      </c>
      <c r="K170" s="171">
        <f t="shared" si="22"/>
        <v>72.01834862385321</v>
      </c>
      <c r="L170" s="258">
        <f>J170-'[7]Novembris'!J170</f>
        <v>47</v>
      </c>
    </row>
    <row r="171" spans="1:12" ht="12.75">
      <c r="A171" s="252" t="s">
        <v>391</v>
      </c>
      <c r="B171" s="115">
        <f>SUM(B172:B173)</f>
        <v>9729059</v>
      </c>
      <c r="C171" s="214">
        <f>SUM(C172:C173)</f>
        <v>9729059</v>
      </c>
      <c r="D171" s="115">
        <f>SUM(D172:D173)</f>
        <v>9516767</v>
      </c>
      <c r="E171" s="256">
        <f t="shared" si="21"/>
        <v>0.9781795957861906</v>
      </c>
      <c r="F171" s="257">
        <f>D171-'[7]Novembris'!D171</f>
        <v>2471906</v>
      </c>
      <c r="G171" s="252" t="s">
        <v>391</v>
      </c>
      <c r="H171" s="254">
        <f>SUM(H172:H173)</f>
        <v>9729</v>
      </c>
      <c r="I171" s="254">
        <f>SUM(I172:I173)</f>
        <v>9729</v>
      </c>
      <c r="J171" s="254">
        <f>SUM(J172:J173)</f>
        <v>9516</v>
      </c>
      <c r="K171" s="171">
        <f t="shared" si="22"/>
        <v>97.81066913351835</v>
      </c>
      <c r="L171" s="254">
        <f>SUM(L172:L173)</f>
        <v>2471</v>
      </c>
    </row>
    <row r="172" spans="1:12" ht="12.75">
      <c r="A172" s="252" t="s">
        <v>392</v>
      </c>
      <c r="B172" s="115">
        <v>4981059</v>
      </c>
      <c r="C172" s="214">
        <v>4981059</v>
      </c>
      <c r="D172" s="115">
        <v>4900240</v>
      </c>
      <c r="E172" s="256">
        <f t="shared" si="21"/>
        <v>0.9837747354528424</v>
      </c>
      <c r="F172" s="257">
        <f>D172-'[7]Novembris'!D172</f>
        <v>1139639</v>
      </c>
      <c r="G172" s="252" t="s">
        <v>392</v>
      </c>
      <c r="H172" s="258">
        <f aca="true" t="shared" si="25" ref="H172:J173">ROUND(B172/1000,0)</f>
        <v>4981</v>
      </c>
      <c r="I172" s="258">
        <f t="shared" si="25"/>
        <v>4981</v>
      </c>
      <c r="J172" s="258">
        <f t="shared" si="25"/>
        <v>4900</v>
      </c>
      <c r="K172" s="171">
        <f t="shared" si="22"/>
        <v>98.37382051796828</v>
      </c>
      <c r="L172" s="258">
        <f>J172-'[7]Novembris'!J172</f>
        <v>1139</v>
      </c>
    </row>
    <row r="173" spans="1:12" ht="12.75">
      <c r="A173" s="252" t="s">
        <v>382</v>
      </c>
      <c r="B173" s="115">
        <v>4748000</v>
      </c>
      <c r="C173" s="214">
        <v>4748000</v>
      </c>
      <c r="D173" s="115">
        <v>4616527</v>
      </c>
      <c r="E173" s="256">
        <f t="shared" si="21"/>
        <v>0.9723098146588037</v>
      </c>
      <c r="F173" s="257">
        <f>D173-'[7]Novembris'!D173</f>
        <v>1332267</v>
      </c>
      <c r="G173" s="252" t="s">
        <v>382</v>
      </c>
      <c r="H173" s="258">
        <f t="shared" si="25"/>
        <v>4748</v>
      </c>
      <c r="I173" s="258">
        <f t="shared" si="25"/>
        <v>4748</v>
      </c>
      <c r="J173" s="258">
        <f>ROUND(D173/1000,0)-1</f>
        <v>4616</v>
      </c>
      <c r="K173" s="171">
        <f t="shared" si="22"/>
        <v>97.21988205560235</v>
      </c>
      <c r="L173" s="258">
        <f>J173-'[7]Novembris'!J173</f>
        <v>1332</v>
      </c>
    </row>
    <row r="174" spans="1:12" ht="12.75">
      <c r="A174" s="92" t="s">
        <v>441</v>
      </c>
      <c r="B174" s="115"/>
      <c r="C174" s="214"/>
      <c r="D174" s="115"/>
      <c r="E174" s="256" t="str">
        <f t="shared" si="21"/>
        <v> </v>
      </c>
      <c r="F174" s="257"/>
      <c r="G174" s="109" t="s">
        <v>441</v>
      </c>
      <c r="H174" s="254"/>
      <c r="I174" s="254"/>
      <c r="J174" s="254"/>
      <c r="K174" s="171"/>
      <c r="L174" s="258">
        <f>J174-'[7]Novembris'!J163</f>
        <v>586</v>
      </c>
    </row>
    <row r="175" spans="1:12" ht="12.75">
      <c r="A175" s="252" t="s">
        <v>389</v>
      </c>
      <c r="B175" s="115">
        <v>443709</v>
      </c>
      <c r="C175" s="214">
        <v>443709</v>
      </c>
      <c r="D175" s="115">
        <f>'[6]Decembris'!$F$6</f>
        <v>443709</v>
      </c>
      <c r="E175" s="256">
        <f t="shared" si="21"/>
        <v>1</v>
      </c>
      <c r="F175" s="257">
        <f>D175-'[7]Novembris'!D175</f>
        <v>0</v>
      </c>
      <c r="G175" s="252" t="s">
        <v>389</v>
      </c>
      <c r="H175" s="258">
        <f>ROUND(B175/1000,0)</f>
        <v>444</v>
      </c>
      <c r="I175" s="258">
        <f>ROUND(C175/1000,0)</f>
        <v>444</v>
      </c>
      <c r="J175" s="258">
        <f>ROUND(D175/1000,0)</f>
        <v>444</v>
      </c>
      <c r="K175" s="171">
        <f t="shared" si="22"/>
        <v>100</v>
      </c>
      <c r="L175" s="258">
        <f>J175-'[7]Novembris'!J175</f>
        <v>0</v>
      </c>
    </row>
    <row r="176" spans="1:12" ht="12.75">
      <c r="A176" s="252" t="s">
        <v>391</v>
      </c>
      <c r="B176" s="115">
        <f>SUM(B177:B178)</f>
        <v>571046</v>
      </c>
      <c r="C176" s="214">
        <f>SUM(C177:C178)</f>
        <v>571046</v>
      </c>
      <c r="D176" s="115">
        <f>SUM(D177:D178)</f>
        <v>571046</v>
      </c>
      <c r="E176" s="256">
        <f t="shared" si="21"/>
        <v>1</v>
      </c>
      <c r="F176" s="257">
        <f>D176-'[7]Novembris'!D176</f>
        <v>57753</v>
      </c>
      <c r="G176" s="252" t="s">
        <v>391</v>
      </c>
      <c r="H176" s="254">
        <f>SUM(H177:H178)</f>
        <v>572</v>
      </c>
      <c r="I176" s="254">
        <f>SUM(I177:I178)</f>
        <v>572</v>
      </c>
      <c r="J176" s="254">
        <f>SUM(J177:J178)</f>
        <v>572</v>
      </c>
      <c r="K176" s="171">
        <f t="shared" si="22"/>
        <v>100</v>
      </c>
      <c r="L176" s="258">
        <f>J176-'[7]Novembris'!J176</f>
        <v>58</v>
      </c>
    </row>
    <row r="177" spans="1:12" ht="12.75">
      <c r="A177" s="252" t="s">
        <v>392</v>
      </c>
      <c r="B177" s="115">
        <v>132544</v>
      </c>
      <c r="C177" s="214">
        <v>132544</v>
      </c>
      <c r="D177" s="115">
        <f>'[6]Decembris'!$F$8</f>
        <v>132544</v>
      </c>
      <c r="E177" s="256">
        <f t="shared" si="21"/>
        <v>1</v>
      </c>
      <c r="F177" s="257">
        <f>D177-'[7]Novembris'!D177</f>
        <v>57753</v>
      </c>
      <c r="G177" s="252" t="s">
        <v>392</v>
      </c>
      <c r="H177" s="258">
        <f aca="true" t="shared" si="26" ref="H177:J178">ROUND(B177/1000,0)</f>
        <v>133</v>
      </c>
      <c r="I177" s="258">
        <f>ROUND(C177/1000,0)</f>
        <v>133</v>
      </c>
      <c r="J177" s="258">
        <f t="shared" si="26"/>
        <v>133</v>
      </c>
      <c r="K177" s="171">
        <f t="shared" si="22"/>
        <v>100</v>
      </c>
      <c r="L177" s="258">
        <f>J177-'[7]Novembris'!J177</f>
        <v>58</v>
      </c>
    </row>
    <row r="178" spans="1:12" ht="17.25" customHeight="1">
      <c r="A178" s="252" t="s">
        <v>382</v>
      </c>
      <c r="B178" s="115">
        <v>438502</v>
      </c>
      <c r="C178" s="214">
        <v>438502</v>
      </c>
      <c r="D178" s="115">
        <f>'[6]Decembris'!$F$30</f>
        <v>438502</v>
      </c>
      <c r="E178" s="256">
        <f t="shared" si="21"/>
        <v>1</v>
      </c>
      <c r="F178" s="257">
        <f>D178-'[7]Novembris'!D178</f>
        <v>0</v>
      </c>
      <c r="G178" s="252" t="s">
        <v>382</v>
      </c>
      <c r="H178" s="258">
        <f t="shared" si="26"/>
        <v>439</v>
      </c>
      <c r="I178" s="258">
        <f>ROUND(C178/1000,0)</f>
        <v>439</v>
      </c>
      <c r="J178" s="258">
        <f>ROUND(D178/1000,0)</f>
        <v>439</v>
      </c>
      <c r="K178" s="171">
        <f t="shared" si="22"/>
        <v>100</v>
      </c>
      <c r="L178" s="258">
        <f>J178-'[7]Novembris'!J178</f>
        <v>0</v>
      </c>
    </row>
    <row r="179" spans="1:12" ht="17.25" customHeight="1">
      <c r="A179" s="252" t="s">
        <v>277</v>
      </c>
      <c r="B179" s="115"/>
      <c r="C179" s="214"/>
      <c r="D179" s="115"/>
      <c r="E179" s="256" t="str">
        <f t="shared" si="21"/>
        <v> </v>
      </c>
      <c r="F179" s="257"/>
      <c r="G179" s="252" t="s">
        <v>277</v>
      </c>
      <c r="H179" s="254"/>
      <c r="I179" s="254"/>
      <c r="J179" s="254"/>
      <c r="K179" s="171"/>
      <c r="L179" s="254"/>
    </row>
    <row r="180" spans="1:12" ht="12.75">
      <c r="A180" s="92" t="s">
        <v>442</v>
      </c>
      <c r="B180" s="115"/>
      <c r="C180" s="214"/>
      <c r="D180" s="115"/>
      <c r="E180" s="256" t="str">
        <f t="shared" si="21"/>
        <v> </v>
      </c>
      <c r="F180" s="257"/>
      <c r="G180" s="96" t="s">
        <v>442</v>
      </c>
      <c r="H180" s="254"/>
      <c r="I180" s="254"/>
      <c r="J180" s="254"/>
      <c r="K180" s="171"/>
      <c r="L180" s="254"/>
    </row>
    <row r="181" spans="1:12" ht="12.75">
      <c r="A181" s="252" t="s">
        <v>389</v>
      </c>
      <c r="B181" s="115">
        <f>SUM(B182:B184)</f>
        <v>1979100</v>
      </c>
      <c r="C181" s="214">
        <v>1979100</v>
      </c>
      <c r="D181" s="214">
        <f>SUM(D182:D184)</f>
        <v>1870008</v>
      </c>
      <c r="E181" s="256">
        <f>IF(ISERROR(D181/B181)," ",(D181/B181))</f>
        <v>0.9448779748370472</v>
      </c>
      <c r="F181" s="257">
        <f>SUM(F182:F184)</f>
        <v>-11040</v>
      </c>
      <c r="G181" s="252" t="s">
        <v>389</v>
      </c>
      <c r="H181" s="254">
        <f>SUM(H182:H184)</f>
        <v>1979</v>
      </c>
      <c r="I181" s="254">
        <f>ROUND(C181/1000,0)</f>
        <v>1979</v>
      </c>
      <c r="J181" s="254">
        <f>SUM(J182:J184)</f>
        <v>1870</v>
      </c>
      <c r="K181" s="171">
        <f t="shared" si="22"/>
        <v>94.49216776149571</v>
      </c>
      <c r="L181" s="254">
        <f>SUM(L182:L184)</f>
        <v>-11</v>
      </c>
    </row>
    <row r="182" spans="1:12" ht="29.25" customHeight="1">
      <c r="A182" s="62" t="s">
        <v>443</v>
      </c>
      <c r="B182" s="115">
        <v>1410000</v>
      </c>
      <c r="C182" s="214"/>
      <c r="D182" s="115">
        <v>1318606</v>
      </c>
      <c r="E182" s="256">
        <f t="shared" si="21"/>
        <v>0.9351815602836879</v>
      </c>
      <c r="F182" s="257">
        <f>D182-'[7]Novembris'!D182</f>
        <v>149700</v>
      </c>
      <c r="G182" s="62" t="s">
        <v>443</v>
      </c>
      <c r="H182" s="258">
        <f aca="true" t="shared" si="27" ref="H182:J184">ROUND(B182/1000,0)</f>
        <v>1410</v>
      </c>
      <c r="I182" s="258">
        <f t="shared" si="27"/>
        <v>0</v>
      </c>
      <c r="J182" s="258">
        <f t="shared" si="27"/>
        <v>1319</v>
      </c>
      <c r="K182" s="171">
        <f t="shared" si="22"/>
        <v>93.54609929078013</v>
      </c>
      <c r="L182" s="258">
        <f>J182-'[7]Novembris'!J182</f>
        <v>150</v>
      </c>
    </row>
    <row r="183" spans="1:12" ht="27.75" customHeight="1">
      <c r="A183" s="62" t="s">
        <v>444</v>
      </c>
      <c r="B183" s="115">
        <v>569100</v>
      </c>
      <c r="C183" s="214"/>
      <c r="D183" s="115">
        <v>551402</v>
      </c>
      <c r="E183" s="256">
        <f>IF(ISERROR(D183/B183)," ",(D183/B183))</f>
        <v>0.968901774732033</v>
      </c>
      <c r="F183" s="257">
        <f>D183-'[7]Novembris'!D183</f>
        <v>43260</v>
      </c>
      <c r="G183" s="62" t="s">
        <v>444</v>
      </c>
      <c r="H183" s="258">
        <f t="shared" si="27"/>
        <v>569</v>
      </c>
      <c r="I183" s="258">
        <f t="shared" si="27"/>
        <v>0</v>
      </c>
      <c r="J183" s="258">
        <f t="shared" si="27"/>
        <v>551</v>
      </c>
      <c r="K183" s="171">
        <f t="shared" si="22"/>
        <v>96.8365553602812</v>
      </c>
      <c r="L183" s="258">
        <f>J183-'[7]Novembris'!J183</f>
        <v>43</v>
      </c>
    </row>
    <row r="184" spans="1:12" ht="12.75">
      <c r="A184" s="252" t="s">
        <v>424</v>
      </c>
      <c r="B184" s="115"/>
      <c r="C184" s="214"/>
      <c r="D184" s="115"/>
      <c r="E184" s="277" t="str">
        <f>IF(ISERROR(D184/B184)," ",(D184/B184))</f>
        <v> </v>
      </c>
      <c r="F184" s="257">
        <f>D184-'[7]Novembris'!D184</f>
        <v>-204000</v>
      </c>
      <c r="G184" s="252" t="s">
        <v>424</v>
      </c>
      <c r="H184" s="258">
        <f t="shared" si="27"/>
        <v>0</v>
      </c>
      <c r="I184" s="258">
        <f t="shared" si="27"/>
        <v>0</v>
      </c>
      <c r="J184" s="258">
        <f t="shared" si="27"/>
        <v>0</v>
      </c>
      <c r="K184" s="171"/>
      <c r="L184" s="258">
        <f>J184-'[7]Novembris'!J184</f>
        <v>-204</v>
      </c>
    </row>
    <row r="185" spans="1:12" ht="12.75">
      <c r="A185" s="252" t="s">
        <v>391</v>
      </c>
      <c r="B185" s="115">
        <f>B186</f>
        <v>2487109</v>
      </c>
      <c r="C185" s="214">
        <f>SUM(C186)</f>
        <v>2487109</v>
      </c>
      <c r="D185" s="115">
        <f>D186</f>
        <v>2368450</v>
      </c>
      <c r="E185" s="256">
        <f t="shared" si="21"/>
        <v>0.9522903901678615</v>
      </c>
      <c r="F185" s="257">
        <f>D185-'[7]Novembris'!D185</f>
        <v>318670</v>
      </c>
      <c r="G185" s="252" t="s">
        <v>391</v>
      </c>
      <c r="H185" s="254">
        <f>H186</f>
        <v>2487</v>
      </c>
      <c r="I185" s="254">
        <f>I186</f>
        <v>2487</v>
      </c>
      <c r="J185" s="254">
        <f>J186</f>
        <v>2368</v>
      </c>
      <c r="K185" s="171">
        <f t="shared" si="22"/>
        <v>95.2151186168074</v>
      </c>
      <c r="L185" s="254">
        <f>L186</f>
        <v>318</v>
      </c>
    </row>
    <row r="186" spans="1:12" ht="12.75">
      <c r="A186" s="252" t="s">
        <v>392</v>
      </c>
      <c r="B186" s="115">
        <v>2487109</v>
      </c>
      <c r="C186" s="214">
        <v>2487109</v>
      </c>
      <c r="D186" s="115">
        <f>'[6]Decembris'!$R$8</f>
        <v>2368450</v>
      </c>
      <c r="E186" s="256">
        <f t="shared" si="21"/>
        <v>0.9522903901678615</v>
      </c>
      <c r="F186" s="257">
        <f>D186-'[7]Novembris'!D186</f>
        <v>318670</v>
      </c>
      <c r="G186" s="252" t="s">
        <v>392</v>
      </c>
      <c r="H186" s="258">
        <f>ROUND(B186/1000,0)</f>
        <v>2487</v>
      </c>
      <c r="I186" s="258">
        <f>ROUND(C186/1000,0)</f>
        <v>2487</v>
      </c>
      <c r="J186" s="258">
        <f>ROUND(D186/1000,0)</f>
        <v>2368</v>
      </c>
      <c r="K186" s="171">
        <f t="shared" si="22"/>
        <v>95.2151186168074</v>
      </c>
      <c r="L186" s="258">
        <f>J186-'[7]Novembris'!J186</f>
        <v>318</v>
      </c>
    </row>
    <row r="187" spans="1:12" ht="38.25">
      <c r="A187" s="62" t="s">
        <v>445</v>
      </c>
      <c r="B187" s="115"/>
      <c r="C187" s="214"/>
      <c r="D187" s="115"/>
      <c r="E187" s="256" t="str">
        <f t="shared" si="21"/>
        <v> </v>
      </c>
      <c r="F187" s="278"/>
      <c r="G187" s="70" t="s">
        <v>445</v>
      </c>
      <c r="H187" s="254"/>
      <c r="I187" s="254"/>
      <c r="J187" s="254"/>
      <c r="K187" s="171"/>
      <c r="L187" s="254"/>
    </row>
    <row r="188" spans="1:12" ht="12.75">
      <c r="A188" s="267" t="s">
        <v>389</v>
      </c>
      <c r="B188" s="115">
        <f>B189</f>
        <v>144073</v>
      </c>
      <c r="C188" s="214">
        <v>144073</v>
      </c>
      <c r="D188" s="115">
        <f>D189</f>
        <v>86177</v>
      </c>
      <c r="E188" s="256">
        <f t="shared" si="21"/>
        <v>0.5981481610017144</v>
      </c>
      <c r="F188" s="279">
        <f>F189</f>
        <v>12336</v>
      </c>
      <c r="G188" s="252" t="s">
        <v>389</v>
      </c>
      <c r="H188" s="254">
        <f>H189</f>
        <v>144</v>
      </c>
      <c r="I188" s="258">
        <f>ROUND(C188/1000,0)</f>
        <v>144</v>
      </c>
      <c r="J188" s="254">
        <f>J189</f>
        <v>86</v>
      </c>
      <c r="K188" s="171">
        <f t="shared" si="22"/>
        <v>59.72222222222222</v>
      </c>
      <c r="L188" s="254">
        <f>L189</f>
        <v>12</v>
      </c>
    </row>
    <row r="189" spans="1:12" ht="25.5">
      <c r="A189" s="62" t="s">
        <v>446</v>
      </c>
      <c r="B189" s="115">
        <v>144073</v>
      </c>
      <c r="C189" s="214"/>
      <c r="D189" s="115">
        <v>86177</v>
      </c>
      <c r="E189" s="256">
        <f t="shared" si="21"/>
        <v>0.5981481610017144</v>
      </c>
      <c r="F189" s="279">
        <f>D189-'[7]Novembris'!D189</f>
        <v>12336</v>
      </c>
      <c r="G189" s="62" t="s">
        <v>446</v>
      </c>
      <c r="H189" s="258">
        <f>ROUND(B189/1000,0)</f>
        <v>144</v>
      </c>
      <c r="I189" s="258">
        <f>ROUND(C189/1000,0)</f>
        <v>0</v>
      </c>
      <c r="J189" s="258">
        <f>ROUND(D189/1000,0)</f>
        <v>86</v>
      </c>
      <c r="K189" s="171">
        <f t="shared" si="22"/>
        <v>59.72222222222222</v>
      </c>
      <c r="L189" s="258">
        <f>J189-'[7]Novembris'!J189</f>
        <v>12</v>
      </c>
    </row>
    <row r="190" spans="1:12" ht="12.75">
      <c r="A190" s="252" t="s">
        <v>391</v>
      </c>
      <c r="B190" s="115">
        <f>SUM(B191+B193)</f>
        <v>194829</v>
      </c>
      <c r="C190" s="214">
        <f>SUM(C191:C193)</f>
        <v>194829</v>
      </c>
      <c r="D190" s="115">
        <f>SUM(D191+D193)</f>
        <v>183300</v>
      </c>
      <c r="E190" s="256">
        <f t="shared" si="21"/>
        <v>0.9408250311811897</v>
      </c>
      <c r="F190" s="279">
        <f>SUM(F191:F193)</f>
        <v>8703</v>
      </c>
      <c r="G190" s="252" t="s">
        <v>391</v>
      </c>
      <c r="H190" s="254">
        <f>SUM(H191+H193)</f>
        <v>195</v>
      </c>
      <c r="I190" s="254">
        <f>SUM(I191:I193)</f>
        <v>195</v>
      </c>
      <c r="J190" s="254">
        <f>SUM(J191+J193)</f>
        <v>184</v>
      </c>
      <c r="K190" s="171">
        <f t="shared" si="22"/>
        <v>94.35897435897435</v>
      </c>
      <c r="L190" s="254">
        <f>SUM(L191+L193)</f>
        <v>9</v>
      </c>
    </row>
    <row r="191" spans="1:12" ht="12.75">
      <c r="A191" s="252" t="s">
        <v>392</v>
      </c>
      <c r="B191" s="115">
        <v>186305</v>
      </c>
      <c r="C191" s="214">
        <v>186305</v>
      </c>
      <c r="D191" s="115">
        <f>'[6]Decembris'!$Q$8</f>
        <v>173646</v>
      </c>
      <c r="E191" s="256">
        <f t="shared" si="21"/>
        <v>0.9320522798636645</v>
      </c>
      <c r="F191" s="279">
        <f>D191-'[7]Novembris'!D191</f>
        <v>8703</v>
      </c>
      <c r="G191" s="252" t="s">
        <v>392</v>
      </c>
      <c r="H191" s="258">
        <f aca="true" t="shared" si="28" ref="H191:J193">ROUND(B191/1000,0)</f>
        <v>186</v>
      </c>
      <c r="I191" s="258">
        <f t="shared" si="28"/>
        <v>186</v>
      </c>
      <c r="J191" s="258">
        <f>ROUND(D191/1000,0)</f>
        <v>174</v>
      </c>
      <c r="K191" s="171">
        <f t="shared" si="22"/>
        <v>93.54838709677419</v>
      </c>
      <c r="L191" s="258">
        <f>J191-'[7]Novembris'!J191</f>
        <v>9</v>
      </c>
    </row>
    <row r="192" spans="1:12" ht="25.5">
      <c r="A192" s="62" t="s">
        <v>404</v>
      </c>
      <c r="B192" s="115">
        <v>9488</v>
      </c>
      <c r="C192" s="214"/>
      <c r="D192" s="115">
        <v>8616</v>
      </c>
      <c r="E192" s="256">
        <f t="shared" si="21"/>
        <v>0.9080944350758853</v>
      </c>
      <c r="F192" s="279">
        <v>0</v>
      </c>
      <c r="G192" s="62" t="s">
        <v>404</v>
      </c>
      <c r="H192" s="258">
        <f t="shared" si="28"/>
        <v>9</v>
      </c>
      <c r="I192" s="258"/>
      <c r="J192" s="258">
        <f t="shared" si="28"/>
        <v>9</v>
      </c>
      <c r="K192" s="171">
        <f t="shared" si="22"/>
        <v>100</v>
      </c>
      <c r="L192" s="258">
        <f>J192-'[7]Novembris'!J192</f>
        <v>0</v>
      </c>
    </row>
    <row r="193" spans="1:12" ht="12.75">
      <c r="A193" s="252" t="s">
        <v>382</v>
      </c>
      <c r="B193" s="115">
        <v>8524</v>
      </c>
      <c r="C193" s="214">
        <v>8524</v>
      </c>
      <c r="D193" s="115">
        <f>'[6]Decembris'!$Q$30</f>
        <v>9654</v>
      </c>
      <c r="E193" s="256">
        <f t="shared" si="21"/>
        <v>1.1325668700140779</v>
      </c>
      <c r="F193" s="279">
        <f>D193-'[7]Novembris'!D193</f>
        <v>0</v>
      </c>
      <c r="G193" s="252" t="s">
        <v>382</v>
      </c>
      <c r="H193" s="258">
        <f t="shared" si="28"/>
        <v>9</v>
      </c>
      <c r="I193" s="258">
        <f t="shared" si="28"/>
        <v>9</v>
      </c>
      <c r="J193" s="258">
        <f t="shared" si="28"/>
        <v>10</v>
      </c>
      <c r="K193" s="171">
        <f t="shared" si="22"/>
        <v>111.11111111111111</v>
      </c>
      <c r="L193" s="258">
        <f>J193-'[7]Novembris'!J193</f>
        <v>0</v>
      </c>
    </row>
    <row r="194" spans="1:12" ht="12.75">
      <c r="A194" s="252" t="s">
        <v>385</v>
      </c>
      <c r="B194" s="115">
        <f>SUM(B188-B190)</f>
        <v>-50756</v>
      </c>
      <c r="C194" s="214">
        <f>SUM(C188-C190)</f>
        <v>-50756</v>
      </c>
      <c r="D194" s="115">
        <f>SUM(D188-D190)</f>
        <v>-97123</v>
      </c>
      <c r="E194" s="256">
        <f t="shared" si="21"/>
        <v>1.9135274647332334</v>
      </c>
      <c r="F194" s="279">
        <f>D194-'[7]Novembris'!D194</f>
        <v>3633</v>
      </c>
      <c r="G194" s="252" t="s">
        <v>385</v>
      </c>
      <c r="H194" s="254">
        <f>SUM(H188-H190)</f>
        <v>-51</v>
      </c>
      <c r="I194" s="254">
        <f>SUM(I188-I190)</f>
        <v>-51</v>
      </c>
      <c r="J194" s="254">
        <f>SUM(J188-J190)</f>
        <v>-98</v>
      </c>
      <c r="K194" s="171"/>
      <c r="L194" s="258">
        <f>J194-'[7]Novembris'!J194+1</f>
        <v>4</v>
      </c>
    </row>
    <row r="195" spans="1:12" ht="12.75">
      <c r="A195" s="252" t="s">
        <v>407</v>
      </c>
      <c r="B195" s="115">
        <v>50756</v>
      </c>
      <c r="C195" s="115">
        <v>50756</v>
      </c>
      <c r="D195" s="115">
        <v>50756</v>
      </c>
      <c r="E195" s="256">
        <f t="shared" si="21"/>
        <v>1</v>
      </c>
      <c r="F195" s="279">
        <v>-2703</v>
      </c>
      <c r="G195" s="252" t="s">
        <v>407</v>
      </c>
      <c r="H195" s="254">
        <f>-H194</f>
        <v>51</v>
      </c>
      <c r="I195" s="258">
        <f>ROUND(C195/1000,0)</f>
        <v>51</v>
      </c>
      <c r="J195" s="258">
        <f>ROUND(D195/1000,0)</f>
        <v>51</v>
      </c>
      <c r="K195" s="171">
        <f t="shared" si="22"/>
        <v>100</v>
      </c>
      <c r="L195" s="258">
        <f>J195-'[7]Novembris'!J195</f>
        <v>-3</v>
      </c>
    </row>
    <row r="196" spans="1:12" ht="12.75">
      <c r="A196" s="280"/>
      <c r="B196" s="141"/>
      <c r="C196" s="141"/>
      <c r="D196" s="141"/>
      <c r="E196" s="76"/>
      <c r="F196" s="243"/>
      <c r="H196" s="76"/>
      <c r="I196" s="76"/>
      <c r="J196" s="76"/>
      <c r="K196" s="76"/>
      <c r="L196" s="76"/>
    </row>
    <row r="197" spans="1:12" ht="26.25" customHeight="1">
      <c r="A197" s="76" t="s">
        <v>447</v>
      </c>
      <c r="B197" s="281"/>
      <c r="C197" s="281"/>
      <c r="D197" s="281"/>
      <c r="E197" s="76"/>
      <c r="F197" s="243"/>
      <c r="G197" s="647" t="s">
        <v>448</v>
      </c>
      <c r="H197" s="647"/>
      <c r="I197" s="647"/>
      <c r="J197" s="647"/>
      <c r="K197" s="647"/>
      <c r="L197" s="243"/>
    </row>
    <row r="198" spans="1:12" ht="22.5" customHeight="1">
      <c r="A198" s="647"/>
      <c r="B198" s="647"/>
      <c r="C198" s="76"/>
      <c r="D198" s="76"/>
      <c r="E198" s="76"/>
      <c r="F198" s="243"/>
      <c r="I198" s="282"/>
      <c r="J198" s="282"/>
      <c r="K198" s="76"/>
      <c r="L198" s="243"/>
    </row>
    <row r="199" spans="2:12" ht="12.75" customHeight="1">
      <c r="B199" s="283"/>
      <c r="C199" s="38"/>
      <c r="D199" s="35"/>
      <c r="E199" s="32"/>
      <c r="F199" s="243"/>
      <c r="I199" s="243"/>
      <c r="J199" s="243"/>
      <c r="K199" s="32"/>
      <c r="L199" s="243"/>
    </row>
    <row r="200" spans="1:12" ht="16.5" customHeight="1">
      <c r="A200" s="647"/>
      <c r="B200" s="647"/>
      <c r="C200" s="38"/>
      <c r="D200" s="38"/>
      <c r="E200" s="243"/>
      <c r="F200" s="243"/>
      <c r="G200" s="37" t="s">
        <v>449</v>
      </c>
      <c r="I200" s="243"/>
      <c r="J200" s="243"/>
      <c r="K200" s="243"/>
      <c r="L200" s="243"/>
    </row>
    <row r="201" spans="1:12" ht="12.75">
      <c r="A201" s="37" t="s">
        <v>450</v>
      </c>
      <c r="B201" s="38"/>
      <c r="C201" s="38"/>
      <c r="D201" s="38"/>
      <c r="E201" s="243"/>
      <c r="F201" s="243"/>
      <c r="K201" s="243"/>
      <c r="L201" s="243"/>
    </row>
    <row r="202" spans="2:12" ht="12.75">
      <c r="B202" s="38"/>
      <c r="C202" s="38"/>
      <c r="D202" s="38"/>
      <c r="E202" s="243"/>
      <c r="F202" s="243"/>
      <c r="H202" s="243"/>
      <c r="I202" s="243"/>
      <c r="J202" s="243"/>
      <c r="K202" s="243"/>
      <c r="L202" s="243"/>
    </row>
    <row r="203" spans="2:12" ht="12.75">
      <c r="B203" s="38"/>
      <c r="C203" s="38"/>
      <c r="D203" s="38"/>
      <c r="E203" s="243"/>
      <c r="F203" s="243"/>
      <c r="G203" s="243"/>
      <c r="H203" s="243"/>
      <c r="I203" s="243"/>
      <c r="J203" s="243"/>
      <c r="K203" s="243"/>
      <c r="L203" s="243"/>
    </row>
    <row r="204" spans="1:12" ht="12.75">
      <c r="A204" s="243"/>
      <c r="B204" s="38"/>
      <c r="C204" s="38"/>
      <c r="D204" s="38"/>
      <c r="E204" s="243"/>
      <c r="F204" s="243"/>
      <c r="J204" s="243"/>
      <c r="K204" s="243"/>
      <c r="L204" s="243"/>
    </row>
    <row r="205" spans="1:12" ht="12.75">
      <c r="A205" s="243"/>
      <c r="B205" s="38"/>
      <c r="C205" s="38"/>
      <c r="D205" s="38"/>
      <c r="E205" s="243"/>
      <c r="F205" s="243"/>
      <c r="H205" s="243"/>
      <c r="I205" s="243"/>
      <c r="J205" s="243"/>
      <c r="K205" s="243"/>
      <c r="L205" s="243"/>
    </row>
    <row r="206" spans="1:12" ht="12.75">
      <c r="A206" s="243" t="s">
        <v>178</v>
      </c>
      <c r="B206" s="38"/>
      <c r="C206" s="38"/>
      <c r="D206" s="38"/>
      <c r="E206" s="243"/>
      <c r="F206" s="243"/>
      <c r="K206" s="243"/>
      <c r="L206" s="243"/>
    </row>
    <row r="207" spans="1:12" ht="12.75">
      <c r="A207" s="243" t="s">
        <v>451</v>
      </c>
      <c r="B207" s="38"/>
      <c r="C207" s="38"/>
      <c r="D207" s="38"/>
      <c r="E207" s="243"/>
      <c r="F207" s="243"/>
      <c r="G207" s="243"/>
      <c r="H207" s="243"/>
      <c r="I207" s="243"/>
      <c r="J207" s="243"/>
      <c r="K207" s="243"/>
      <c r="L207" s="243"/>
    </row>
    <row r="208" spans="1:12" ht="12.75">
      <c r="A208" s="243"/>
      <c r="B208" s="38"/>
      <c r="C208" s="38"/>
      <c r="D208" s="38"/>
      <c r="E208" s="243"/>
      <c r="F208" s="243"/>
      <c r="H208" s="243"/>
      <c r="I208" s="243"/>
      <c r="J208" s="243"/>
      <c r="K208" s="243"/>
      <c r="L208" s="243"/>
    </row>
    <row r="209" spans="1:10" ht="12.75">
      <c r="A209" s="243"/>
      <c r="B209" s="38"/>
      <c r="C209" s="38"/>
      <c r="D209" s="38"/>
      <c r="E209" s="243"/>
      <c r="F209" s="243"/>
      <c r="J209" s="243"/>
    </row>
    <row r="210" spans="2:6" ht="12.75">
      <c r="B210" s="38"/>
      <c r="C210" s="38"/>
      <c r="D210" s="38"/>
      <c r="E210" s="243"/>
      <c r="F210" s="243"/>
    </row>
    <row r="211" spans="2:6" ht="12.75">
      <c r="B211" s="35"/>
      <c r="C211" s="35"/>
      <c r="D211" s="38"/>
      <c r="E211" s="243"/>
      <c r="F211" s="243"/>
    </row>
    <row r="212" spans="1:6" ht="12.75">
      <c r="A212" s="243"/>
      <c r="B212" s="38"/>
      <c r="C212" s="38"/>
      <c r="D212" s="38"/>
      <c r="E212" s="243"/>
      <c r="F212" s="243"/>
    </row>
    <row r="213" spans="1:6" ht="12.75">
      <c r="A213" s="243"/>
      <c r="B213" s="38"/>
      <c r="C213" s="38"/>
      <c r="D213" s="38"/>
      <c r="E213" s="243"/>
      <c r="F213" s="243"/>
    </row>
    <row r="214" spans="1:7" ht="12.75">
      <c r="A214" s="243"/>
      <c r="B214" s="38"/>
      <c r="C214" s="38"/>
      <c r="D214" s="38"/>
      <c r="E214" s="243"/>
      <c r="F214" s="243"/>
      <c r="G214" s="284" t="s">
        <v>178</v>
      </c>
    </row>
    <row r="215" spans="1:7" ht="12.75">
      <c r="A215" s="243"/>
      <c r="B215" s="38"/>
      <c r="C215" s="38"/>
      <c r="D215" s="38"/>
      <c r="E215" s="243"/>
      <c r="F215" s="243"/>
      <c r="G215" s="284" t="str">
        <f>A207</f>
        <v>2001.gada 15.janvārī</v>
      </c>
    </row>
    <row r="216" spans="1:6" ht="12.75">
      <c r="A216" s="243"/>
      <c r="B216" s="38"/>
      <c r="C216" s="38"/>
      <c r="D216" s="38"/>
      <c r="E216" s="243"/>
      <c r="F216" s="243"/>
    </row>
    <row r="217" spans="1:6" ht="12.75">
      <c r="A217" s="243"/>
      <c r="B217" s="38"/>
      <c r="C217" s="38"/>
      <c r="D217" s="38"/>
      <c r="E217" s="243"/>
      <c r="F217" s="243"/>
    </row>
    <row r="218" spans="1:6" ht="12.75">
      <c r="A218" s="243"/>
      <c r="B218" s="38"/>
      <c r="C218" s="38"/>
      <c r="D218" s="38"/>
      <c r="E218" s="243"/>
      <c r="F218" s="243"/>
    </row>
    <row r="219" spans="1:6" ht="12.75">
      <c r="A219" s="243"/>
      <c r="B219" s="38"/>
      <c r="C219" s="38"/>
      <c r="D219" s="38"/>
      <c r="E219" s="243"/>
      <c r="F219" s="243"/>
    </row>
    <row r="220" spans="1:6" ht="12.75">
      <c r="A220" s="243" t="s">
        <v>452</v>
      </c>
      <c r="B220" s="38"/>
      <c r="C220" s="38"/>
      <c r="D220" s="38">
        <v>463265238</v>
      </c>
      <c r="E220" s="243"/>
      <c r="F220" s="243"/>
    </row>
    <row r="221" spans="1:6" ht="12.75">
      <c r="A221" s="243" t="s">
        <v>453</v>
      </c>
      <c r="B221" s="38"/>
      <c r="C221" s="38"/>
      <c r="D221" s="38">
        <v>37123772</v>
      </c>
      <c r="E221" s="243"/>
      <c r="F221" s="243"/>
    </row>
    <row r="222" spans="1:6" ht="12.75">
      <c r="A222" s="243" t="s">
        <v>454</v>
      </c>
      <c r="B222" s="38"/>
      <c r="C222" s="38"/>
      <c r="D222" s="38">
        <v>280093</v>
      </c>
      <c r="E222" s="243"/>
      <c r="F222" s="243"/>
    </row>
    <row r="223" spans="1:6" ht="12.75">
      <c r="A223" s="243" t="s">
        <v>455</v>
      </c>
      <c r="B223" s="38"/>
      <c r="C223" s="38"/>
      <c r="D223" s="38">
        <v>1186501</v>
      </c>
      <c r="E223" s="243"/>
      <c r="F223" s="243"/>
    </row>
    <row r="224" spans="1:6" ht="12.75">
      <c r="A224" s="243"/>
      <c r="B224" s="38"/>
      <c r="C224" s="38"/>
      <c r="D224" s="38"/>
      <c r="E224" s="243"/>
      <c r="F224" s="243"/>
    </row>
    <row r="225" spans="1:6" ht="12.75">
      <c r="A225" s="243"/>
      <c r="B225" s="38"/>
      <c r="C225" s="38"/>
      <c r="D225" s="38"/>
      <c r="E225" s="243"/>
      <c r="F225" s="243"/>
    </row>
    <row r="226" spans="1:6" ht="12.75">
      <c r="A226" s="243"/>
      <c r="B226" s="38"/>
      <c r="C226" s="38"/>
      <c r="D226" s="38"/>
      <c r="E226" s="243"/>
      <c r="F226" s="243"/>
    </row>
    <row r="227" spans="1:6" ht="12.75">
      <c r="A227" s="243"/>
      <c r="B227" s="38"/>
      <c r="C227" s="38"/>
      <c r="D227" s="38"/>
      <c r="E227" s="243"/>
      <c r="F227" s="243"/>
    </row>
    <row r="228" spans="1:6" ht="12.75">
      <c r="A228" s="243"/>
      <c r="B228" s="38"/>
      <c r="C228" s="38"/>
      <c r="D228" s="38"/>
      <c r="E228" s="243"/>
      <c r="F228" s="243"/>
    </row>
    <row r="229" spans="1:6" ht="12.75">
      <c r="A229" s="243"/>
      <c r="B229" s="38"/>
      <c r="C229" s="38"/>
      <c r="D229" s="38"/>
      <c r="E229" s="243"/>
      <c r="F229" s="243"/>
    </row>
    <row r="230" spans="1:6" ht="12.75">
      <c r="A230" s="243"/>
      <c r="B230" s="38"/>
      <c r="C230" s="38"/>
      <c r="D230" s="38"/>
      <c r="E230" s="243"/>
      <c r="F230" s="243"/>
    </row>
    <row r="231" spans="1:6" ht="12.75">
      <c r="A231" s="243"/>
      <c r="B231" s="38"/>
      <c r="C231" s="38"/>
      <c r="D231" s="38"/>
      <c r="E231" s="243"/>
      <c r="F231" s="243"/>
    </row>
    <row r="232" spans="1:6" ht="12.75">
      <c r="A232" s="243"/>
      <c r="B232" s="38"/>
      <c r="C232" s="38"/>
      <c r="D232" s="38"/>
      <c r="E232" s="243"/>
      <c r="F232" s="243"/>
    </row>
    <row r="233" spans="1:6" ht="12.75">
      <c r="A233" s="243"/>
      <c r="B233" s="38"/>
      <c r="C233" s="38"/>
      <c r="D233" s="38"/>
      <c r="E233" s="243"/>
      <c r="F233" s="243"/>
    </row>
    <row r="234" spans="1:6" ht="12.75">
      <c r="A234" s="243"/>
      <c r="B234" s="38"/>
      <c r="C234" s="38"/>
      <c r="D234" s="38"/>
      <c r="E234" s="243"/>
      <c r="F234" s="243"/>
    </row>
    <row r="235" spans="1:6" ht="12.75">
      <c r="A235" s="243"/>
      <c r="B235" s="38"/>
      <c r="C235" s="38"/>
      <c r="D235" s="38"/>
      <c r="E235" s="243"/>
      <c r="F235" s="243"/>
    </row>
    <row r="236" spans="1:6" ht="12.75">
      <c r="A236" s="243"/>
      <c r="B236" s="38"/>
      <c r="C236" s="38"/>
      <c r="D236" s="38"/>
      <c r="E236" s="243"/>
      <c r="F236" s="243"/>
    </row>
    <row r="237" spans="1:6" ht="12.75">
      <c r="A237" s="243"/>
      <c r="B237" s="38"/>
      <c r="C237" s="38"/>
      <c r="D237" s="38"/>
      <c r="E237" s="243"/>
      <c r="F237" s="243"/>
    </row>
    <row r="238" spans="1:6" ht="12.75">
      <c r="A238" s="243"/>
      <c r="B238" s="38"/>
      <c r="C238" s="38"/>
      <c r="D238" s="38"/>
      <c r="E238" s="243"/>
      <c r="F238" s="243"/>
    </row>
    <row r="239" spans="2:6" ht="12.75">
      <c r="B239" s="38"/>
      <c r="C239" s="38"/>
      <c r="D239" s="38"/>
      <c r="E239" s="243"/>
      <c r="F239" s="243"/>
    </row>
    <row r="240" spans="2:6" ht="12.75">
      <c r="B240" s="38"/>
      <c r="C240" s="38"/>
      <c r="D240" s="38"/>
      <c r="E240" s="243"/>
      <c r="F240" s="243"/>
    </row>
    <row r="241" spans="1:6" ht="12.75">
      <c r="A241" s="243"/>
      <c r="B241" s="38"/>
      <c r="C241" s="38"/>
      <c r="D241" s="38"/>
      <c r="E241" s="243"/>
      <c r="F241" s="243"/>
    </row>
    <row r="242" spans="1:6" ht="12.75">
      <c r="A242" s="243"/>
      <c r="B242" s="38"/>
      <c r="C242" s="38"/>
      <c r="D242" s="38"/>
      <c r="E242" s="243"/>
      <c r="F242" s="243"/>
    </row>
    <row r="243" spans="1:6" ht="12.75">
      <c r="A243" s="243"/>
      <c r="B243" s="38"/>
      <c r="C243" s="38"/>
      <c r="D243" s="38"/>
      <c r="E243" s="243"/>
      <c r="F243" s="243"/>
    </row>
    <row r="244" spans="1:6" ht="12.75">
      <c r="A244" s="243"/>
      <c r="B244" s="38"/>
      <c r="C244" s="38"/>
      <c r="D244" s="38"/>
      <c r="E244" s="243"/>
      <c r="F244" s="243"/>
    </row>
  </sheetData>
  <mergeCells count="8">
    <mergeCell ref="G197:K197"/>
    <mergeCell ref="A198:B198"/>
    <mergeCell ref="A200:B200"/>
    <mergeCell ref="G2:L2"/>
    <mergeCell ref="A4:F4"/>
    <mergeCell ref="G4:L4"/>
    <mergeCell ref="A5:F5"/>
    <mergeCell ref="G5:L5"/>
  </mergeCells>
  <printOptions/>
  <pageMargins left="0.75" right="0.19" top="1" bottom="1" header="0.5" footer="0.5"/>
  <pageSetup horizontalDpi="300" verticalDpi="300" orientation="portrait" paperSize="9" r:id="rId1"/>
  <rowBreaks count="4" manualBreakCount="4">
    <brk id="42" max="255" man="1"/>
    <brk id="91" max="255" man="1"/>
    <brk id="141" max="255" man="1"/>
    <brk id="1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113"/>
  <sheetViews>
    <sheetView workbookViewId="0" topLeftCell="H62">
      <selection activeCell="I68" sqref="I68"/>
    </sheetView>
  </sheetViews>
  <sheetFormatPr defaultColWidth="9.140625" defaultRowHeight="12.75"/>
  <cols>
    <col min="1" max="1" width="35.421875" style="248" hidden="1" customWidth="1"/>
    <col min="2" max="2" width="13.28125" style="288" hidden="1" customWidth="1"/>
    <col min="3" max="3" width="14.421875" style="288" hidden="1" customWidth="1"/>
    <col min="4" max="4" width="14.00390625" style="288" hidden="1" customWidth="1"/>
    <col min="5" max="6" width="12.28125" style="248" hidden="1" customWidth="1"/>
    <col min="7" max="7" width="13.140625" style="248" hidden="1" customWidth="1"/>
    <col min="8" max="8" width="30.140625" style="248" customWidth="1"/>
    <col min="9" max="9" width="12.28125" style="248" customWidth="1"/>
    <col min="10" max="10" width="12.140625" style="248" customWidth="1"/>
    <col min="11" max="11" width="9.57421875" style="248" customWidth="1"/>
    <col min="12" max="12" width="9.28125" style="248" customWidth="1"/>
    <col min="13" max="13" width="11.00390625" style="248" customWidth="1"/>
    <col min="14" max="14" width="10.7109375" style="248" customWidth="1"/>
    <col min="15" max="16384" width="7.8515625" style="248" customWidth="1"/>
  </cols>
  <sheetData>
    <row r="1" spans="1:14" ht="21" customHeight="1">
      <c r="A1" s="285" t="s">
        <v>180</v>
      </c>
      <c r="B1" s="286"/>
      <c r="C1" s="286"/>
      <c r="D1" s="286"/>
      <c r="E1" s="285"/>
      <c r="F1" s="285"/>
      <c r="G1" s="248" t="s">
        <v>456</v>
      </c>
      <c r="H1" s="285" t="s">
        <v>457</v>
      </c>
      <c r="I1" s="285"/>
      <c r="J1" s="285"/>
      <c r="K1" s="285"/>
      <c r="L1" s="285"/>
      <c r="M1" s="285"/>
      <c r="N1" s="287" t="s">
        <v>456</v>
      </c>
    </row>
    <row r="2" ht="0.75" customHeight="1" hidden="1"/>
    <row r="3" ht="20.25" customHeight="1"/>
    <row r="4" spans="1:14" ht="18.75" customHeight="1">
      <c r="A4" s="289"/>
      <c r="B4" s="290" t="s">
        <v>458</v>
      </c>
      <c r="C4" s="290"/>
      <c r="D4" s="290"/>
      <c r="E4" s="289"/>
      <c r="F4" s="289"/>
      <c r="G4" s="289"/>
      <c r="H4" s="291"/>
      <c r="I4" s="291"/>
      <c r="J4" s="291" t="s">
        <v>459</v>
      </c>
      <c r="K4" s="291"/>
      <c r="L4" s="291"/>
      <c r="M4" s="46"/>
      <c r="N4" s="289"/>
    </row>
    <row r="5" spans="1:14" ht="20.25" customHeight="1">
      <c r="A5" s="289"/>
      <c r="B5" s="290" t="s">
        <v>301</v>
      </c>
      <c r="C5" s="290"/>
      <c r="D5" s="290"/>
      <c r="E5" s="289"/>
      <c r="F5" s="289"/>
      <c r="G5" s="289"/>
      <c r="H5" s="291"/>
      <c r="I5" s="291"/>
      <c r="J5" s="291" t="s">
        <v>301</v>
      </c>
      <c r="K5" s="291"/>
      <c r="L5" s="291"/>
      <c r="M5" s="46"/>
      <c r="N5" s="289"/>
    </row>
    <row r="6" spans="1:14" ht="18" customHeight="1">
      <c r="A6" s="291"/>
      <c r="B6" s="292" t="s">
        <v>460</v>
      </c>
      <c r="C6" s="290"/>
      <c r="D6" s="290"/>
      <c r="E6" s="289"/>
      <c r="F6" s="289"/>
      <c r="G6" s="289"/>
      <c r="H6" s="291"/>
      <c r="I6" s="291"/>
      <c r="J6" s="291" t="s">
        <v>461</v>
      </c>
      <c r="K6" s="291"/>
      <c r="L6" s="291"/>
      <c r="M6" s="46"/>
      <c r="N6" s="289"/>
    </row>
    <row r="7" spans="7:14" ht="36" customHeight="1">
      <c r="G7" s="248" t="s">
        <v>462</v>
      </c>
      <c r="N7" s="287" t="s">
        <v>105</v>
      </c>
    </row>
    <row r="8" spans="1:14" s="2" customFormat="1" ht="95.25" customHeight="1">
      <c r="A8" s="86" t="s">
        <v>59</v>
      </c>
      <c r="B8" s="293" t="s">
        <v>106</v>
      </c>
      <c r="C8" s="293" t="s">
        <v>303</v>
      </c>
      <c r="D8" s="293" t="s">
        <v>107</v>
      </c>
      <c r="E8" s="86" t="s">
        <v>304</v>
      </c>
      <c r="F8" s="86" t="s">
        <v>463</v>
      </c>
      <c r="G8" s="86" t="s">
        <v>306</v>
      </c>
      <c r="H8" s="86" t="s">
        <v>59</v>
      </c>
      <c r="I8" s="86" t="s">
        <v>106</v>
      </c>
      <c r="J8" s="86" t="s">
        <v>303</v>
      </c>
      <c r="K8" s="86" t="s">
        <v>107</v>
      </c>
      <c r="L8" s="86" t="s">
        <v>304</v>
      </c>
      <c r="M8" s="86" t="s">
        <v>463</v>
      </c>
      <c r="N8" s="86" t="str">
        <f>G8</f>
        <v>Decembra  izpilde</v>
      </c>
    </row>
    <row r="9" spans="1:14" ht="14.25">
      <c r="A9" s="294">
        <v>1</v>
      </c>
      <c r="B9" s="295">
        <v>2</v>
      </c>
      <c r="C9" s="295">
        <v>3</v>
      </c>
      <c r="D9" s="295">
        <v>4</v>
      </c>
      <c r="E9" s="294">
        <v>5</v>
      </c>
      <c r="F9" s="294">
        <v>6</v>
      </c>
      <c r="G9" s="296">
        <v>7</v>
      </c>
      <c r="H9" s="294">
        <v>1</v>
      </c>
      <c r="I9" s="294">
        <v>2</v>
      </c>
      <c r="J9" s="294">
        <v>3</v>
      </c>
      <c r="K9" s="294">
        <v>4</v>
      </c>
      <c r="L9" s="294">
        <v>5</v>
      </c>
      <c r="M9" s="294">
        <v>6</v>
      </c>
      <c r="N9" s="294">
        <v>7</v>
      </c>
    </row>
    <row r="10" spans="1:14" ht="18.75" customHeight="1">
      <c r="A10" s="297" t="s">
        <v>464</v>
      </c>
      <c r="B10" s="298">
        <f>SUM(B11:B12:B13)</f>
        <v>692932778</v>
      </c>
      <c r="C10" s="298">
        <f>SUM(C11:C13)</f>
        <v>692932778</v>
      </c>
      <c r="D10" s="298">
        <f>SUM(D11:D13)</f>
        <v>682855525</v>
      </c>
      <c r="E10" s="299">
        <f>IF(ISERROR(D10/B10)," ",(D10/B10))</f>
        <v>0.9854570986970975</v>
      </c>
      <c r="F10" s="299">
        <f>IF(ISERROR(D10/C10)," ",(D10/C10))</f>
        <v>0.9854570986970975</v>
      </c>
      <c r="G10" s="300">
        <f>SUM(G11:G13)</f>
        <v>63095606</v>
      </c>
      <c r="H10" s="297" t="s">
        <v>464</v>
      </c>
      <c r="I10" s="301">
        <f>SUM(I11:I12:I13)</f>
        <v>692933</v>
      </c>
      <c r="J10" s="301">
        <f>SUM(J11:J13)</f>
        <v>692933</v>
      </c>
      <c r="K10" s="301">
        <f>SUM(K11:K13)</f>
        <v>682855</v>
      </c>
      <c r="L10" s="302">
        <f>IF(ISERROR(ROUND(K10,0)/ROUND(I10,0))," ",(ROUND(K10,)/ROUND(I10,)))*100</f>
        <v>98.54560253300103</v>
      </c>
      <c r="M10" s="302">
        <f aca="true" t="shared" si="0" ref="M10:M16">IF(ISERROR(ROUND(K10,0)/ROUND(J10,0))," ",(ROUND(K10,)/ROUND(J10,)))*100</f>
        <v>98.54560253300103</v>
      </c>
      <c r="N10" s="301">
        <f>SUM(N11:N13)</f>
        <v>63095</v>
      </c>
    </row>
    <row r="11" spans="1:14" ht="26.25" customHeight="1">
      <c r="A11" s="303" t="s">
        <v>465</v>
      </c>
      <c r="B11" s="304">
        <v>687847124</v>
      </c>
      <c r="C11" s="305">
        <f>202833085+485014039</f>
        <v>687847124</v>
      </c>
      <c r="D11" s="305">
        <f>'[7]Decembris'!$D$23+'[7]Decembris'!$D$30+'[7]Decembris'!$D$36+'[7]Decembris'!$D$41+'[7]Decembris'!$D$45+'[7]Decembris'!$D$52+'[7]Decembris'!$D$64+'[7]Decembris'!$D$73+'[7]Decembris'!$D$74+'[7]Decembris'!$D$75+'[7]Decembris'!$D$86+'[7]Decembris'!$D$93+'[7]Decembris'!$D$101+'[7]Decembris'!$D$102+'[7]Decembris'!$D$111+'[7]Decembris'!$D$168+'[7]Decembris'!$D$169+'[7]Decembris'!$D$175+'[7]Decembris'!$D$181</f>
        <v>678942384</v>
      </c>
      <c r="E11" s="306">
        <f aca="true" t="shared" si="1" ref="E11:E17">IF(ISERROR(D11/B11)," ",(D11/B11))</f>
        <v>0.9870541873487575</v>
      </c>
      <c r="F11" s="306">
        <f aca="true" t="shared" si="2" ref="F11:F17">IF(ISERROR(D11/C11)," ",(D11/C11))</f>
        <v>0.9870541873487575</v>
      </c>
      <c r="G11" s="307">
        <f>D11-'[8]Novembris'!D11</f>
        <v>62971703</v>
      </c>
      <c r="H11" s="62" t="s">
        <v>465</v>
      </c>
      <c r="I11" s="211">
        <f aca="true" t="shared" si="3" ref="I11:K13">ROUND(B11/1000,0)</f>
        <v>687847</v>
      </c>
      <c r="J11" s="211">
        <f t="shared" si="3"/>
        <v>687847</v>
      </c>
      <c r="K11" s="211">
        <f t="shared" si="3"/>
        <v>678942</v>
      </c>
      <c r="L11" s="308">
        <f>IF(ISERROR(ROUND(K11,0)/ROUND(I11,0))," ",(ROUND(K11,)/ROUND(I11,)))*100</f>
        <v>98.70538070239458</v>
      </c>
      <c r="M11" s="308">
        <f t="shared" si="0"/>
        <v>98.70538070239458</v>
      </c>
      <c r="N11" s="211">
        <f>K11-'[8]Novembris'!K11</f>
        <v>62971</v>
      </c>
    </row>
    <row r="12" spans="1:14" ht="27.75" customHeight="1">
      <c r="A12" s="303" t="s">
        <v>466</v>
      </c>
      <c r="B12" s="304">
        <v>2975801</v>
      </c>
      <c r="C12" s="305">
        <v>2975801</v>
      </c>
      <c r="D12" s="305">
        <f>'[7]Decembris'!$D$76+'[7]Decembris'!$D$103+'[7]Decembris'!$D$170+'[7]Decembris'!$D$188</f>
        <v>2814141</v>
      </c>
      <c r="E12" s="306">
        <f t="shared" si="1"/>
        <v>0.945675130830321</v>
      </c>
      <c r="F12" s="306">
        <f t="shared" si="2"/>
        <v>0.945675130830321</v>
      </c>
      <c r="G12" s="307">
        <f>D12-'[8]Novembris'!D12</f>
        <v>158780</v>
      </c>
      <c r="H12" s="62" t="s">
        <v>466</v>
      </c>
      <c r="I12" s="211">
        <f t="shared" si="3"/>
        <v>2976</v>
      </c>
      <c r="J12" s="211">
        <f t="shared" si="3"/>
        <v>2976</v>
      </c>
      <c r="K12" s="211">
        <f t="shared" si="3"/>
        <v>2814</v>
      </c>
      <c r="L12" s="308">
        <f aca="true" t="shared" si="4" ref="L12:L45">IF(ISERROR(ROUND(K12,0)/ROUND(I12,0))," ",(ROUND(K12,)/ROUND(I12,)))*100</f>
        <v>94.55645161290323</v>
      </c>
      <c r="M12" s="308">
        <f t="shared" si="0"/>
        <v>94.55645161290323</v>
      </c>
      <c r="N12" s="211">
        <f>K12-'[8]Novembris'!K12</f>
        <v>159</v>
      </c>
    </row>
    <row r="13" spans="1:14" ht="15.75" customHeight="1">
      <c r="A13" s="303" t="s">
        <v>467</v>
      </c>
      <c r="B13" s="304">
        <v>2109853</v>
      </c>
      <c r="C13" s="305">
        <v>2109853</v>
      </c>
      <c r="D13" s="305">
        <f>'[7]Decembris'!$D$77</f>
        <v>1099000</v>
      </c>
      <c r="E13" s="306">
        <f t="shared" si="1"/>
        <v>0.5208893700177216</v>
      </c>
      <c r="F13" s="306">
        <f t="shared" si="2"/>
        <v>0.5208893700177216</v>
      </c>
      <c r="G13" s="307">
        <f>D13-'[8]Novembris'!D13</f>
        <v>-34877</v>
      </c>
      <c r="H13" s="62" t="s">
        <v>467</v>
      </c>
      <c r="I13" s="211">
        <f t="shared" si="3"/>
        <v>2110</v>
      </c>
      <c r="J13" s="211">
        <f t="shared" si="3"/>
        <v>2110</v>
      </c>
      <c r="K13" s="211">
        <f t="shared" si="3"/>
        <v>1099</v>
      </c>
      <c r="L13" s="308">
        <f t="shared" si="4"/>
        <v>52.08530805687204</v>
      </c>
      <c r="M13" s="308">
        <f t="shared" si="0"/>
        <v>52.08530805687204</v>
      </c>
      <c r="N13" s="211">
        <f>K13-'[8]Novembris'!K13</f>
        <v>-35</v>
      </c>
    </row>
    <row r="14" spans="1:14" ht="21.75" customHeight="1">
      <c r="A14" s="297" t="s">
        <v>316</v>
      </c>
      <c r="B14" s="309">
        <f>SUM(B15,B36)</f>
        <v>737587665</v>
      </c>
      <c r="C14" s="309">
        <f>SUM(C15,C36)</f>
        <v>737587665</v>
      </c>
      <c r="D14" s="309">
        <f>SUM(D15,D36)</f>
        <v>717195118</v>
      </c>
      <c r="E14" s="299">
        <f t="shared" si="1"/>
        <v>0.9723523752257978</v>
      </c>
      <c r="F14" s="299">
        <f t="shared" si="2"/>
        <v>0.9723523752257978</v>
      </c>
      <c r="G14" s="310">
        <f>SUM(G15,G36)</f>
        <v>61043574</v>
      </c>
      <c r="H14" s="297" t="s">
        <v>316</v>
      </c>
      <c r="I14" s="309">
        <f>SUM(I15,I36)</f>
        <v>737587</v>
      </c>
      <c r="J14" s="309">
        <f>SUM(J15,J36)</f>
        <v>737587</v>
      </c>
      <c r="K14" s="309">
        <f>SUM(K15,K36)</f>
        <v>717195</v>
      </c>
      <c r="L14" s="311">
        <f t="shared" si="4"/>
        <v>97.23530919064463</v>
      </c>
      <c r="M14" s="302">
        <f t="shared" si="0"/>
        <v>97.23530919064463</v>
      </c>
      <c r="N14" s="309">
        <f>K14-'[8]Novembris'!K14</f>
        <v>61043</v>
      </c>
    </row>
    <row r="15" spans="1:14" ht="20.25" customHeight="1">
      <c r="A15" s="312" t="s">
        <v>468</v>
      </c>
      <c r="B15" s="313">
        <f>SUM(B16,B21,B24)</f>
        <v>705943293</v>
      </c>
      <c r="C15" s="313">
        <f>SUM(C16,C21,C24)</f>
        <v>705943293</v>
      </c>
      <c r="D15" s="313">
        <f>SUM(D16,D21,D24)</f>
        <v>688139420</v>
      </c>
      <c r="E15" s="299">
        <f t="shared" si="1"/>
        <v>0.9747800238680078</v>
      </c>
      <c r="F15" s="299">
        <f t="shared" si="2"/>
        <v>0.9747800238680078</v>
      </c>
      <c r="G15" s="314">
        <f>SUM(G16,G21,G24)</f>
        <v>55893192</v>
      </c>
      <c r="H15" s="312" t="s">
        <v>468</v>
      </c>
      <c r="I15" s="313">
        <f>SUM(I16,I21,I24)</f>
        <v>705943</v>
      </c>
      <c r="J15" s="313">
        <f>SUM(J16,J21,J24)</f>
        <v>705943</v>
      </c>
      <c r="K15" s="313">
        <f>SUM(K16,K21,K24)</f>
        <v>688139</v>
      </c>
      <c r="L15" s="311">
        <f t="shared" si="4"/>
        <v>97.47798334993053</v>
      </c>
      <c r="M15" s="302">
        <f t="shared" si="0"/>
        <v>97.47798334993053</v>
      </c>
      <c r="N15" s="309">
        <f>K15-'[8]Novembris'!K15+1</f>
        <v>55893</v>
      </c>
    </row>
    <row r="16" spans="1:14" ht="18.75" customHeight="1">
      <c r="A16" s="312" t="s">
        <v>318</v>
      </c>
      <c r="B16" s="313">
        <v>25706206</v>
      </c>
      <c r="C16" s="313">
        <f>25706206</f>
        <v>25706206</v>
      </c>
      <c r="D16" s="313">
        <f>SUM(D17,D18,D19,D20)</f>
        <v>25351374</v>
      </c>
      <c r="E16" s="299">
        <f t="shared" si="1"/>
        <v>0.9861966406088865</v>
      </c>
      <c r="F16" s="299">
        <f t="shared" si="2"/>
        <v>0.9861966406088865</v>
      </c>
      <c r="G16" s="314">
        <f>SUM(G17,G18,G19,G20)</f>
        <v>2419896</v>
      </c>
      <c r="H16" s="312" t="s">
        <v>318</v>
      </c>
      <c r="I16" s="313">
        <f>ROUND(B16/1000,0)</f>
        <v>25706</v>
      </c>
      <c r="J16" s="313">
        <f>ROUND(C16/1000,0)</f>
        <v>25706</v>
      </c>
      <c r="K16" s="313">
        <f>SUM(K17,K18,K19,K20)</f>
        <v>25351</v>
      </c>
      <c r="L16" s="311">
        <f t="shared" si="4"/>
        <v>98.61899945538006</v>
      </c>
      <c r="M16" s="302">
        <f t="shared" si="0"/>
        <v>98.61899945538006</v>
      </c>
      <c r="N16" s="309">
        <f>K16-'[8]Novembris'!K16+1</f>
        <v>2420</v>
      </c>
    </row>
    <row r="17" spans="1:14" ht="14.25">
      <c r="A17" s="315" t="s">
        <v>319</v>
      </c>
      <c r="B17" s="316">
        <v>1262850</v>
      </c>
      <c r="C17" s="316">
        <v>1262850</v>
      </c>
      <c r="D17" s="316">
        <f>'[6]Decembris'!$AA$10</f>
        <v>1226489</v>
      </c>
      <c r="E17" s="306">
        <f t="shared" si="1"/>
        <v>0.9712071900859168</v>
      </c>
      <c r="F17" s="306">
        <f t="shared" si="2"/>
        <v>0.9712071900859168</v>
      </c>
      <c r="G17" s="317">
        <f>D17-'[8]Novembris'!D17</f>
        <v>156432</v>
      </c>
      <c r="H17" s="252" t="s">
        <v>319</v>
      </c>
      <c r="I17" s="318">
        <f>ROUND(B17/1000,0)</f>
        <v>1263</v>
      </c>
      <c r="J17" s="318">
        <f>ROUND(C17/1000,0)</f>
        <v>1263</v>
      </c>
      <c r="K17" s="211">
        <f>ROUND(D17/1000,0)</f>
        <v>1226</v>
      </c>
      <c r="L17" s="308">
        <f t="shared" si="4"/>
        <v>97.07046714172604</v>
      </c>
      <c r="M17" s="308"/>
      <c r="N17" s="211">
        <f>K17-'[8]Novembris'!K17</f>
        <v>156</v>
      </c>
    </row>
    <row r="18" spans="1:14" ht="28.5">
      <c r="A18" s="303" t="s">
        <v>320</v>
      </c>
      <c r="B18" s="319" t="s">
        <v>66</v>
      </c>
      <c r="C18" s="319" t="s">
        <v>66</v>
      </c>
      <c r="D18" s="316">
        <f>'[6]Decembris'!$AA$11</f>
        <v>338336</v>
      </c>
      <c r="E18" s="320" t="s">
        <v>66</v>
      </c>
      <c r="F18" s="321" t="s">
        <v>66</v>
      </c>
      <c r="G18" s="317">
        <f>D18-'[8]Novembris'!D18</f>
        <v>38911</v>
      </c>
      <c r="H18" s="62" t="s">
        <v>320</v>
      </c>
      <c r="I18" s="213" t="s">
        <v>66</v>
      </c>
      <c r="J18" s="213" t="s">
        <v>66</v>
      </c>
      <c r="K18" s="211">
        <f>ROUND(D18/1000,0)</f>
        <v>338</v>
      </c>
      <c r="L18" s="322" t="s">
        <v>66</v>
      </c>
      <c r="M18" s="234" t="s">
        <v>66</v>
      </c>
      <c r="N18" s="211">
        <f>K18-'[8]Novembris'!K18</f>
        <v>39</v>
      </c>
    </row>
    <row r="19" spans="1:14" ht="14.25">
      <c r="A19" s="303" t="s">
        <v>321</v>
      </c>
      <c r="B19" s="319" t="s">
        <v>66</v>
      </c>
      <c r="C19" s="319" t="s">
        <v>66</v>
      </c>
      <c r="D19" s="316">
        <f>'[6]Decembris'!$AA$12</f>
        <v>20799971</v>
      </c>
      <c r="E19" s="320" t="s">
        <v>66</v>
      </c>
      <c r="F19" s="321" t="s">
        <v>66</v>
      </c>
      <c r="G19" s="317">
        <f>D19-'[8]Novembris'!D19</f>
        <v>2207118</v>
      </c>
      <c r="H19" s="62" t="s">
        <v>321</v>
      </c>
      <c r="I19" s="213" t="s">
        <v>66</v>
      </c>
      <c r="J19" s="213" t="s">
        <v>66</v>
      </c>
      <c r="K19" s="211">
        <f>ROUND(D19/1000,0)</f>
        <v>20800</v>
      </c>
      <c r="L19" s="322" t="s">
        <v>66</v>
      </c>
      <c r="M19" s="234" t="s">
        <v>66</v>
      </c>
      <c r="N19" s="211">
        <f>K19-'[8]Novembris'!K19</f>
        <v>2207</v>
      </c>
    </row>
    <row r="20" spans="1:14" ht="14.25">
      <c r="A20" s="303" t="s">
        <v>469</v>
      </c>
      <c r="B20" s="316">
        <v>2967682</v>
      </c>
      <c r="C20" s="319" t="s">
        <v>66</v>
      </c>
      <c r="D20" s="316">
        <f>'[6]Decembris'!$AA$15</f>
        <v>2986578</v>
      </c>
      <c r="E20" s="320" t="s">
        <v>66</v>
      </c>
      <c r="F20" s="321" t="s">
        <v>66</v>
      </c>
      <c r="G20" s="317">
        <f>D20-'[8]Novembris'!D20</f>
        <v>17435</v>
      </c>
      <c r="H20" s="62" t="s">
        <v>469</v>
      </c>
      <c r="I20" s="213" t="s">
        <v>66</v>
      </c>
      <c r="J20" s="213" t="s">
        <v>66</v>
      </c>
      <c r="K20" s="211">
        <f>ROUND(D20/1000,0)</f>
        <v>2987</v>
      </c>
      <c r="L20" s="322" t="s">
        <v>66</v>
      </c>
      <c r="M20" s="234" t="s">
        <v>66</v>
      </c>
      <c r="N20" s="211">
        <f>K20-'[8]Novembris'!K20</f>
        <v>18</v>
      </c>
    </row>
    <row r="21" spans="1:14" ht="30.75" customHeight="1">
      <c r="A21" s="323" t="s">
        <v>323</v>
      </c>
      <c r="B21" s="316">
        <v>5905794</v>
      </c>
      <c r="C21" s="316">
        <f>3304339+2601455</f>
        <v>5905794</v>
      </c>
      <c r="D21" s="316">
        <f>SUM(D22:D23)</f>
        <v>5549109</v>
      </c>
      <c r="E21" s="306">
        <f>IF(ISERROR(D21/B21)," ",(D21/B21))</f>
        <v>0.9396042259516671</v>
      </c>
      <c r="F21" s="306">
        <f>IF(ISERROR(D21/C21)," ",(D21/C21))</f>
        <v>0.9396042259516671</v>
      </c>
      <c r="G21" s="317">
        <f>SUM(G22:G23)</f>
        <v>23143</v>
      </c>
      <c r="H21" s="323" t="s">
        <v>323</v>
      </c>
      <c r="I21" s="301">
        <f>ROUND(B21/1000,0)</f>
        <v>5906</v>
      </c>
      <c r="J21" s="301">
        <f>ROUND(C21/1000,0)</f>
        <v>5906</v>
      </c>
      <c r="K21" s="324">
        <f>SUM(K22:K23)</f>
        <v>5549</v>
      </c>
      <c r="L21" s="302">
        <f t="shared" si="4"/>
        <v>93.9552996952252</v>
      </c>
      <c r="M21" s="302">
        <f>IF(ISERROR(ROUND(K21,0)/ROUND(J21,0))," ",(ROUND(K21,)/ROUND(J21,)))*100</f>
        <v>93.9552996952252</v>
      </c>
      <c r="N21" s="301">
        <f>K21-'[8]Novembris'!K21</f>
        <v>23</v>
      </c>
    </row>
    <row r="22" spans="1:14" ht="27.75" customHeight="1">
      <c r="A22" s="303" t="s">
        <v>470</v>
      </c>
      <c r="B22" s="319" t="s">
        <v>66</v>
      </c>
      <c r="C22" s="319" t="s">
        <v>66</v>
      </c>
      <c r="D22" s="316">
        <f>'[6]Decembris'!$AA$17</f>
        <v>3671260</v>
      </c>
      <c r="E22" s="320" t="s">
        <v>66</v>
      </c>
      <c r="F22" s="321" t="s">
        <v>66</v>
      </c>
      <c r="G22" s="317">
        <f>D22-'[8]Novembris'!D22</f>
        <v>23144</v>
      </c>
      <c r="H22" s="62" t="s">
        <v>470</v>
      </c>
      <c r="I22" s="213" t="s">
        <v>66</v>
      </c>
      <c r="J22" s="213" t="s">
        <v>66</v>
      </c>
      <c r="K22" s="211">
        <f>ROUND(D22/1000,0)</f>
        <v>3671</v>
      </c>
      <c r="L22" s="234" t="s">
        <v>66</v>
      </c>
      <c r="M22" s="234" t="s">
        <v>66</v>
      </c>
      <c r="N22" s="211">
        <f>K22-'[8]Novembris'!K22</f>
        <v>23</v>
      </c>
    </row>
    <row r="23" spans="1:14" ht="27" customHeight="1">
      <c r="A23" s="303" t="s">
        <v>471</v>
      </c>
      <c r="B23" s="319" t="s">
        <v>66</v>
      </c>
      <c r="C23" s="319" t="s">
        <v>66</v>
      </c>
      <c r="D23" s="316">
        <f>'[6]Decembris'!$AA$18</f>
        <v>1877849</v>
      </c>
      <c r="E23" s="320" t="s">
        <v>66</v>
      </c>
      <c r="F23" s="321" t="s">
        <v>66</v>
      </c>
      <c r="G23" s="317">
        <f>D23-'[8]Novembris'!D23</f>
        <v>-1</v>
      </c>
      <c r="H23" s="62" t="s">
        <v>471</v>
      </c>
      <c r="I23" s="213" t="s">
        <v>66</v>
      </c>
      <c r="J23" s="213" t="s">
        <v>66</v>
      </c>
      <c r="K23" s="211">
        <f>ROUND(D23/1000,0)</f>
        <v>1878</v>
      </c>
      <c r="L23" s="234" t="s">
        <v>66</v>
      </c>
      <c r="M23" s="234" t="s">
        <v>66</v>
      </c>
      <c r="N23" s="211">
        <f>K23-'[8]Novembris'!K23</f>
        <v>0</v>
      </c>
    </row>
    <row r="24" spans="1:14" ht="16.5" customHeight="1">
      <c r="A24" s="325" t="s">
        <v>328</v>
      </c>
      <c r="B24" s="316">
        <v>674331293</v>
      </c>
      <c r="C24" s="316">
        <f>160762584+513568709</f>
        <v>674331293</v>
      </c>
      <c r="D24" s="316">
        <f>SUM(D25,D26,D28,D27,D29,D34,D35)</f>
        <v>657238937</v>
      </c>
      <c r="E24" s="306">
        <f>IF(ISERROR(D24/B24)," ",(D24/B24))</f>
        <v>0.974652880301671</v>
      </c>
      <c r="F24" s="306">
        <f>IF(ISERROR(D24/C24)," ",(D24/C24))</f>
        <v>0.974652880301671</v>
      </c>
      <c r="G24" s="317">
        <f>SUM(G25,G26,G28,G27,G29,G34,G35)</f>
        <v>53450153</v>
      </c>
      <c r="H24" s="325" t="s">
        <v>328</v>
      </c>
      <c r="I24" s="301">
        <f>ROUND(B24/1000,0)</f>
        <v>674331</v>
      </c>
      <c r="J24" s="301">
        <f>ROUND(C24/1000,0)</f>
        <v>674331</v>
      </c>
      <c r="K24" s="324">
        <f>SUM(K25,K26,K27,K28,K29,K34,K35)</f>
        <v>657239</v>
      </c>
      <c r="L24" s="302">
        <f t="shared" si="4"/>
        <v>97.46533972188732</v>
      </c>
      <c r="M24" s="302">
        <f>IF(ISERROR(ROUND(K24,0)/ROUND(J24,0))," ",(ROUND(K24,)/ROUND(J24,)))*100</f>
        <v>97.46533972188732</v>
      </c>
      <c r="N24" s="301">
        <f>K24-'[8]Novembris'!K24</f>
        <v>53450</v>
      </c>
    </row>
    <row r="25" spans="1:14" ht="15.75" customHeight="1">
      <c r="A25" s="315" t="s">
        <v>329</v>
      </c>
      <c r="B25" s="319" t="s">
        <v>66</v>
      </c>
      <c r="C25" s="319" t="s">
        <v>66</v>
      </c>
      <c r="D25" s="316">
        <f>'[6]Decembris'!$AA$20</f>
        <v>2692300</v>
      </c>
      <c r="E25" s="320" t="s">
        <v>66</v>
      </c>
      <c r="F25" s="321" t="s">
        <v>66</v>
      </c>
      <c r="G25" s="317">
        <f>D25-'[8]Novembris'!D25</f>
        <v>748269</v>
      </c>
      <c r="H25" s="252" t="s">
        <v>329</v>
      </c>
      <c r="I25" s="213" t="s">
        <v>66</v>
      </c>
      <c r="J25" s="213" t="s">
        <v>66</v>
      </c>
      <c r="K25" s="211">
        <f>ROUND(D25/1000,0)</f>
        <v>2692</v>
      </c>
      <c r="L25" s="234" t="s">
        <v>66</v>
      </c>
      <c r="M25" s="234" t="s">
        <v>66</v>
      </c>
      <c r="N25" s="211">
        <f>K25-'[8]Novembris'!K25</f>
        <v>748</v>
      </c>
    </row>
    <row r="26" spans="1:14" ht="14.25">
      <c r="A26" s="315" t="s">
        <v>330</v>
      </c>
      <c r="B26" s="319" t="s">
        <v>66</v>
      </c>
      <c r="C26" s="319" t="s">
        <v>66</v>
      </c>
      <c r="D26" s="316">
        <f>'[6]Decembris'!$AA$21</f>
        <v>18044365</v>
      </c>
      <c r="E26" s="320" t="s">
        <v>66</v>
      </c>
      <c r="F26" s="321" t="s">
        <v>66</v>
      </c>
      <c r="G26" s="317">
        <f>D26-'[8]Novembris'!D26</f>
        <v>1638065</v>
      </c>
      <c r="H26" s="252" t="s">
        <v>472</v>
      </c>
      <c r="I26" s="213" t="s">
        <v>66</v>
      </c>
      <c r="J26" s="213" t="s">
        <v>66</v>
      </c>
      <c r="K26" s="211">
        <f>ROUND(D26/1000,0)+1</f>
        <v>18045</v>
      </c>
      <c r="L26" s="234" t="s">
        <v>66</v>
      </c>
      <c r="M26" s="234" t="s">
        <v>66</v>
      </c>
      <c r="N26" s="211">
        <f>K26-'[8]Novembris'!K26</f>
        <v>1639</v>
      </c>
    </row>
    <row r="27" spans="1:14" ht="14.25">
      <c r="A27" s="315" t="s">
        <v>331</v>
      </c>
      <c r="B27" s="319" t="s">
        <v>66</v>
      </c>
      <c r="C27" s="319" t="s">
        <v>66</v>
      </c>
      <c r="D27" s="316"/>
      <c r="E27" s="321" t="s">
        <v>66</v>
      </c>
      <c r="F27" s="321" t="s">
        <v>66</v>
      </c>
      <c r="G27" s="317">
        <f>D27-'[8]Novembris'!D27</f>
        <v>0</v>
      </c>
      <c r="H27" s="252" t="s">
        <v>331</v>
      </c>
      <c r="I27" s="234" t="s">
        <v>66</v>
      </c>
      <c r="J27" s="234" t="s">
        <v>66</v>
      </c>
      <c r="K27" s="211">
        <f>ROUND(D27/1000,0)</f>
        <v>0</v>
      </c>
      <c r="L27" s="234" t="s">
        <v>66</v>
      </c>
      <c r="M27" s="234" t="s">
        <v>66</v>
      </c>
      <c r="N27" s="211">
        <f>K27-'[8]Novembris'!K27</f>
        <v>0</v>
      </c>
    </row>
    <row r="28" spans="1:14" ht="28.5">
      <c r="A28" s="303" t="s">
        <v>332</v>
      </c>
      <c r="B28" s="319" t="s">
        <v>66</v>
      </c>
      <c r="C28" s="319" t="s">
        <v>66</v>
      </c>
      <c r="D28" s="316">
        <f>'[6]Decembris'!$AA$23-D35</f>
        <v>149688201</v>
      </c>
      <c r="E28" s="320" t="s">
        <v>66</v>
      </c>
      <c r="F28" s="321" t="s">
        <v>66</v>
      </c>
      <c r="G28" s="317">
        <f>D28-'[8]Novembris'!D28</f>
        <v>14151629</v>
      </c>
      <c r="H28" s="62" t="s">
        <v>332</v>
      </c>
      <c r="I28" s="213" t="s">
        <v>66</v>
      </c>
      <c r="J28" s="213" t="s">
        <v>66</v>
      </c>
      <c r="K28" s="211">
        <f>ROUND(D28/1000,0)</f>
        <v>149688</v>
      </c>
      <c r="L28" s="234" t="s">
        <v>66</v>
      </c>
      <c r="M28" s="234" t="s">
        <v>66</v>
      </c>
      <c r="N28" s="211">
        <f>K28-'[8]Novembris'!K28</f>
        <v>14151</v>
      </c>
    </row>
    <row r="29" spans="1:14" ht="15" customHeight="1">
      <c r="A29" s="303" t="s">
        <v>473</v>
      </c>
      <c r="B29" s="319" t="s">
        <v>66</v>
      </c>
      <c r="C29" s="319" t="s">
        <v>66</v>
      </c>
      <c r="D29" s="316">
        <f>SUM(D30:D33)</f>
        <v>485557044</v>
      </c>
      <c r="E29" s="320" t="s">
        <v>66</v>
      </c>
      <c r="F29" s="321" t="s">
        <v>66</v>
      </c>
      <c r="G29" s="317">
        <f>SUM(G30:G33)</f>
        <v>36812090</v>
      </c>
      <c r="H29" s="62" t="s">
        <v>337</v>
      </c>
      <c r="I29" s="213" t="s">
        <v>66</v>
      </c>
      <c r="J29" s="213" t="s">
        <v>66</v>
      </c>
      <c r="K29" s="254">
        <f>SUM(K30:K33)</f>
        <v>485557</v>
      </c>
      <c r="L29" s="234" t="s">
        <v>66</v>
      </c>
      <c r="M29" s="234" t="s">
        <v>66</v>
      </c>
      <c r="N29" s="211">
        <f>K29-'[8]Novembris'!K29</f>
        <v>36812</v>
      </c>
    </row>
    <row r="30" spans="1:14" s="332" customFormat="1" ht="15" customHeight="1">
      <c r="A30" s="326" t="s">
        <v>474</v>
      </c>
      <c r="B30" s="327" t="s">
        <v>66</v>
      </c>
      <c r="C30" s="327" t="s">
        <v>66</v>
      </c>
      <c r="D30" s="328">
        <v>444961963</v>
      </c>
      <c r="E30" s="329" t="s">
        <v>66</v>
      </c>
      <c r="F30" s="330" t="s">
        <v>66</v>
      </c>
      <c r="G30" s="317">
        <f>D30-'[8]Novembris'!D30</f>
        <v>34323879</v>
      </c>
      <c r="H30" s="231" t="s">
        <v>474</v>
      </c>
      <c r="I30" s="228" t="s">
        <v>66</v>
      </c>
      <c r="J30" s="228" t="s">
        <v>66</v>
      </c>
      <c r="K30" s="211">
        <f aca="true" t="shared" si="5" ref="K30:K35">ROUND(D30/1000,0)</f>
        <v>444962</v>
      </c>
      <c r="L30" s="234" t="s">
        <v>66</v>
      </c>
      <c r="M30" s="331" t="s">
        <v>66</v>
      </c>
      <c r="N30" s="211">
        <f>K30-'[8]Novembris'!K30</f>
        <v>34324</v>
      </c>
    </row>
    <row r="31" spans="1:14" s="332" customFormat="1" ht="15" customHeight="1">
      <c r="A31" s="326" t="s">
        <v>475</v>
      </c>
      <c r="B31" s="327" t="s">
        <v>66</v>
      </c>
      <c r="C31" s="327" t="s">
        <v>66</v>
      </c>
      <c r="D31" s="328">
        <v>39421727</v>
      </c>
      <c r="E31" s="329" t="s">
        <v>66</v>
      </c>
      <c r="F31" s="330" t="s">
        <v>66</v>
      </c>
      <c r="G31" s="317">
        <f>D31-'[8]Novembris'!D31</f>
        <v>2287512</v>
      </c>
      <c r="H31" s="231" t="s">
        <v>475</v>
      </c>
      <c r="I31" s="228" t="s">
        <v>66</v>
      </c>
      <c r="J31" s="228" t="s">
        <v>66</v>
      </c>
      <c r="K31" s="211">
        <f t="shared" si="5"/>
        <v>39422</v>
      </c>
      <c r="L31" s="234" t="s">
        <v>66</v>
      </c>
      <c r="M31" s="331" t="s">
        <v>66</v>
      </c>
      <c r="N31" s="211">
        <f>K31-'[8]Novembris'!K31</f>
        <v>2288</v>
      </c>
    </row>
    <row r="32" spans="1:14" s="332" customFormat="1" ht="15" customHeight="1">
      <c r="A32" s="326" t="s">
        <v>476</v>
      </c>
      <c r="B32" s="327" t="s">
        <v>66</v>
      </c>
      <c r="C32" s="327" t="s">
        <v>66</v>
      </c>
      <c r="D32" s="328">
        <v>612868</v>
      </c>
      <c r="E32" s="329" t="s">
        <v>66</v>
      </c>
      <c r="F32" s="330" t="s">
        <v>66</v>
      </c>
      <c r="G32" s="317">
        <f>D32-'[8]Novembris'!D32</f>
        <v>40386</v>
      </c>
      <c r="H32" s="231" t="s">
        <v>476</v>
      </c>
      <c r="I32" s="228" t="s">
        <v>66</v>
      </c>
      <c r="J32" s="228" t="s">
        <v>66</v>
      </c>
      <c r="K32" s="211">
        <f>ROUND(D32/1000,0)</f>
        <v>613</v>
      </c>
      <c r="L32" s="234" t="s">
        <v>66</v>
      </c>
      <c r="M32" s="331" t="s">
        <v>66</v>
      </c>
      <c r="N32" s="211">
        <f>K32-'[8]Novembris'!K32</f>
        <v>40</v>
      </c>
    </row>
    <row r="33" spans="1:14" s="332" customFormat="1" ht="15" customHeight="1">
      <c r="A33" s="326" t="s">
        <v>477</v>
      </c>
      <c r="B33" s="327" t="s">
        <v>66</v>
      </c>
      <c r="C33" s="327" t="s">
        <v>66</v>
      </c>
      <c r="D33" s="328">
        <f>560484+2</f>
        <v>560486</v>
      </c>
      <c r="E33" s="329" t="s">
        <v>66</v>
      </c>
      <c r="F33" s="330" t="s">
        <v>66</v>
      </c>
      <c r="G33" s="317">
        <f>D33-'[8]Novembris'!D33</f>
        <v>160313</v>
      </c>
      <c r="H33" s="231" t="s">
        <v>477</v>
      </c>
      <c r="I33" s="228" t="s">
        <v>66</v>
      </c>
      <c r="J33" s="228" t="s">
        <v>66</v>
      </c>
      <c r="K33" s="333">
        <f t="shared" si="5"/>
        <v>560</v>
      </c>
      <c r="L33" s="234" t="s">
        <v>66</v>
      </c>
      <c r="M33" s="331" t="s">
        <v>66</v>
      </c>
      <c r="N33" s="211">
        <f>K33-'[8]Novembris'!K33</f>
        <v>160</v>
      </c>
    </row>
    <row r="34" spans="1:14" ht="28.5">
      <c r="A34" s="303" t="s">
        <v>478</v>
      </c>
      <c r="B34" s="327">
        <v>55765</v>
      </c>
      <c r="C34" s="327">
        <v>55765</v>
      </c>
      <c r="D34" s="316">
        <f>'[6]Decembris'!$AA$29</f>
        <v>55827</v>
      </c>
      <c r="E34" s="306">
        <f>IF(ISERROR(D34/B34)," ",(D34/B34))</f>
        <v>1.0011118084820227</v>
      </c>
      <c r="F34" s="306">
        <f>IF(ISERROR(D34/C34)," ",(D34/C34))</f>
        <v>1.0011118084820227</v>
      </c>
      <c r="G34" s="317">
        <f>D34-'[8]Novembris'!D34</f>
        <v>0</v>
      </c>
      <c r="H34" s="62" t="s">
        <v>478</v>
      </c>
      <c r="I34" s="207">
        <f>ROUND(B34/1000,0)</f>
        <v>56</v>
      </c>
      <c r="J34" s="207">
        <f>ROUND(C34/1000,0)</f>
        <v>56</v>
      </c>
      <c r="K34" s="211">
        <f t="shared" si="5"/>
        <v>56</v>
      </c>
      <c r="L34" s="308">
        <f t="shared" si="4"/>
        <v>100</v>
      </c>
      <c r="M34" s="308"/>
      <c r="N34" s="211">
        <v>0</v>
      </c>
    </row>
    <row r="35" spans="1:14" ht="42.75">
      <c r="A35" s="303" t="s">
        <v>479</v>
      </c>
      <c r="B35" s="327">
        <v>1201200</v>
      </c>
      <c r="C35" s="327" t="s">
        <v>66</v>
      </c>
      <c r="D35" s="316">
        <f>'[6]Decembris'!$C$24</f>
        <v>1201200</v>
      </c>
      <c r="E35" s="306">
        <f>IF(ISERROR(D35/B35)," ",(D35/B35))</f>
        <v>1</v>
      </c>
      <c r="F35" s="330" t="s">
        <v>66</v>
      </c>
      <c r="G35" s="317">
        <f>D35-'[8]Novembris'!D35</f>
        <v>100100</v>
      </c>
      <c r="H35" s="62" t="s">
        <v>479</v>
      </c>
      <c r="I35" s="207">
        <f>ROUND(B35/1000,0)</f>
        <v>1201</v>
      </c>
      <c r="J35" s="228" t="s">
        <v>66</v>
      </c>
      <c r="K35" s="211">
        <f t="shared" si="5"/>
        <v>1201</v>
      </c>
      <c r="L35" s="308">
        <f t="shared" si="4"/>
        <v>100</v>
      </c>
      <c r="M35" s="331" t="s">
        <v>66</v>
      </c>
      <c r="N35" s="211">
        <f>K35-'[8]Novembris'!K35</f>
        <v>100</v>
      </c>
    </row>
    <row r="36" spans="1:14" ht="32.25" customHeight="1">
      <c r="A36" s="334" t="s">
        <v>347</v>
      </c>
      <c r="B36" s="335">
        <f>SUM(B37:B38)</f>
        <v>31644372</v>
      </c>
      <c r="C36" s="335">
        <f>SUM(C37:C38)</f>
        <v>31644372</v>
      </c>
      <c r="D36" s="335">
        <f>SUM(D37:D38)</f>
        <v>29055698</v>
      </c>
      <c r="E36" s="299">
        <f>IF(ISERROR(D36/B36)," ",(D36/B36))</f>
        <v>0.9181948056987828</v>
      </c>
      <c r="F36" s="299">
        <f>IF(ISERROR(D36/C36)," ",(D36/C36))</f>
        <v>0.9181948056987828</v>
      </c>
      <c r="G36" s="336">
        <f>SUM(G37:G38)</f>
        <v>5150382</v>
      </c>
      <c r="H36" s="334" t="s">
        <v>347</v>
      </c>
      <c r="I36" s="335">
        <f>SUM(I37:I38)</f>
        <v>31644</v>
      </c>
      <c r="J36" s="335">
        <f>SUM(J37:J38)</f>
        <v>31644</v>
      </c>
      <c r="K36" s="335">
        <f>SUM(K37:K38)</f>
        <v>29056</v>
      </c>
      <c r="L36" s="302">
        <f t="shared" si="4"/>
        <v>91.82151434711162</v>
      </c>
      <c r="M36" s="337">
        <f>IF(ISERROR(ROUND(K36,0)/ROUND(J36,0))," ",(ROUND(K36,)/ROUND(J36,)))*100</f>
        <v>91.82151434711162</v>
      </c>
      <c r="N36" s="335">
        <f>SUM(N37:N38)</f>
        <v>5150</v>
      </c>
    </row>
    <row r="37" spans="1:14" ht="18" customHeight="1">
      <c r="A37" s="303" t="s">
        <v>349</v>
      </c>
      <c r="B37" s="338">
        <v>11036396</v>
      </c>
      <c r="C37" s="338">
        <v>11036396</v>
      </c>
      <c r="D37" s="316">
        <f>'[6]Decembris'!$AA$31</f>
        <v>10608341</v>
      </c>
      <c r="E37" s="306">
        <f>IF(ISERROR(D37/B37)," ",(D37/B37))</f>
        <v>0.9612142405908596</v>
      </c>
      <c r="F37" s="306">
        <f>IF(ISERROR(D37/C37)," ",(D37/C37))</f>
        <v>0.9612142405908596</v>
      </c>
      <c r="G37" s="317">
        <f>D37-'[8]Novembris'!D37</f>
        <v>1620884</v>
      </c>
      <c r="H37" s="62" t="s">
        <v>349</v>
      </c>
      <c r="I37" s="318">
        <f aca="true" t="shared" si="6" ref="I37:K38">ROUND(B37/1000,0)</f>
        <v>11036</v>
      </c>
      <c r="J37" s="318">
        <f t="shared" si="6"/>
        <v>11036</v>
      </c>
      <c r="K37" s="211">
        <f t="shared" si="6"/>
        <v>10608</v>
      </c>
      <c r="L37" s="308">
        <f t="shared" si="4"/>
        <v>96.12178325480247</v>
      </c>
      <c r="M37" s="308"/>
      <c r="N37" s="211">
        <f>K37-'[8]Novembris'!K37-1</f>
        <v>1620</v>
      </c>
    </row>
    <row r="38" spans="1:14" ht="14.25">
      <c r="A38" s="303" t="s">
        <v>351</v>
      </c>
      <c r="B38" s="338">
        <v>20607976</v>
      </c>
      <c r="C38" s="338">
        <f>18056719+2551257</f>
        <v>20607976</v>
      </c>
      <c r="D38" s="328">
        <f>'[6]Decembris'!$AA$32</f>
        <v>18447357</v>
      </c>
      <c r="E38" s="306">
        <f>IF(ISERROR(D38/B38)," ",(D38/B38))</f>
        <v>0.8951561764241185</v>
      </c>
      <c r="F38" s="306">
        <f>IF(ISERROR(D38/C38)," ",(D38/C38))</f>
        <v>0.8951561764241185</v>
      </c>
      <c r="G38" s="317">
        <f>D38-'[8]Novembris'!D38</f>
        <v>3529498</v>
      </c>
      <c r="H38" s="62" t="s">
        <v>351</v>
      </c>
      <c r="I38" s="318">
        <f t="shared" si="6"/>
        <v>20608</v>
      </c>
      <c r="J38" s="318">
        <f t="shared" si="6"/>
        <v>20608</v>
      </c>
      <c r="K38" s="211">
        <f>ROUND(D38/1000,0)+1</f>
        <v>18448</v>
      </c>
      <c r="L38" s="308">
        <f t="shared" si="4"/>
        <v>89.51863354037268</v>
      </c>
      <c r="M38" s="308">
        <f>IF(ISERROR(ROUND(K38,0)/ROUND(J38,0))," ",(ROUND(K38,)/ROUND(J38,)))*100</f>
        <v>89.51863354037268</v>
      </c>
      <c r="N38" s="211">
        <f>K38-'[8]Novembris'!K38</f>
        <v>3530</v>
      </c>
    </row>
    <row r="39" spans="1:14" ht="30.75" customHeight="1">
      <c r="A39" s="323" t="s">
        <v>480</v>
      </c>
      <c r="B39" s="313">
        <f>SUM(B40-B41)</f>
        <v>6739620</v>
      </c>
      <c r="C39" s="319" t="s">
        <v>66</v>
      </c>
      <c r="D39" s="313">
        <f>SUM(D40-D41)</f>
        <v>5365094</v>
      </c>
      <c r="E39" s="320" t="s">
        <v>66</v>
      </c>
      <c r="F39" s="321" t="s">
        <v>66</v>
      </c>
      <c r="G39" s="314">
        <f>SUM(G40-G41)</f>
        <v>680343</v>
      </c>
      <c r="H39" s="323" t="s">
        <v>480</v>
      </c>
      <c r="I39" s="313">
        <f>ROUND(B39/1000,0)</f>
        <v>6740</v>
      </c>
      <c r="J39" s="319" t="s">
        <v>66</v>
      </c>
      <c r="K39" s="313">
        <f>SUM(K40-K41)</f>
        <v>5365</v>
      </c>
      <c r="L39" s="321" t="s">
        <v>66</v>
      </c>
      <c r="M39" s="321" t="s">
        <v>66</v>
      </c>
      <c r="N39" s="301">
        <f>K39-'[8]Novembris'!K39-1</f>
        <v>680</v>
      </c>
    </row>
    <row r="40" spans="1:14" ht="19.5" customHeight="1">
      <c r="A40" s="315" t="s">
        <v>355</v>
      </c>
      <c r="B40" s="338">
        <v>6756000</v>
      </c>
      <c r="C40" s="319">
        <v>6756000</v>
      </c>
      <c r="D40" s="316">
        <f>'[6]Decembris'!$AA$34</f>
        <v>5426134</v>
      </c>
      <c r="E40" s="306">
        <f aca="true" t="shared" si="7" ref="E40:E45">IF(ISERROR(D40/B40)," ",(D40/B40))</f>
        <v>0.8031577856719953</v>
      </c>
      <c r="F40" s="306">
        <f>IF(ISERROR(D40/C40)," ",(D40/C40))</f>
        <v>0.8031577856719953</v>
      </c>
      <c r="G40" s="317">
        <f>D40-'[8]Novembris'!D40</f>
        <v>689653</v>
      </c>
      <c r="H40" s="252" t="s">
        <v>355</v>
      </c>
      <c r="I40" s="211">
        <f>ROUND(B40/1000,0)</f>
        <v>6756</v>
      </c>
      <c r="J40" s="211">
        <f>ROUND(C40/1000,0)</f>
        <v>6756</v>
      </c>
      <c r="K40" s="211">
        <f>ROUND(D40/1000,0)</f>
        <v>5426</v>
      </c>
      <c r="L40" s="308">
        <f t="shared" si="4"/>
        <v>80.31379514505625</v>
      </c>
      <c r="M40" s="308"/>
      <c r="N40" s="211">
        <f>K40-'[8]Novembris'!K40-1</f>
        <v>689</v>
      </c>
    </row>
    <row r="41" spans="1:14" ht="27.75" customHeight="1">
      <c r="A41" s="339" t="s">
        <v>357</v>
      </c>
      <c r="B41" s="338">
        <v>16380</v>
      </c>
      <c r="C41" s="319">
        <v>16380</v>
      </c>
      <c r="D41" s="316">
        <f>-'[6]Decembris'!$AA$35</f>
        <v>61040</v>
      </c>
      <c r="E41" s="306">
        <f t="shared" si="7"/>
        <v>3.7264957264957266</v>
      </c>
      <c r="F41" s="306">
        <f>IF(ISERROR(D41/C41)," ",(D41/C41))</f>
        <v>3.7264957264957266</v>
      </c>
      <c r="G41" s="317">
        <f>D41-'[8]Novembris'!D41</f>
        <v>9310</v>
      </c>
      <c r="H41" s="179" t="s">
        <v>357</v>
      </c>
      <c r="I41" s="211">
        <f>ROUND(B41/1000,0)</f>
        <v>16</v>
      </c>
      <c r="J41" s="211">
        <f>ROUND(C41/1000,0)</f>
        <v>16</v>
      </c>
      <c r="K41" s="211">
        <f>ROUND(D41/1000,0)</f>
        <v>61</v>
      </c>
      <c r="L41" s="308">
        <f t="shared" si="4"/>
        <v>381.25</v>
      </c>
      <c r="M41" s="234" t="s">
        <v>66</v>
      </c>
      <c r="N41" s="211">
        <f>K41-'[8]Novembris'!K41</f>
        <v>9</v>
      </c>
    </row>
    <row r="42" spans="1:163" s="340" customFormat="1" ht="21.75" customHeight="1">
      <c r="A42" s="323" t="s">
        <v>481</v>
      </c>
      <c r="B42" s="335">
        <f>SUM(B10-B14-B39)</f>
        <v>-51394507</v>
      </c>
      <c r="C42" s="319" t="s">
        <v>66</v>
      </c>
      <c r="D42" s="335">
        <f>SUM(D10-D14-D39)</f>
        <v>-39704687</v>
      </c>
      <c r="E42" s="299">
        <f t="shared" si="7"/>
        <v>0.7725472879815736</v>
      </c>
      <c r="F42" s="321" t="s">
        <v>66</v>
      </c>
      <c r="G42" s="336">
        <f>SUM(G10-G14-G39)</f>
        <v>1371689</v>
      </c>
      <c r="H42" s="323" t="s">
        <v>481</v>
      </c>
      <c r="I42" s="335">
        <f>ROUND(B42/1000,0)+1</f>
        <v>-51394</v>
      </c>
      <c r="J42" s="319" t="s">
        <v>66</v>
      </c>
      <c r="K42" s="335">
        <f>SUM(K10-K14-K39)</f>
        <v>-39705</v>
      </c>
      <c r="L42" s="302">
        <f t="shared" si="4"/>
        <v>77.25609993384441</v>
      </c>
      <c r="M42" s="321" t="s">
        <v>66</v>
      </c>
      <c r="N42" s="301">
        <f>K42-'[8]Novembris'!K42</f>
        <v>1371</v>
      </c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</row>
    <row r="43" spans="1:163" s="340" customFormat="1" ht="18" customHeight="1">
      <c r="A43" s="323" t="s">
        <v>361</v>
      </c>
      <c r="B43" s="313">
        <f>SUM(B44:B45)</f>
        <v>51394507</v>
      </c>
      <c r="C43" s="319" t="s">
        <v>66</v>
      </c>
      <c r="D43" s="313">
        <f>SUM(D44:D45)</f>
        <v>39704687</v>
      </c>
      <c r="E43" s="306">
        <f t="shared" si="7"/>
        <v>0.7725472879815736</v>
      </c>
      <c r="F43" s="321" t="s">
        <v>66</v>
      </c>
      <c r="G43" s="314">
        <f>SUM(G44:G45)</f>
        <v>-1371689</v>
      </c>
      <c r="H43" s="323" t="s">
        <v>361</v>
      </c>
      <c r="I43" s="313">
        <f>ROUND(B43/1000,0)-1</f>
        <v>51394</v>
      </c>
      <c r="J43" s="319" t="s">
        <v>66</v>
      </c>
      <c r="K43" s="313">
        <f>K44+K45+1</f>
        <v>39705</v>
      </c>
      <c r="L43" s="302">
        <f t="shared" si="4"/>
        <v>77.25609993384441</v>
      </c>
      <c r="M43" s="321" t="s">
        <v>66</v>
      </c>
      <c r="N43" s="301">
        <f>K43-'[8]Novembris'!K43</f>
        <v>-1371</v>
      </c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</row>
    <row r="44" spans="1:163" s="340" customFormat="1" ht="30" customHeight="1">
      <c r="A44" s="303" t="s">
        <v>482</v>
      </c>
      <c r="B44" s="338">
        <v>50694324</v>
      </c>
      <c r="C44" s="319" t="s">
        <v>66</v>
      </c>
      <c r="D44" s="316">
        <v>45850473</v>
      </c>
      <c r="E44" s="306">
        <f t="shared" si="7"/>
        <v>0.9044498354490337</v>
      </c>
      <c r="F44" s="321" t="s">
        <v>66</v>
      </c>
      <c r="G44" s="317">
        <f>D44-'[8]Novembris'!D44</f>
        <v>-901655</v>
      </c>
      <c r="H44" s="62" t="s">
        <v>483</v>
      </c>
      <c r="I44" s="211">
        <f>ROUND(B44/1000,0)</f>
        <v>50694</v>
      </c>
      <c r="J44" s="213" t="s">
        <v>66</v>
      </c>
      <c r="K44" s="211">
        <f>ROUND(D44/1000,0)</f>
        <v>45850</v>
      </c>
      <c r="L44" s="308">
        <f t="shared" si="4"/>
        <v>90.44462855564761</v>
      </c>
      <c r="M44" s="234" t="s">
        <v>66</v>
      </c>
      <c r="N44" s="211">
        <f>K44-'[8]Novembris'!K44</f>
        <v>-902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</row>
    <row r="45" spans="1:163" s="340" customFormat="1" ht="51.75" customHeight="1">
      <c r="A45" s="303" t="s">
        <v>484</v>
      </c>
      <c r="B45" s="338">
        <v>700183</v>
      </c>
      <c r="C45" s="319" t="s">
        <v>66</v>
      </c>
      <c r="D45" s="316">
        <f>-(D42+D44)</f>
        <v>-6145786</v>
      </c>
      <c r="E45" s="306">
        <f t="shared" si="7"/>
        <v>-8.777399622670073</v>
      </c>
      <c r="F45" s="321" t="s">
        <v>66</v>
      </c>
      <c r="G45" s="317">
        <f>D45-'[8]Novembris'!D45</f>
        <v>-470034</v>
      </c>
      <c r="H45" s="62" t="s">
        <v>484</v>
      </c>
      <c r="I45" s="211">
        <f>ROUND(B45/1000,0)</f>
        <v>700</v>
      </c>
      <c r="J45" s="213" t="s">
        <v>66</v>
      </c>
      <c r="K45" s="211">
        <f>ROUND(D45/1000,0)</f>
        <v>-6146</v>
      </c>
      <c r="L45" s="308">
        <f t="shared" si="4"/>
        <v>-877.9999999999999</v>
      </c>
      <c r="M45" s="234" t="s">
        <v>66</v>
      </c>
      <c r="N45" s="211">
        <f>K45-'[8]Novembris'!K45</f>
        <v>-470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48"/>
      <c r="EL45" s="248"/>
      <c r="EM45" s="248"/>
      <c r="EN45" s="248"/>
      <c r="EO45" s="248"/>
      <c r="EP45" s="248"/>
      <c r="EQ45" s="248"/>
      <c r="ER45" s="248"/>
      <c r="ES45" s="248"/>
      <c r="ET45" s="248"/>
      <c r="EU45" s="248"/>
      <c r="EV45" s="248"/>
      <c r="EW45" s="248"/>
      <c r="EX45" s="248"/>
      <c r="EY45" s="248"/>
      <c r="EZ45" s="248"/>
      <c r="FA45" s="248"/>
      <c r="FB45" s="248"/>
      <c r="FC45" s="248"/>
      <c r="FD45" s="248"/>
      <c r="FE45" s="248"/>
      <c r="FF45" s="248"/>
      <c r="FG45" s="248"/>
    </row>
    <row r="46" spans="1:14" s="346" customFormat="1" ht="14.25">
      <c r="A46" s="341"/>
      <c r="B46" s="342"/>
      <c r="C46" s="342"/>
      <c r="D46" s="343"/>
      <c r="E46" s="344"/>
      <c r="F46" s="345"/>
      <c r="H46" s="181"/>
      <c r="I46" s="169"/>
      <c r="J46" s="169"/>
      <c r="K46" s="182"/>
      <c r="L46" s="347"/>
      <c r="M46" s="348"/>
      <c r="N46" s="75"/>
    </row>
    <row r="47" spans="1:14" s="346" customFormat="1" ht="14.25">
      <c r="A47" s="341"/>
      <c r="B47" s="342"/>
      <c r="C47" s="342"/>
      <c r="D47" s="343"/>
      <c r="E47" s="344"/>
      <c r="F47" s="345"/>
      <c r="I47" s="169"/>
      <c r="J47" s="169"/>
      <c r="K47" s="182"/>
      <c r="L47" s="347"/>
      <c r="M47" s="348"/>
      <c r="N47" s="75"/>
    </row>
    <row r="48" spans="1:14" s="346" customFormat="1" ht="14.25">
      <c r="A48" s="341"/>
      <c r="B48" s="342"/>
      <c r="C48" s="342"/>
      <c r="D48" s="343"/>
      <c r="E48" s="344"/>
      <c r="F48" s="345"/>
      <c r="H48" s="181"/>
      <c r="I48" s="169"/>
      <c r="J48" s="169"/>
      <c r="K48" s="182"/>
      <c r="L48" s="347"/>
      <c r="M48" s="348"/>
      <c r="N48" s="75"/>
    </row>
    <row r="49" spans="1:14" s="346" customFormat="1" ht="14.25">
      <c r="A49" s="341"/>
      <c r="B49" s="342"/>
      <c r="C49" s="342"/>
      <c r="D49" s="343"/>
      <c r="E49" s="344"/>
      <c r="F49" s="345"/>
      <c r="I49" s="169"/>
      <c r="J49" s="169"/>
      <c r="K49" s="182"/>
      <c r="L49" s="347"/>
      <c r="M49" s="348"/>
      <c r="N49" s="75"/>
    </row>
    <row r="50" spans="1:14" s="346" customFormat="1" ht="14.25">
      <c r="A50" s="349" t="s">
        <v>366</v>
      </c>
      <c r="B50" s="342"/>
      <c r="C50" s="342"/>
      <c r="D50" s="343"/>
      <c r="E50" s="344"/>
      <c r="F50" s="345"/>
      <c r="I50" s="169"/>
      <c r="J50" s="169"/>
      <c r="K50" s="182"/>
      <c r="L50" s="347"/>
      <c r="M50" s="348"/>
      <c r="N50" s="75"/>
    </row>
    <row r="51" spans="1:14" s="346" customFormat="1" ht="14.25">
      <c r="A51" s="341"/>
      <c r="B51" s="342"/>
      <c r="C51" s="342"/>
      <c r="D51" s="343"/>
      <c r="E51" s="344"/>
      <c r="F51" s="345"/>
      <c r="H51" s="75"/>
      <c r="I51" s="169"/>
      <c r="J51" s="169"/>
      <c r="K51" s="182"/>
      <c r="L51" s="347"/>
      <c r="M51" s="348"/>
      <c r="N51" s="75"/>
    </row>
    <row r="52" spans="1:14" ht="14.25">
      <c r="A52" s="341"/>
      <c r="B52" s="350"/>
      <c r="C52" s="350"/>
      <c r="E52" s="344"/>
      <c r="F52" s="351"/>
      <c r="H52" s="43"/>
      <c r="I52" s="352"/>
      <c r="J52" s="352"/>
      <c r="K52" s="30"/>
      <c r="L52" s="347"/>
      <c r="M52" s="353"/>
      <c r="N52" s="43"/>
    </row>
    <row r="53" spans="2:14" ht="15">
      <c r="B53" s="350"/>
      <c r="C53" s="350"/>
      <c r="E53" s="354"/>
      <c r="F53" s="351"/>
      <c r="I53" s="352"/>
      <c r="J53" s="352"/>
      <c r="K53" s="30"/>
      <c r="L53" s="355"/>
      <c r="M53" s="353"/>
      <c r="N53" s="43"/>
    </row>
    <row r="54" spans="2:14" ht="14.25">
      <c r="B54" s="286"/>
      <c r="C54" s="286"/>
      <c r="D54" s="286"/>
      <c r="E54" s="356"/>
      <c r="F54" s="357"/>
      <c r="H54" s="37" t="s">
        <v>367</v>
      </c>
      <c r="I54" s="43"/>
      <c r="J54" s="43"/>
      <c r="K54" s="43"/>
      <c r="L54" s="187"/>
      <c r="M54" s="190"/>
      <c r="N54" s="43"/>
    </row>
    <row r="55" spans="2:14" ht="14.25">
      <c r="B55" s="350"/>
      <c r="C55" s="350"/>
      <c r="E55" s="358"/>
      <c r="F55" s="351"/>
      <c r="I55" s="352"/>
      <c r="J55" s="359"/>
      <c r="K55" s="30"/>
      <c r="L55" s="36"/>
      <c r="M55" s="353"/>
      <c r="N55" s="43"/>
    </row>
    <row r="56" spans="2:13" ht="14.25">
      <c r="B56" s="350"/>
      <c r="C56" s="350"/>
      <c r="E56" s="358"/>
      <c r="F56" s="360"/>
      <c r="I56" s="358"/>
      <c r="J56" s="358"/>
      <c r="L56" s="358"/>
      <c r="M56" s="360"/>
    </row>
    <row r="57" spans="2:13" ht="14.25">
      <c r="B57" s="350"/>
      <c r="C57" s="350"/>
      <c r="E57" s="358"/>
      <c r="F57" s="360"/>
      <c r="I57" s="358"/>
      <c r="J57" s="358"/>
      <c r="L57" s="358"/>
      <c r="M57" s="360"/>
    </row>
    <row r="58" spans="2:13" ht="14.25">
      <c r="B58" s="350"/>
      <c r="C58" s="350"/>
      <c r="E58" s="358"/>
      <c r="F58" s="360"/>
      <c r="I58" s="361"/>
      <c r="J58" s="350"/>
      <c r="K58" s="362"/>
      <c r="L58" s="358"/>
      <c r="M58" s="360"/>
    </row>
    <row r="59" spans="2:13" ht="14.25">
      <c r="B59" s="350"/>
      <c r="C59" s="350"/>
      <c r="E59" s="358"/>
      <c r="F59" s="360"/>
      <c r="I59" s="361"/>
      <c r="J59" s="350"/>
      <c r="K59" s="362"/>
      <c r="L59" s="358"/>
      <c r="M59" s="360"/>
    </row>
    <row r="60" spans="2:13" ht="14.25">
      <c r="B60" s="350"/>
      <c r="C60" s="350"/>
      <c r="E60" s="358"/>
      <c r="F60" s="360"/>
      <c r="I60" s="361"/>
      <c r="J60" s="350"/>
      <c r="K60" s="362"/>
      <c r="L60" s="358"/>
      <c r="M60" s="360"/>
    </row>
    <row r="61" spans="2:13" ht="14.25">
      <c r="B61" s="350"/>
      <c r="C61" s="350"/>
      <c r="E61" s="358"/>
      <c r="F61" s="358"/>
      <c r="I61" s="358"/>
      <c r="J61" s="358"/>
      <c r="L61" s="358"/>
      <c r="M61" s="358"/>
    </row>
    <row r="62" spans="2:13" ht="14.25">
      <c r="B62" s="350"/>
      <c r="C62" s="350"/>
      <c r="E62" s="358"/>
      <c r="F62" s="358"/>
      <c r="I62" s="358"/>
      <c r="J62" s="358"/>
      <c r="L62" s="358"/>
      <c r="M62" s="358"/>
    </row>
    <row r="63" spans="2:13" ht="14.25">
      <c r="B63" s="350"/>
      <c r="C63" s="350"/>
      <c r="E63" s="358"/>
      <c r="F63" s="358"/>
      <c r="L63" s="358"/>
      <c r="M63" s="358"/>
    </row>
    <row r="64" spans="5:13" ht="14.25">
      <c r="E64" s="358"/>
      <c r="F64" s="358"/>
      <c r="H64" s="341"/>
      <c r="L64" s="358"/>
      <c r="M64" s="358"/>
    </row>
    <row r="65" spans="5:13" ht="14.25">
      <c r="E65" s="358"/>
      <c r="F65" s="358"/>
      <c r="L65" s="358"/>
      <c r="M65" s="358"/>
    </row>
    <row r="66" spans="5:13" ht="14.25">
      <c r="E66" s="358"/>
      <c r="F66" s="358"/>
      <c r="L66" s="358"/>
      <c r="M66" s="358"/>
    </row>
    <row r="67" spans="5:6" ht="14.25">
      <c r="E67" s="358"/>
      <c r="F67" s="358"/>
    </row>
    <row r="68" spans="5:6" ht="14.25">
      <c r="E68" s="358"/>
      <c r="F68" s="358"/>
    </row>
    <row r="69" spans="5:8" ht="14.25">
      <c r="E69" s="358"/>
      <c r="F69" s="358"/>
      <c r="H69" s="2" t="s">
        <v>178</v>
      </c>
    </row>
    <row r="70" spans="5:8" ht="14.25">
      <c r="E70" s="358"/>
      <c r="F70" s="358"/>
      <c r="H70" s="2" t="s">
        <v>100</v>
      </c>
    </row>
    <row r="71" spans="5:6" ht="14.25">
      <c r="E71" s="358"/>
      <c r="F71" s="358"/>
    </row>
    <row r="72" spans="5:6" ht="14.25">
      <c r="E72" s="358"/>
      <c r="F72" s="358"/>
    </row>
    <row r="73" spans="5:6" ht="14.25">
      <c r="E73" s="358"/>
      <c r="F73" s="358"/>
    </row>
    <row r="74" spans="5:6" ht="14.25">
      <c r="E74" s="358"/>
      <c r="F74" s="358"/>
    </row>
    <row r="75" spans="5:6" ht="14.25">
      <c r="E75" s="358"/>
      <c r="F75" s="358"/>
    </row>
    <row r="76" spans="5:6" ht="14.25">
      <c r="E76" s="358"/>
      <c r="F76" s="358"/>
    </row>
    <row r="77" spans="5:6" ht="14.25">
      <c r="E77" s="358"/>
      <c r="F77" s="358"/>
    </row>
    <row r="78" spans="5:6" ht="14.25">
      <c r="E78" s="358"/>
      <c r="F78" s="358"/>
    </row>
    <row r="79" spans="5:6" ht="14.25">
      <c r="E79" s="358"/>
      <c r="F79" s="358"/>
    </row>
    <row r="80" spans="5:6" ht="14.25">
      <c r="E80" s="358"/>
      <c r="F80" s="358"/>
    </row>
    <row r="81" spans="5:6" ht="14.25">
      <c r="E81" s="358"/>
      <c r="F81" s="358"/>
    </row>
    <row r="82" spans="5:6" ht="14.25">
      <c r="E82" s="358"/>
      <c r="F82" s="358"/>
    </row>
    <row r="83" spans="5:6" ht="14.25">
      <c r="E83" s="358"/>
      <c r="F83" s="358"/>
    </row>
    <row r="84" spans="5:6" ht="14.25">
      <c r="E84" s="358"/>
      <c r="F84" s="358"/>
    </row>
    <row r="85" spans="5:6" ht="14.25">
      <c r="E85" s="358"/>
      <c r="F85" s="358"/>
    </row>
    <row r="86" spans="5:6" ht="14.25">
      <c r="E86" s="358"/>
      <c r="F86" s="358"/>
    </row>
    <row r="87" spans="5:6" ht="14.25">
      <c r="E87" s="358"/>
      <c r="F87" s="358"/>
    </row>
    <row r="88" spans="5:6" ht="14.25">
      <c r="E88" s="358"/>
      <c r="F88" s="358"/>
    </row>
    <row r="89" spans="5:6" ht="14.25">
      <c r="E89" s="358"/>
      <c r="F89" s="358"/>
    </row>
    <row r="90" spans="5:6" ht="14.25">
      <c r="E90" s="358"/>
      <c r="F90" s="358"/>
    </row>
    <row r="91" spans="5:6" ht="14.25">
      <c r="E91" s="358"/>
      <c r="F91" s="358"/>
    </row>
    <row r="92" spans="5:6" ht="14.25">
      <c r="E92" s="358"/>
      <c r="F92" s="358"/>
    </row>
    <row r="93" spans="5:6" ht="14.25">
      <c r="E93" s="358"/>
      <c r="F93" s="358"/>
    </row>
    <row r="94" spans="5:6" ht="14.25">
      <c r="E94" s="358"/>
      <c r="F94" s="358"/>
    </row>
    <row r="95" spans="5:6" ht="14.25">
      <c r="E95" s="358"/>
      <c r="F95" s="358"/>
    </row>
    <row r="96" spans="5:6" ht="14.25">
      <c r="E96" s="358"/>
      <c r="F96" s="358"/>
    </row>
    <row r="97" spans="5:6" ht="14.25">
      <c r="E97" s="358"/>
      <c r="F97" s="358"/>
    </row>
    <row r="98" spans="5:6" ht="14.25">
      <c r="E98" s="358"/>
      <c r="F98" s="358"/>
    </row>
    <row r="99" spans="5:6" ht="14.25">
      <c r="E99" s="358"/>
      <c r="F99" s="358"/>
    </row>
    <row r="100" spans="5:6" ht="14.25">
      <c r="E100" s="358"/>
      <c r="F100" s="358"/>
    </row>
    <row r="101" spans="5:6" ht="14.25">
      <c r="E101" s="358"/>
      <c r="F101" s="358"/>
    </row>
    <row r="102" spans="5:6" ht="14.25">
      <c r="E102" s="358"/>
      <c r="F102" s="358"/>
    </row>
    <row r="103" spans="5:6" ht="14.25">
      <c r="E103" s="358"/>
      <c r="F103" s="358"/>
    </row>
    <row r="104" spans="5:6" ht="14.25">
      <c r="E104" s="358"/>
      <c r="F104" s="358"/>
    </row>
    <row r="105" spans="5:6" ht="14.25">
      <c r="E105" s="358"/>
      <c r="F105" s="358"/>
    </row>
    <row r="106" spans="5:6" ht="14.25">
      <c r="E106" s="358"/>
      <c r="F106" s="358"/>
    </row>
    <row r="107" spans="5:6" ht="14.25">
      <c r="E107" s="358"/>
      <c r="F107" s="358"/>
    </row>
    <row r="108" spans="5:6" ht="14.25">
      <c r="E108" s="358"/>
      <c r="F108" s="358"/>
    </row>
    <row r="109" spans="5:6" ht="14.25">
      <c r="E109" s="358"/>
      <c r="F109" s="358"/>
    </row>
    <row r="110" spans="5:6" ht="14.25">
      <c r="E110" s="358"/>
      <c r="F110" s="358"/>
    </row>
    <row r="111" spans="5:6" ht="14.25">
      <c r="E111" s="358"/>
      <c r="F111" s="358"/>
    </row>
    <row r="112" spans="5:6" ht="14.25">
      <c r="E112" s="358"/>
      <c r="F112" s="358"/>
    </row>
    <row r="113" spans="5:6" ht="14.25">
      <c r="E113" s="358"/>
      <c r="F113" s="358"/>
    </row>
  </sheetData>
  <printOptions/>
  <pageMargins left="0.75" right="0.19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F36">
      <selection activeCell="F42" sqref="F42"/>
    </sheetView>
  </sheetViews>
  <sheetFormatPr defaultColWidth="9.140625" defaultRowHeight="12.75"/>
  <cols>
    <col min="1" max="1" width="31.00390625" style="243" hidden="1" customWidth="1"/>
    <col min="2" max="2" width="12.28125" style="38" hidden="1" customWidth="1"/>
    <col min="3" max="3" width="11.8515625" style="38" hidden="1" customWidth="1"/>
    <col min="4" max="4" width="11.8515625" style="243" hidden="1" customWidth="1"/>
    <col min="5" max="5" width="15.140625" style="38" hidden="1" customWidth="1"/>
    <col min="6" max="6" width="34.7109375" style="243" customWidth="1"/>
    <col min="7" max="7" width="13.00390625" style="243" customWidth="1"/>
    <col min="8" max="8" width="9.7109375" style="38" customWidth="1"/>
    <col min="9" max="9" width="13.57421875" style="36" customWidth="1"/>
    <col min="10" max="10" width="10.28125" style="38" customWidth="1"/>
    <col min="11" max="16384" width="7.8515625" style="243" customWidth="1"/>
  </cols>
  <sheetData>
    <row r="1" spans="1:10" ht="17.25" customHeight="1">
      <c r="A1" s="32" t="s">
        <v>485</v>
      </c>
      <c r="B1" s="35"/>
      <c r="C1" s="35"/>
      <c r="D1" s="32"/>
      <c r="E1" s="38" t="s">
        <v>486</v>
      </c>
      <c r="F1" s="243" t="s">
        <v>487</v>
      </c>
      <c r="G1" s="32"/>
      <c r="H1" s="35"/>
      <c r="J1" s="363" t="s">
        <v>486</v>
      </c>
    </row>
    <row r="2" ht="1.5" customHeight="1" hidden="1"/>
    <row r="3" ht="15.75" customHeight="1"/>
    <row r="4" spans="1:10" ht="15.75">
      <c r="A4" s="364" t="s">
        <v>488</v>
      </c>
      <c r="B4" s="365"/>
      <c r="C4" s="365"/>
      <c r="D4" s="164"/>
      <c r="E4" s="365"/>
      <c r="F4" s="644" t="s">
        <v>488</v>
      </c>
      <c r="G4" s="644"/>
      <c r="H4" s="644"/>
      <c r="I4" s="644"/>
      <c r="J4" s="644"/>
    </row>
    <row r="5" spans="1:10" ht="19.5" customHeight="1">
      <c r="A5" s="366" t="s">
        <v>489</v>
      </c>
      <c r="B5" s="367"/>
      <c r="C5" s="367"/>
      <c r="D5" s="368"/>
      <c r="E5" s="367"/>
      <c r="F5" s="368" t="str">
        <f>A5</f>
        <v>                                              (2000.gada janvāris -decembris)</v>
      </c>
      <c r="G5" s="368"/>
      <c r="H5" s="367"/>
      <c r="I5" s="46"/>
      <c r="J5" s="367"/>
    </row>
    <row r="6" spans="5:10" ht="17.25" customHeight="1">
      <c r="E6" s="363" t="s">
        <v>373</v>
      </c>
      <c r="J6" s="363" t="s">
        <v>105</v>
      </c>
    </row>
    <row r="7" spans="1:10" ht="51">
      <c r="A7" s="249" t="s">
        <v>59</v>
      </c>
      <c r="B7" s="249" t="s">
        <v>303</v>
      </c>
      <c r="C7" s="249" t="s">
        <v>107</v>
      </c>
      <c r="D7" s="84" t="s">
        <v>490</v>
      </c>
      <c r="E7" s="249" t="s">
        <v>63</v>
      </c>
      <c r="F7" s="84" t="s">
        <v>59</v>
      </c>
      <c r="G7" s="84" t="s">
        <v>246</v>
      </c>
      <c r="H7" s="249" t="s">
        <v>491</v>
      </c>
      <c r="I7" s="84" t="s">
        <v>490</v>
      </c>
      <c r="J7" s="249" t="s">
        <v>492</v>
      </c>
    </row>
    <row r="8" spans="1:10" ht="12.75">
      <c r="A8" s="93">
        <v>1</v>
      </c>
      <c r="B8" s="250">
        <v>2</v>
      </c>
      <c r="C8" s="250">
        <v>3</v>
      </c>
      <c r="D8" s="93">
        <v>4</v>
      </c>
      <c r="E8" s="369">
        <v>5</v>
      </c>
      <c r="F8" s="93">
        <v>1</v>
      </c>
      <c r="G8" s="93">
        <v>2</v>
      </c>
      <c r="H8" s="250">
        <v>3</v>
      </c>
      <c r="I8" s="93">
        <v>4</v>
      </c>
      <c r="J8" s="250">
        <v>5</v>
      </c>
    </row>
    <row r="9" spans="1:10" ht="25.5">
      <c r="A9" s="94" t="s">
        <v>493</v>
      </c>
      <c r="B9" s="202" t="s">
        <v>66</v>
      </c>
      <c r="C9" s="370">
        <f>SUM(C10:C11)</f>
        <v>5791173</v>
      </c>
      <c r="D9" s="371" t="str">
        <f>IF(ISERROR(C9/B9)," ",(C9/B9))</f>
        <v> </v>
      </c>
      <c r="E9" s="372">
        <f>SUM(E10:E11)</f>
        <v>-5141832</v>
      </c>
      <c r="F9" s="94" t="s">
        <v>493</v>
      </c>
      <c r="G9" s="93" t="s">
        <v>66</v>
      </c>
      <c r="H9" s="370">
        <f>SUM(H10:H11)</f>
        <v>5791</v>
      </c>
      <c r="I9" s="373" t="str">
        <f>IF(ISERROR(H9/G9)," ",(H9/G9))</f>
        <v> </v>
      </c>
      <c r="J9" s="370">
        <f>SUM(J10:J11)</f>
        <v>-5142</v>
      </c>
    </row>
    <row r="10" spans="1:10" ht="25.5">
      <c r="A10" s="62" t="s">
        <v>494</v>
      </c>
      <c r="B10" s="202" t="s">
        <v>66</v>
      </c>
      <c r="C10" s="374">
        <v>4015580</v>
      </c>
      <c r="D10" s="375" t="str">
        <f aca="true" t="shared" si="0" ref="D10:D17">IF(ISERROR(C10/B10)," ",(C10/B10))</f>
        <v> </v>
      </c>
      <c r="E10" s="376">
        <f>C10-'[9]Novembris'!C10</f>
        <v>257575</v>
      </c>
      <c r="F10" s="62" t="s">
        <v>494</v>
      </c>
      <c r="G10" s="93" t="s">
        <v>66</v>
      </c>
      <c r="H10" s="374">
        <f>ROUND(C10/1000,0)-1</f>
        <v>4015</v>
      </c>
      <c r="I10" s="373" t="str">
        <f>IF(ISERROR(H10/G10)," ",(H10/G10))</f>
        <v> </v>
      </c>
      <c r="J10" s="374">
        <f>H10-'[9]Novembris'!H10</f>
        <v>257</v>
      </c>
    </row>
    <row r="11" spans="1:10" ht="26.25" customHeight="1">
      <c r="A11" s="62" t="s">
        <v>495</v>
      </c>
      <c r="B11" s="202" t="s">
        <v>66</v>
      </c>
      <c r="C11" s="374">
        <v>1775593</v>
      </c>
      <c r="D11" s="375" t="str">
        <f t="shared" si="0"/>
        <v> </v>
      </c>
      <c r="E11" s="376">
        <f>C11-'[9]Novembris'!C11</f>
        <v>-5399407</v>
      </c>
      <c r="F11" s="62" t="s">
        <v>496</v>
      </c>
      <c r="G11" s="93" t="s">
        <v>66</v>
      </c>
      <c r="H11" s="374">
        <f>ROUND(C11/1000,0)</f>
        <v>1776</v>
      </c>
      <c r="I11" s="373" t="str">
        <f>IF(ISERROR(H11/G11)," ",(H11/G11))</f>
        <v> </v>
      </c>
      <c r="J11" s="374">
        <f>H11-'[9]Novembris'!H11</f>
        <v>-5399</v>
      </c>
    </row>
    <row r="12" spans="1:10" ht="12.75">
      <c r="A12" s="94" t="s">
        <v>497</v>
      </c>
      <c r="B12" s="95">
        <f>SUM(B13,B30)</f>
        <v>9353800</v>
      </c>
      <c r="C12" s="95">
        <f>SUM(C13,C30)</f>
        <v>6419971</v>
      </c>
      <c r="D12" s="371">
        <f t="shared" si="0"/>
        <v>0.6863489704718938</v>
      </c>
      <c r="E12" s="377">
        <f>SUM(E13,E30)</f>
        <v>571748</v>
      </c>
      <c r="F12" s="94" t="s">
        <v>498</v>
      </c>
      <c r="G12" s="6">
        <f>SUM(G13,G30)</f>
        <v>9353</v>
      </c>
      <c r="H12" s="95">
        <f>SUM(H13,H30)</f>
        <v>6420</v>
      </c>
      <c r="I12" s="378">
        <f>IF(ISERROR(H12/G12)," ",(H12/G12))*100</f>
        <v>68.64107772907089</v>
      </c>
      <c r="J12" s="95">
        <f>SUM(J13,J30)</f>
        <v>572</v>
      </c>
    </row>
    <row r="13" spans="1:10" ht="16.5" customHeight="1">
      <c r="A13" s="101" t="s">
        <v>468</v>
      </c>
      <c r="B13" s="95">
        <f>SUM(B14,B21,B24)</f>
        <v>7427449</v>
      </c>
      <c r="C13" s="95">
        <f>SUM(C14,C21,C24)</f>
        <v>5042050</v>
      </c>
      <c r="D13" s="371">
        <f t="shared" si="0"/>
        <v>0.6788400701236723</v>
      </c>
      <c r="E13" s="377">
        <f>SUM(E14,E21,E24)</f>
        <v>644506</v>
      </c>
      <c r="F13" s="101" t="s">
        <v>468</v>
      </c>
      <c r="G13" s="6">
        <f>SUM(G14,G21,G24)</f>
        <v>7427</v>
      </c>
      <c r="H13" s="95">
        <f>SUM(H14,H21,H24)</f>
        <v>5042</v>
      </c>
      <c r="I13" s="378">
        <f>IF(ISERROR(H13/G13)," ",(H13/G13))*100</f>
        <v>67.88743772721153</v>
      </c>
      <c r="J13" s="95">
        <f>SUM(J14,J21,J24)</f>
        <v>645</v>
      </c>
    </row>
    <row r="14" spans="1:10" ht="12.75">
      <c r="A14" s="101" t="s">
        <v>318</v>
      </c>
      <c r="B14" s="95">
        <f>SUM(B15:B17)</f>
        <v>6464204</v>
      </c>
      <c r="C14" s="379">
        <f>SUM(C15,C16,C17,C20)</f>
        <v>4415976</v>
      </c>
      <c r="D14" s="371">
        <f t="shared" si="0"/>
        <v>0.6831430443717432</v>
      </c>
      <c r="E14" s="380">
        <f>SUM(E15,E16,E17,E20)</f>
        <v>624295</v>
      </c>
      <c r="F14" s="101" t="s">
        <v>318</v>
      </c>
      <c r="G14" s="381">
        <f>ROUND(B14/1000,0)</f>
        <v>6464</v>
      </c>
      <c r="H14" s="379">
        <f>SUM(H15,H16,H17,H20)</f>
        <v>4416</v>
      </c>
      <c r="I14" s="378">
        <f>IF(ISERROR(H14/G14)," ",(H14/G14))*100</f>
        <v>68.31683168316832</v>
      </c>
      <c r="J14" s="379">
        <f>SUM(J15,J16,J17,J20)</f>
        <v>625</v>
      </c>
    </row>
    <row r="15" spans="1:10" ht="12.75">
      <c r="A15" s="252" t="s">
        <v>319</v>
      </c>
      <c r="B15" s="115">
        <v>667973</v>
      </c>
      <c r="C15" s="115">
        <v>450177</v>
      </c>
      <c r="D15" s="253">
        <f t="shared" si="0"/>
        <v>0.6739449049587334</v>
      </c>
      <c r="E15" s="376">
        <f>C15-'[9]Novembris'!C15</f>
        <v>54660</v>
      </c>
      <c r="F15" s="252" t="s">
        <v>319</v>
      </c>
      <c r="G15" s="382">
        <f>ROUND(B15/1000,0)</f>
        <v>668</v>
      </c>
      <c r="H15" s="374">
        <f>ROUND(C15/1000,0)</f>
        <v>450</v>
      </c>
      <c r="I15" s="378">
        <f>IF(ISERROR(H15/G15)," ",(H15/G15))*100</f>
        <v>67.36526946107784</v>
      </c>
      <c r="J15" s="374">
        <f>H15-'[9]Novembris'!H15</f>
        <v>54</v>
      </c>
    </row>
    <row r="16" spans="1:10" ht="25.5">
      <c r="A16" s="62" t="s">
        <v>499</v>
      </c>
      <c r="B16" s="202" t="s">
        <v>66</v>
      </c>
      <c r="C16" s="115">
        <v>107664</v>
      </c>
      <c r="D16" s="234" t="s">
        <v>66</v>
      </c>
      <c r="E16" s="376">
        <f>C16-'[9]Novembris'!C16</f>
        <v>11011</v>
      </c>
      <c r="F16" s="62" t="s">
        <v>499</v>
      </c>
      <c r="G16" s="234" t="s">
        <v>66</v>
      </c>
      <c r="H16" s="374">
        <f>ROUND(C16/1000,0)</f>
        <v>108</v>
      </c>
      <c r="I16" s="234" t="s">
        <v>66</v>
      </c>
      <c r="J16" s="374">
        <f>H16-'[9]Novembris'!H16</f>
        <v>11</v>
      </c>
    </row>
    <row r="17" spans="1:10" ht="12.75">
      <c r="A17" s="62" t="s">
        <v>321</v>
      </c>
      <c r="B17" s="263">
        <f>4020638+1775593</f>
        <v>5796231</v>
      </c>
      <c r="C17" s="115">
        <f>SUM(C18:C19)</f>
        <v>3858135</v>
      </c>
      <c r="D17" s="253">
        <f t="shared" si="0"/>
        <v>0.665628233243292</v>
      </c>
      <c r="E17" s="383">
        <f>SUM(E18:E19)</f>
        <v>558624</v>
      </c>
      <c r="F17" s="62" t="s">
        <v>321</v>
      </c>
      <c r="G17" s="234" t="s">
        <v>66</v>
      </c>
      <c r="H17" s="263">
        <f>SUM(H18:H19)</f>
        <v>3858</v>
      </c>
      <c r="I17" s="234" t="s">
        <v>66</v>
      </c>
      <c r="J17" s="263">
        <f>SUM(J18:J19)</f>
        <v>560</v>
      </c>
    </row>
    <row r="18" spans="1:10" s="386" customFormat="1" ht="25.5">
      <c r="A18" s="231" t="s">
        <v>500</v>
      </c>
      <c r="B18" s="384" t="s">
        <v>66</v>
      </c>
      <c r="C18" s="269">
        <f>1397071+374879+1775593</f>
        <v>3547543</v>
      </c>
      <c r="D18" s="331" t="s">
        <v>66</v>
      </c>
      <c r="E18" s="376">
        <f>C18-'[9]Novembris'!C18</f>
        <v>607624</v>
      </c>
      <c r="F18" s="231" t="s">
        <v>501</v>
      </c>
      <c r="G18" s="331" t="s">
        <v>66</v>
      </c>
      <c r="H18" s="385">
        <f>ROUND(C18/1000,0)</f>
        <v>3548</v>
      </c>
      <c r="I18" s="331" t="s">
        <v>66</v>
      </c>
      <c r="J18" s="385">
        <f>ROUND(E18/1000,0)</f>
        <v>608</v>
      </c>
    </row>
    <row r="19" spans="1:10" s="386" customFormat="1" ht="12.75">
      <c r="A19" s="135" t="s">
        <v>502</v>
      </c>
      <c r="B19" s="384" t="s">
        <v>66</v>
      </c>
      <c r="C19" s="269">
        <f>295746+14846</f>
        <v>310592</v>
      </c>
      <c r="D19" s="331" t="s">
        <v>66</v>
      </c>
      <c r="E19" s="376">
        <f>C19-'[9]Novembris'!C19</f>
        <v>-49000</v>
      </c>
      <c r="F19" s="231" t="s">
        <v>503</v>
      </c>
      <c r="G19" s="331" t="s">
        <v>66</v>
      </c>
      <c r="H19" s="385">
        <f>ROUND(C19/1000,0)-1</f>
        <v>310</v>
      </c>
      <c r="I19" s="331" t="s">
        <v>66</v>
      </c>
      <c r="J19" s="374">
        <f>H19-'[9]Novembris'!H19+1</f>
        <v>-48</v>
      </c>
    </row>
    <row r="20" spans="1:10" ht="12.75">
      <c r="A20" s="62" t="s">
        <v>469</v>
      </c>
      <c r="B20" s="202" t="s">
        <v>66</v>
      </c>
      <c r="C20" s="115"/>
      <c r="D20" s="234" t="s">
        <v>66</v>
      </c>
      <c r="E20" s="376">
        <f>C20-'[9]Novembris'!C20</f>
        <v>0</v>
      </c>
      <c r="F20" s="62" t="s">
        <v>469</v>
      </c>
      <c r="G20" s="234" t="s">
        <v>66</v>
      </c>
      <c r="H20" s="374">
        <f>ROUND(C20/1000,0)</f>
        <v>0</v>
      </c>
      <c r="I20" s="234" t="s">
        <v>66</v>
      </c>
      <c r="J20" s="374">
        <f>H20-'[9]Novembris'!H20</f>
        <v>0</v>
      </c>
    </row>
    <row r="21" spans="1:10" ht="25.5">
      <c r="A21" s="70" t="s">
        <v>323</v>
      </c>
      <c r="B21" s="202" t="s">
        <v>66</v>
      </c>
      <c r="C21" s="379">
        <f>SUM(C22:C23)</f>
        <v>0</v>
      </c>
      <c r="D21" s="371" t="str">
        <f>IF(ISERROR(C21/B21)," ",(C21/B21))</f>
        <v> </v>
      </c>
      <c r="E21" s="380">
        <f>SUM(E22:E23)</f>
        <v>0</v>
      </c>
      <c r="F21" s="70" t="s">
        <v>323</v>
      </c>
      <c r="G21" s="234" t="s">
        <v>66</v>
      </c>
      <c r="H21" s="379">
        <f>SUM(H22:H23)</f>
        <v>0</v>
      </c>
      <c r="I21" s="387" t="str">
        <f>IF(ISERROR(ROUND(H21,0)/ROUND(g,0))," ",(ROUND(H21,)/ROUND(G21,)))</f>
        <v> </v>
      </c>
      <c r="J21" s="379">
        <f>SUM(J22:J23)</f>
        <v>0</v>
      </c>
    </row>
    <row r="22" spans="1:10" ht="25.5">
      <c r="A22" s="62" t="s">
        <v>504</v>
      </c>
      <c r="B22" s="202" t="s">
        <v>66</v>
      </c>
      <c r="C22" s="115"/>
      <c r="D22" s="234" t="s">
        <v>66</v>
      </c>
      <c r="E22" s="376">
        <f>C22-'[9]Novembris'!C22</f>
        <v>0</v>
      </c>
      <c r="F22" s="62" t="s">
        <v>504</v>
      </c>
      <c r="G22" s="234" t="s">
        <v>66</v>
      </c>
      <c r="H22" s="374">
        <f>ROUND(C22/1000,0)</f>
        <v>0</v>
      </c>
      <c r="I22" s="234" t="s">
        <v>66</v>
      </c>
      <c r="J22" s="374">
        <f>H22-'[9]Novembris'!H22</f>
        <v>0</v>
      </c>
    </row>
    <row r="23" spans="1:10" ht="25.5">
      <c r="A23" s="62" t="s">
        <v>505</v>
      </c>
      <c r="B23" s="202" t="s">
        <v>66</v>
      </c>
      <c r="C23" s="115"/>
      <c r="D23" s="234" t="s">
        <v>66</v>
      </c>
      <c r="E23" s="376">
        <f>C23-'[9]Novembris'!C23</f>
        <v>0</v>
      </c>
      <c r="F23" s="62" t="s">
        <v>505</v>
      </c>
      <c r="G23" s="234" t="s">
        <v>66</v>
      </c>
      <c r="H23" s="374">
        <f>ROUND(C23/1000,0)</f>
        <v>0</v>
      </c>
      <c r="I23" s="234" t="s">
        <v>66</v>
      </c>
      <c r="J23" s="374">
        <f>H23-'[9]Novembris'!H23</f>
        <v>0</v>
      </c>
    </row>
    <row r="24" spans="1:10" ht="17.25" customHeight="1">
      <c r="A24" s="26" t="s">
        <v>328</v>
      </c>
      <c r="B24" s="95">
        <f>SUM(B28:B29)+B25</f>
        <v>963245</v>
      </c>
      <c r="C24" s="379">
        <f>SUM(C25:C29)</f>
        <v>626074</v>
      </c>
      <c r="D24" s="371">
        <f>IF(ISERROR(C24/B24)," ",(C24/B24))</f>
        <v>0.6499634049488967</v>
      </c>
      <c r="E24" s="380">
        <f>SUM(E25:E29)</f>
        <v>20211</v>
      </c>
      <c r="F24" s="26" t="s">
        <v>328</v>
      </c>
      <c r="G24" s="382">
        <f>ROUND(B24/1000,0)</f>
        <v>963</v>
      </c>
      <c r="H24" s="379">
        <f>SUM(H25:H29)</f>
        <v>626</v>
      </c>
      <c r="I24" s="378">
        <f>IF(ISERROR(H24/G24)," ",(H24/G24))*100</f>
        <v>65.00519210799584</v>
      </c>
      <c r="J24" s="379">
        <f>SUM(J25:J29)</f>
        <v>20</v>
      </c>
    </row>
    <row r="25" spans="1:10" ht="15.75" customHeight="1">
      <c r="A25" s="252" t="s">
        <v>329</v>
      </c>
      <c r="B25" s="263">
        <f>35540+39209</f>
        <v>74749</v>
      </c>
      <c r="C25" s="115">
        <f>17706+2189</f>
        <v>19895</v>
      </c>
      <c r="D25" s="253">
        <f>IF(ISERROR(C25/B25)," ",(C25/B25))</f>
        <v>0.26615740678805067</v>
      </c>
      <c r="E25" s="376">
        <f>C25-'[9]Novembris'!C25</f>
        <v>0</v>
      </c>
      <c r="F25" s="252" t="s">
        <v>329</v>
      </c>
      <c r="G25" s="234" t="s">
        <v>66</v>
      </c>
      <c r="H25" s="374">
        <f>ROUND(C25/1000,0)</f>
        <v>20</v>
      </c>
      <c r="I25" s="234" t="s">
        <v>66</v>
      </c>
      <c r="J25" s="374">
        <f>H25-'[9]Novembris'!H25</f>
        <v>0</v>
      </c>
    </row>
    <row r="26" spans="1:10" ht="15.75" customHeight="1">
      <c r="A26" s="252" t="s">
        <v>506</v>
      </c>
      <c r="B26" s="202" t="s">
        <v>66</v>
      </c>
      <c r="C26" s="115"/>
      <c r="D26" s="234" t="s">
        <v>66</v>
      </c>
      <c r="E26" s="376">
        <f>C26-'[9]Novembris'!C26</f>
        <v>0</v>
      </c>
      <c r="F26" s="252" t="s">
        <v>330</v>
      </c>
      <c r="G26" s="234" t="s">
        <v>66</v>
      </c>
      <c r="H26" s="374">
        <f>ROUND(C26/1000,0)</f>
        <v>0</v>
      </c>
      <c r="I26" s="234" t="s">
        <v>66</v>
      </c>
      <c r="J26" s="374">
        <f>H26-'[9]Novembris'!H26</f>
        <v>0</v>
      </c>
    </row>
    <row r="27" spans="1:10" ht="22.5" customHeight="1">
      <c r="A27" s="62" t="s">
        <v>507</v>
      </c>
      <c r="B27" s="202" t="s">
        <v>66</v>
      </c>
      <c r="D27" s="234" t="s">
        <v>66</v>
      </c>
      <c r="E27" s="376">
        <f>C27-'[9]Novembris'!C27</f>
        <v>0</v>
      </c>
      <c r="F27" s="62" t="s">
        <v>331</v>
      </c>
      <c r="G27" s="234" t="s">
        <v>66</v>
      </c>
      <c r="H27" s="374">
        <f>ROUND(C26/1000,0)</f>
        <v>0</v>
      </c>
      <c r="I27" s="234" t="s">
        <v>66</v>
      </c>
      <c r="J27" s="374">
        <f>H27-'[9]Novembris'!H27</f>
        <v>0</v>
      </c>
    </row>
    <row r="28" spans="1:10" ht="25.5">
      <c r="A28" s="62" t="s">
        <v>508</v>
      </c>
      <c r="B28" s="263">
        <v>420476</v>
      </c>
      <c r="C28" s="115">
        <v>428138</v>
      </c>
      <c r="D28" s="253">
        <f>IF(ISERROR(C28/B28)," ",(C28/B28))</f>
        <v>1.0182222053101724</v>
      </c>
      <c r="E28" s="376">
        <f>C28-'[9]Novembris'!C28</f>
        <v>5242</v>
      </c>
      <c r="F28" s="62" t="s">
        <v>509</v>
      </c>
      <c r="G28" s="234" t="s">
        <v>66</v>
      </c>
      <c r="H28" s="374">
        <f>ROUND(C28/1000,0)</f>
        <v>428</v>
      </c>
      <c r="I28" s="234" t="s">
        <v>66</v>
      </c>
      <c r="J28" s="374">
        <f>H28-'[9]Novembris'!H28</f>
        <v>5</v>
      </c>
    </row>
    <row r="29" spans="1:10" ht="15" customHeight="1">
      <c r="A29" s="62" t="s">
        <v>510</v>
      </c>
      <c r="B29" s="263">
        <v>468020</v>
      </c>
      <c r="C29" s="115">
        <v>178041</v>
      </c>
      <c r="D29" s="253">
        <f>IF(ISERROR(C29/B29)," ",(C29/B29))</f>
        <v>0.38041323020383744</v>
      </c>
      <c r="E29" s="376">
        <f>C29-'[9]Novembris'!C29</f>
        <v>14969</v>
      </c>
      <c r="F29" s="62" t="s">
        <v>337</v>
      </c>
      <c r="G29" s="234" t="s">
        <v>66</v>
      </c>
      <c r="H29" s="374">
        <f>ROUND(C29/1000,0)</f>
        <v>178</v>
      </c>
      <c r="I29" s="234" t="s">
        <v>66</v>
      </c>
      <c r="J29" s="374">
        <f>H29-'[9]Novembris'!H29</f>
        <v>15</v>
      </c>
    </row>
    <row r="30" spans="1:10" ht="23.25" customHeight="1">
      <c r="A30" s="136" t="s">
        <v>511</v>
      </c>
      <c r="B30" s="379">
        <f>SUM(B31:B32)</f>
        <v>1926351</v>
      </c>
      <c r="C30" s="379">
        <f>SUM(C31:C32)</f>
        <v>1377921</v>
      </c>
      <c r="D30" s="371">
        <f>IF(ISERROR(C30/B30)," ",(C30/B30))</f>
        <v>0.715301105561759</v>
      </c>
      <c r="E30" s="380">
        <f>SUM(E31:E32)</f>
        <v>-72758</v>
      </c>
      <c r="F30" s="136" t="s">
        <v>511</v>
      </c>
      <c r="G30" s="167">
        <f>SUM(G31:G32)</f>
        <v>1926</v>
      </c>
      <c r="H30" s="379">
        <f>SUM(H31:H32)</f>
        <v>1378</v>
      </c>
      <c r="I30" s="378">
        <f>IF(ISERROR(H30/G30)," ",(H30/G30))*100</f>
        <v>71.5472481827622</v>
      </c>
      <c r="J30" s="379">
        <f>SUM(J31:J32)</f>
        <v>-73</v>
      </c>
    </row>
    <row r="31" spans="1:10" ht="18.75" customHeight="1">
      <c r="A31" s="62" t="s">
        <v>349</v>
      </c>
      <c r="B31" s="115">
        <v>1868351</v>
      </c>
      <c r="C31" s="115">
        <f>679246+14876+2740+790+636059+2499+20298</f>
        <v>1356508</v>
      </c>
      <c r="D31" s="253">
        <f>IF(ISERROR(C31/B31)," ",(C31/B31))</f>
        <v>0.7260455877937283</v>
      </c>
      <c r="E31" s="376">
        <f>C31-'[9]Novembris'!C31</f>
        <v>-72758</v>
      </c>
      <c r="F31" s="62" t="s">
        <v>512</v>
      </c>
      <c r="G31" s="382">
        <f>ROUND(B31/1000,0)</f>
        <v>1868</v>
      </c>
      <c r="H31" s="374">
        <f>ROUND(C31/1000,0)</f>
        <v>1357</v>
      </c>
      <c r="I31" s="378">
        <f>IF(ISERROR(H31/G31)," ",(H31/G31))*100</f>
        <v>72.64453961456103</v>
      </c>
      <c r="J31" s="374">
        <f>ROUND(E31/1000,0)</f>
        <v>-73</v>
      </c>
    </row>
    <row r="32" spans="1:10" ht="18" customHeight="1">
      <c r="A32" s="62" t="s">
        <v>351</v>
      </c>
      <c r="B32" s="115">
        <v>58000</v>
      </c>
      <c r="C32" s="269">
        <v>21413</v>
      </c>
      <c r="D32" s="253">
        <f>IF(ISERROR(C32/B32)," ",(C32/B32))</f>
        <v>0.3691896551724138</v>
      </c>
      <c r="E32" s="376">
        <f>C32-'[9]Novembris'!C32</f>
        <v>0</v>
      </c>
      <c r="F32" s="62" t="s">
        <v>351</v>
      </c>
      <c r="G32" s="382">
        <f>ROUND(B32/1000,0)</f>
        <v>58</v>
      </c>
      <c r="H32" s="374">
        <f>ROUND(C32/1000,0)</f>
        <v>21</v>
      </c>
      <c r="I32" s="378">
        <f>IF(ISERROR(H32/G32)," ",(H32/G32))*100</f>
        <v>36.206896551724135</v>
      </c>
      <c r="J32" s="374">
        <f>H32-'[9]Novembris'!H32</f>
        <v>0</v>
      </c>
    </row>
    <row r="33" spans="1:28" s="252" customFormat="1" ht="15.75" customHeight="1">
      <c r="A33" s="136" t="s">
        <v>513</v>
      </c>
      <c r="B33" s="202" t="s">
        <v>66</v>
      </c>
      <c r="C33" s="95">
        <f>SUM(C9-C12)</f>
        <v>-628798</v>
      </c>
      <c r="D33" s="234" t="s">
        <v>66</v>
      </c>
      <c r="E33" s="388" t="s">
        <v>66</v>
      </c>
      <c r="F33" s="136" t="s">
        <v>513</v>
      </c>
      <c r="G33" s="234"/>
      <c r="H33" s="379">
        <f>SUM(H9-H12)</f>
        <v>-629</v>
      </c>
      <c r="I33" s="234" t="s">
        <v>66</v>
      </c>
      <c r="J33" s="250" t="s">
        <v>66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</row>
    <row r="34" spans="1:28" s="252" customFormat="1" ht="16.5" customHeight="1">
      <c r="A34" s="136" t="s">
        <v>361</v>
      </c>
      <c r="B34" s="202" t="s">
        <v>66</v>
      </c>
      <c r="C34" s="115">
        <f>-(C33)</f>
        <v>628798</v>
      </c>
      <c r="D34" s="234" t="s">
        <v>66</v>
      </c>
      <c r="E34" s="388" t="s">
        <v>66</v>
      </c>
      <c r="F34" s="136" t="s">
        <v>361</v>
      </c>
      <c r="G34" s="106"/>
      <c r="H34" s="379">
        <f>ROUND(C34/1000,0)</f>
        <v>629</v>
      </c>
      <c r="I34" s="234" t="s">
        <v>66</v>
      </c>
      <c r="J34" s="250" t="s">
        <v>66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s="252" customFormat="1" ht="26.25" customHeight="1">
      <c r="A35" s="179" t="s">
        <v>514</v>
      </c>
      <c r="B35" s="202" t="s">
        <v>66</v>
      </c>
      <c r="C35" s="115">
        <f>-(C33)</f>
        <v>628798</v>
      </c>
      <c r="D35" s="234" t="s">
        <v>66</v>
      </c>
      <c r="E35" s="388" t="s">
        <v>66</v>
      </c>
      <c r="F35" s="179" t="s">
        <v>514</v>
      </c>
      <c r="G35" s="106"/>
      <c r="H35" s="374">
        <f>ROUND(C35/1000,0)</f>
        <v>629</v>
      </c>
      <c r="I35" s="234" t="s">
        <v>66</v>
      </c>
      <c r="J35" s="250" t="s">
        <v>66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10" s="76" customFormat="1" ht="27.75" customHeight="1">
      <c r="A36" s="651"/>
      <c r="B36" s="651"/>
      <c r="C36" s="651"/>
      <c r="D36" s="389"/>
      <c r="E36" s="390"/>
      <c r="F36" s="652"/>
      <c r="G36" s="652"/>
      <c r="H36" s="652"/>
      <c r="I36" s="652"/>
      <c r="J36" s="652"/>
    </row>
    <row r="37" spans="3:10" s="76" customFormat="1" ht="27" customHeight="1">
      <c r="C37" s="141"/>
      <c r="D37" s="390"/>
      <c r="E37" s="390"/>
      <c r="F37" s="653"/>
      <c r="G37" s="653"/>
      <c r="H37" s="653"/>
      <c r="I37" s="390"/>
      <c r="J37" s="141"/>
    </row>
    <row r="38" spans="1:10" s="76" customFormat="1" ht="16.5" customHeight="1">
      <c r="A38" s="391"/>
      <c r="B38" s="141"/>
      <c r="C38" s="390"/>
      <c r="D38" s="169"/>
      <c r="E38" s="390"/>
      <c r="G38" s="143"/>
      <c r="H38" s="390"/>
      <c r="I38" s="169"/>
      <c r="J38" s="390"/>
    </row>
    <row r="39" spans="1:10" s="76" customFormat="1" ht="16.5" customHeight="1">
      <c r="A39" s="650" t="s">
        <v>367</v>
      </c>
      <c r="B39" s="650"/>
      <c r="C39" s="650"/>
      <c r="D39" s="650"/>
      <c r="E39" s="650"/>
      <c r="H39" s="141"/>
      <c r="I39" s="83"/>
      <c r="J39" s="390"/>
    </row>
    <row r="40" spans="1:10" s="76" customFormat="1" ht="16.5" customHeight="1">
      <c r="A40" s="243"/>
      <c r="B40" s="38"/>
      <c r="C40" s="38"/>
      <c r="D40" s="392"/>
      <c r="E40" s="390"/>
      <c r="F40" s="37" t="s">
        <v>367</v>
      </c>
      <c r="H40" s="141"/>
      <c r="I40" s="83"/>
      <c r="J40" s="141"/>
    </row>
    <row r="41" spans="1:10" s="76" customFormat="1" ht="16.5" customHeight="1">
      <c r="A41" s="243"/>
      <c r="B41" s="38"/>
      <c r="C41" s="38"/>
      <c r="D41" s="392"/>
      <c r="E41" s="390"/>
      <c r="G41" s="143"/>
      <c r="H41" s="390"/>
      <c r="I41" s="169"/>
      <c r="J41" s="38"/>
    </row>
    <row r="42" spans="4:10" ht="16.5" customHeight="1">
      <c r="D42" s="392"/>
      <c r="E42" s="141"/>
      <c r="G42" s="34"/>
      <c r="H42" s="35"/>
      <c r="I42" s="353"/>
      <c r="J42" s="35"/>
    </row>
    <row r="43" spans="4:9" ht="12.75">
      <c r="D43" s="392"/>
      <c r="G43" s="38"/>
      <c r="I43" s="353"/>
    </row>
  </sheetData>
  <mergeCells count="5">
    <mergeCell ref="A39:E39"/>
    <mergeCell ref="F4:J4"/>
    <mergeCell ref="A36:C36"/>
    <mergeCell ref="F36:J36"/>
    <mergeCell ref="F37:H37"/>
  </mergeCells>
  <printOptions/>
  <pageMargins left="0.75" right="0.75" top="0.38" bottom="0.16" header="0.17" footer="0.1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F1">
      <selection activeCell="F11" sqref="F11"/>
    </sheetView>
  </sheetViews>
  <sheetFormatPr defaultColWidth="9.140625" defaultRowHeight="12.75"/>
  <cols>
    <col min="1" max="1" width="35.28125" style="43" customWidth="1"/>
    <col min="2" max="2" width="8.8515625" style="43" customWidth="1"/>
    <col min="3" max="3" width="14.28125" style="43" customWidth="1"/>
    <col min="4" max="4" width="15.28125" style="43" customWidth="1"/>
    <col min="5" max="5" width="11.7109375" style="43" customWidth="1"/>
    <col min="6" max="6" width="44.28125" style="43" customWidth="1"/>
    <col min="7" max="7" width="8.00390625" style="43" customWidth="1"/>
    <col min="8" max="8" width="11.7109375" style="43" customWidth="1"/>
    <col min="9" max="9" width="10.8515625" style="43" customWidth="1"/>
    <col min="10" max="10" width="10.7109375" style="43" customWidth="1"/>
    <col min="11" max="16384" width="7.8515625" style="43" customWidth="1"/>
  </cols>
  <sheetData>
    <row r="1" ht="12.75">
      <c r="H1" s="75"/>
    </row>
    <row r="2" spans="1:10" ht="12.75">
      <c r="A2" s="643" t="s">
        <v>515</v>
      </c>
      <c r="B2" s="643"/>
      <c r="C2" s="643"/>
      <c r="E2" s="37" t="s">
        <v>516</v>
      </c>
      <c r="F2" s="643" t="s">
        <v>517</v>
      </c>
      <c r="G2" s="643"/>
      <c r="H2" s="643"/>
      <c r="I2" s="643"/>
      <c r="J2" s="393" t="s">
        <v>516</v>
      </c>
    </row>
    <row r="3" ht="12.75">
      <c r="A3" s="394" t="s">
        <v>518</v>
      </c>
    </row>
    <row r="4" spans="1:10" ht="12.75">
      <c r="A4" s="654" t="s">
        <v>519</v>
      </c>
      <c r="B4" s="654"/>
      <c r="C4" s="654"/>
      <c r="D4" s="654"/>
      <c r="F4" s="654" t="s">
        <v>518</v>
      </c>
      <c r="G4" s="654"/>
      <c r="H4" s="654"/>
      <c r="I4" s="654"/>
      <c r="J4" s="654"/>
    </row>
    <row r="5" spans="6:10" ht="12.75">
      <c r="F5" s="654" t="s">
        <v>520</v>
      </c>
      <c r="G5" s="654"/>
      <c r="H5" s="654"/>
      <c r="I5" s="654"/>
      <c r="J5" s="395"/>
    </row>
    <row r="8" spans="5:10" ht="12.75">
      <c r="E8" s="37" t="s">
        <v>521</v>
      </c>
      <c r="J8" s="393" t="s">
        <v>105</v>
      </c>
    </row>
    <row r="9" spans="1:10" s="2" customFormat="1" ht="48">
      <c r="A9" s="396" t="s">
        <v>59</v>
      </c>
      <c r="B9" s="397" t="s">
        <v>522</v>
      </c>
      <c r="C9" s="397" t="s">
        <v>106</v>
      </c>
      <c r="D9" s="397" t="s">
        <v>107</v>
      </c>
      <c r="E9" s="397" t="s">
        <v>523</v>
      </c>
      <c r="F9" s="398" t="s">
        <v>59</v>
      </c>
      <c r="G9" s="86" t="s">
        <v>522</v>
      </c>
      <c r="H9" s="86" t="s">
        <v>106</v>
      </c>
      <c r="I9" s="86" t="s">
        <v>107</v>
      </c>
      <c r="J9" s="86" t="s">
        <v>523</v>
      </c>
    </row>
    <row r="10" spans="1:10" ht="12.75">
      <c r="A10" s="399">
        <v>1</v>
      </c>
      <c r="B10" s="399">
        <v>2</v>
      </c>
      <c r="C10" s="87">
        <v>3</v>
      </c>
      <c r="D10" s="87">
        <v>4</v>
      </c>
      <c r="E10" s="87">
        <v>5</v>
      </c>
      <c r="F10" s="91">
        <v>1</v>
      </c>
      <c r="G10" s="91">
        <v>2</v>
      </c>
      <c r="H10" s="84">
        <v>3</v>
      </c>
      <c r="I10" s="84">
        <v>4</v>
      </c>
      <c r="J10" s="84">
        <v>5</v>
      </c>
    </row>
    <row r="11" spans="1:10" ht="17.25" customHeight="1">
      <c r="A11" s="400" t="s">
        <v>378</v>
      </c>
      <c r="B11" s="139"/>
      <c r="C11" s="401">
        <f>SUM(C12:C25)</f>
        <v>831644228</v>
      </c>
      <c r="D11" s="401">
        <f>D12+D13+D14+D15+D16+D17+D18+D19+D20+D21+D22+D23+D24+D25+1</f>
        <v>802311478.1</v>
      </c>
      <c r="E11" s="402">
        <f>IF(ISERROR(D11/C11)," ",(D11/C11))</f>
        <v>0.9647292088222129</v>
      </c>
      <c r="F11" s="101" t="s">
        <v>378</v>
      </c>
      <c r="G11" s="96"/>
      <c r="H11" s="6">
        <f>SUM(H12:H25)</f>
        <v>831644</v>
      </c>
      <c r="I11" s="6">
        <f>SUM(I12:I26)</f>
        <v>802311</v>
      </c>
      <c r="J11" s="98">
        <f>IF(ISERROR(I11/H11)," ",(I11/H11))*100</f>
        <v>96.4728898422883</v>
      </c>
    </row>
    <row r="12" spans="1:10" ht="16.5" customHeight="1">
      <c r="A12" s="76" t="s">
        <v>524</v>
      </c>
      <c r="B12" s="403">
        <v>1</v>
      </c>
      <c r="C12" s="404">
        <v>89154123</v>
      </c>
      <c r="D12" s="404">
        <v>80787007</v>
      </c>
      <c r="E12" s="151">
        <f>IF(ISERROR(D12/C12)," ",(D12/C12))</f>
        <v>0.90614998254203</v>
      </c>
      <c r="F12" s="252" t="s">
        <v>524</v>
      </c>
      <c r="G12" s="405">
        <v>1</v>
      </c>
      <c r="H12" s="106">
        <f>ROUND(C12/1000,)</f>
        <v>89154</v>
      </c>
      <c r="I12" s="106">
        <f>ROUND(D12/1000,)</f>
        <v>80787</v>
      </c>
      <c r="J12" s="107">
        <f aca="true" t="shared" si="0" ref="J12:J21">IF(ISERROR(I12/H12)," ",(I12/H12))*100</f>
        <v>90.61511541826502</v>
      </c>
    </row>
    <row r="13" spans="1:10" ht="18.75" customHeight="1">
      <c r="A13" s="75" t="s">
        <v>525</v>
      </c>
      <c r="B13" s="403">
        <v>2</v>
      </c>
      <c r="C13" s="404">
        <v>41298741</v>
      </c>
      <c r="D13" s="31">
        <v>40870190</v>
      </c>
      <c r="E13" s="151">
        <f aca="true" t="shared" si="1" ref="E13:E25">IF(ISERROR(D13/C13)," ",(D13/C13))</f>
        <v>0.989623146139007</v>
      </c>
      <c r="F13" s="54" t="s">
        <v>525</v>
      </c>
      <c r="G13" s="405">
        <v>2</v>
      </c>
      <c r="H13" s="106">
        <f aca="true" t="shared" si="2" ref="H13:H23">ROUND(C13/1000,)</f>
        <v>41299</v>
      </c>
      <c r="I13" s="106">
        <f>ROUND(D13/1000,)</f>
        <v>40870</v>
      </c>
      <c r="J13" s="107">
        <f t="shared" si="0"/>
        <v>98.96123392818228</v>
      </c>
    </row>
    <row r="14" spans="1:10" ht="17.25" customHeight="1">
      <c r="A14" s="75" t="s">
        <v>526</v>
      </c>
      <c r="B14" s="403">
        <v>3</v>
      </c>
      <c r="C14" s="404">
        <v>107740321</v>
      </c>
      <c r="D14" s="404">
        <v>105573702</v>
      </c>
      <c r="E14" s="151">
        <f t="shared" si="1"/>
        <v>0.9798903606385209</v>
      </c>
      <c r="F14" s="54" t="s">
        <v>526</v>
      </c>
      <c r="G14" s="405">
        <v>3</v>
      </c>
      <c r="H14" s="106">
        <f t="shared" si="2"/>
        <v>107740</v>
      </c>
      <c r="I14" s="106">
        <f aca="true" t="shared" si="3" ref="I14:I21">ROUND(D14/1000,0)</f>
        <v>105574</v>
      </c>
      <c r="J14" s="107">
        <f t="shared" si="0"/>
        <v>97.98960460367552</v>
      </c>
    </row>
    <row r="15" spans="1:10" ht="18" customHeight="1">
      <c r="A15" s="75" t="s">
        <v>527</v>
      </c>
      <c r="B15" s="403">
        <v>4</v>
      </c>
      <c r="C15" s="404">
        <v>90154454</v>
      </c>
      <c r="D15" s="404">
        <v>86724379</v>
      </c>
      <c r="E15" s="151">
        <f t="shared" si="1"/>
        <v>0.9619533495261365</v>
      </c>
      <c r="F15" s="54" t="s">
        <v>527</v>
      </c>
      <c r="G15" s="405">
        <v>4</v>
      </c>
      <c r="H15" s="106">
        <f t="shared" si="2"/>
        <v>90154</v>
      </c>
      <c r="I15" s="106">
        <f t="shared" si="3"/>
        <v>86724</v>
      </c>
      <c r="J15" s="107">
        <f t="shared" si="0"/>
        <v>96.19539898396077</v>
      </c>
    </row>
    <row r="16" spans="1:10" ht="18" customHeight="1">
      <c r="A16" s="75" t="s">
        <v>528</v>
      </c>
      <c r="B16" s="403">
        <v>5</v>
      </c>
      <c r="C16" s="404">
        <v>68574912</v>
      </c>
      <c r="D16" s="404">
        <v>67988849</v>
      </c>
      <c r="E16" s="151">
        <f t="shared" si="1"/>
        <v>0.9914536820696175</v>
      </c>
      <c r="F16" s="54" t="s">
        <v>528</v>
      </c>
      <c r="G16" s="405">
        <v>5</v>
      </c>
      <c r="H16" s="106">
        <f t="shared" si="2"/>
        <v>68575</v>
      </c>
      <c r="I16" s="106">
        <f>ROUND(D16/1000,0)</f>
        <v>67989</v>
      </c>
      <c r="J16" s="107">
        <f t="shared" si="0"/>
        <v>99.1454611738972</v>
      </c>
    </row>
    <row r="17" spans="1:10" ht="20.25" customHeight="1">
      <c r="A17" s="75" t="s">
        <v>529</v>
      </c>
      <c r="B17" s="403">
        <v>6</v>
      </c>
      <c r="C17" s="404">
        <v>83565804</v>
      </c>
      <c r="D17" s="404">
        <v>83335674</v>
      </c>
      <c r="E17" s="151">
        <f t="shared" si="1"/>
        <v>0.9972461223492806</v>
      </c>
      <c r="F17" s="54" t="s">
        <v>529</v>
      </c>
      <c r="G17" s="405">
        <v>6</v>
      </c>
      <c r="H17" s="106">
        <f t="shared" si="2"/>
        <v>83566</v>
      </c>
      <c r="I17" s="106">
        <f t="shared" si="3"/>
        <v>83336</v>
      </c>
      <c r="J17" s="107">
        <f t="shared" si="0"/>
        <v>99.72476844649738</v>
      </c>
    </row>
    <row r="18" spans="1:10" ht="26.25" customHeight="1">
      <c r="A18" s="181" t="s">
        <v>530</v>
      </c>
      <c r="B18" s="403">
        <v>7</v>
      </c>
      <c r="C18" s="404">
        <v>11818161</v>
      </c>
      <c r="D18" s="404">
        <v>9310466</v>
      </c>
      <c r="E18" s="151">
        <f t="shared" si="1"/>
        <v>0.7878100492961637</v>
      </c>
      <c r="F18" s="62" t="s">
        <v>530</v>
      </c>
      <c r="G18" s="405">
        <v>7</v>
      </c>
      <c r="H18" s="106">
        <f t="shared" si="2"/>
        <v>11818</v>
      </c>
      <c r="I18" s="106">
        <f>ROUND(D18/1000,0)+1</f>
        <v>9311</v>
      </c>
      <c r="J18" s="107">
        <f t="shared" si="0"/>
        <v>78.78659671687257</v>
      </c>
    </row>
    <row r="19" spans="1:10" ht="18.75" customHeight="1">
      <c r="A19" s="75" t="s">
        <v>531</v>
      </c>
      <c r="B19" s="403">
        <v>8</v>
      </c>
      <c r="C19" s="404">
        <v>24846750</v>
      </c>
      <c r="D19" s="404">
        <v>24772308</v>
      </c>
      <c r="E19" s="151">
        <f t="shared" si="1"/>
        <v>0.9970039542394881</v>
      </c>
      <c r="F19" s="54" t="s">
        <v>531</v>
      </c>
      <c r="G19" s="405">
        <v>8</v>
      </c>
      <c r="H19" s="106">
        <f t="shared" si="2"/>
        <v>24847</v>
      </c>
      <c r="I19" s="106">
        <f t="shared" si="3"/>
        <v>24772</v>
      </c>
      <c r="J19" s="107">
        <f t="shared" si="0"/>
        <v>99.69815269449029</v>
      </c>
    </row>
    <row r="20" spans="1:10" ht="19.5" customHeight="1">
      <c r="A20" s="75" t="s">
        <v>532</v>
      </c>
      <c r="B20" s="403">
        <v>9</v>
      </c>
      <c r="C20" s="404">
        <v>156021</v>
      </c>
      <c r="D20" s="404">
        <v>156021</v>
      </c>
      <c r="E20" s="151">
        <f t="shared" si="1"/>
        <v>1</v>
      </c>
      <c r="F20" s="54" t="s">
        <v>532</v>
      </c>
      <c r="G20" s="405">
        <v>9</v>
      </c>
      <c r="H20" s="106">
        <f t="shared" si="2"/>
        <v>156</v>
      </c>
      <c r="I20" s="106">
        <f t="shared" si="3"/>
        <v>156</v>
      </c>
      <c r="J20" s="107">
        <f t="shared" si="0"/>
        <v>100</v>
      </c>
    </row>
    <row r="21" spans="1:12" ht="27.75" customHeight="1">
      <c r="A21" s="181" t="s">
        <v>533</v>
      </c>
      <c r="B21" s="403">
        <v>10</v>
      </c>
      <c r="C21" s="404">
        <v>65740331</v>
      </c>
      <c r="D21" s="404">
        <v>63862679</v>
      </c>
      <c r="E21" s="151">
        <f t="shared" si="1"/>
        <v>0.9714383549422652</v>
      </c>
      <c r="F21" s="62" t="s">
        <v>533</v>
      </c>
      <c r="G21" s="405">
        <v>10</v>
      </c>
      <c r="H21" s="106">
        <f t="shared" si="2"/>
        <v>65740</v>
      </c>
      <c r="I21" s="106">
        <f t="shared" si="3"/>
        <v>63863</v>
      </c>
      <c r="J21" s="107">
        <f t="shared" si="0"/>
        <v>97.14481289930028</v>
      </c>
      <c r="L21" s="406"/>
    </row>
    <row r="22" spans="1:10" ht="25.5" customHeight="1">
      <c r="A22" s="181" t="s">
        <v>534</v>
      </c>
      <c r="B22" s="403">
        <v>11</v>
      </c>
      <c r="C22" s="404">
        <v>867534</v>
      </c>
      <c r="D22" s="43">
        <v>846298.1</v>
      </c>
      <c r="E22" s="151">
        <f t="shared" si="1"/>
        <v>0.9755215357553709</v>
      </c>
      <c r="F22" s="62" t="s">
        <v>534</v>
      </c>
      <c r="G22" s="405">
        <v>11</v>
      </c>
      <c r="H22" s="106">
        <f t="shared" si="2"/>
        <v>868</v>
      </c>
      <c r="I22" s="106">
        <f>ROUND(D22/1000,0)</f>
        <v>846</v>
      </c>
      <c r="J22" s="107">
        <f>IF(ISERROR(I22/H22)," ",(I22/H22))*100</f>
        <v>97.46543778801843</v>
      </c>
    </row>
    <row r="23" spans="1:10" ht="19.5" customHeight="1">
      <c r="A23" s="75" t="s">
        <v>535</v>
      </c>
      <c r="B23" s="403">
        <v>12</v>
      </c>
      <c r="C23" s="404">
        <v>17672505</v>
      </c>
      <c r="D23" s="404">
        <v>17220095</v>
      </c>
      <c r="E23" s="151">
        <f t="shared" si="1"/>
        <v>0.9744003467533323</v>
      </c>
      <c r="F23" s="54" t="s">
        <v>535</v>
      </c>
      <c r="G23" s="405">
        <v>12</v>
      </c>
      <c r="H23" s="106">
        <f t="shared" si="2"/>
        <v>17673</v>
      </c>
      <c r="I23" s="106">
        <f>ROUND(D23/1000,0)</f>
        <v>17220</v>
      </c>
      <c r="J23" s="107">
        <f>IF(ISERROR(I23/H23)," ",(I23/H23))*100</f>
        <v>97.43676795111188</v>
      </c>
    </row>
    <row r="24" spans="1:10" ht="19.5" customHeight="1">
      <c r="A24" s="75" t="s">
        <v>536</v>
      </c>
      <c r="B24" s="403">
        <v>13</v>
      </c>
      <c r="C24" s="404">
        <v>25331123</v>
      </c>
      <c r="D24" s="404">
        <v>21815785</v>
      </c>
      <c r="E24" s="151">
        <f t="shared" si="1"/>
        <v>0.8612245497367014</v>
      </c>
      <c r="F24" s="54" t="s">
        <v>536</v>
      </c>
      <c r="G24" s="405">
        <v>13</v>
      </c>
      <c r="H24" s="106">
        <f>ROUND(C24/1000,)</f>
        <v>25331</v>
      </c>
      <c r="I24" s="106">
        <f>ROUND(D24/1000,0)+1</f>
        <v>21817</v>
      </c>
      <c r="J24" s="107">
        <f>IF(ISERROR(I24/H24)," ",(I24/H24))*100</f>
        <v>86.1276696537839</v>
      </c>
    </row>
    <row r="25" spans="1:10" ht="24.75" customHeight="1">
      <c r="A25" s="181" t="s">
        <v>537</v>
      </c>
      <c r="B25" s="403">
        <v>14</v>
      </c>
      <c r="C25" s="404">
        <f>149834462+54888986</f>
        <v>204723448</v>
      </c>
      <c r="D25" s="404">
        <f>149706723+49341301</f>
        <v>199048024</v>
      </c>
      <c r="E25" s="151">
        <f t="shared" si="1"/>
        <v>0.9722776064224944</v>
      </c>
      <c r="F25" s="407" t="s">
        <v>538</v>
      </c>
      <c r="G25" s="408">
        <v>14</v>
      </c>
      <c r="H25" s="409">
        <f>ROUND(C25/1000,)</f>
        <v>204723</v>
      </c>
      <c r="I25" s="106">
        <f>ROUND(D25/1000,0)-2</f>
        <v>199046</v>
      </c>
      <c r="J25" s="107">
        <f>IF(ISERROR(I25/H25)," ",(I25/H25))*100</f>
        <v>97.22698475501042</v>
      </c>
    </row>
    <row r="26" spans="2:10" ht="12.75">
      <c r="B26" s="36"/>
      <c r="C26" s="30"/>
      <c r="D26" s="30"/>
      <c r="E26" s="160"/>
      <c r="G26" s="36"/>
      <c r="H26" s="30"/>
      <c r="I26" s="410"/>
      <c r="J26" s="411"/>
    </row>
    <row r="27" spans="1:10" ht="12.75">
      <c r="A27" s="43" t="s">
        <v>539</v>
      </c>
      <c r="B27" s="36"/>
      <c r="C27" s="30"/>
      <c r="D27" s="30"/>
      <c r="E27" s="160"/>
      <c r="F27" s="43" t="s">
        <v>539</v>
      </c>
      <c r="G27" s="36"/>
      <c r="H27" s="30"/>
      <c r="I27" s="182"/>
      <c r="J27" s="412"/>
    </row>
    <row r="28" spans="2:10" ht="12.75">
      <c r="B28" s="36"/>
      <c r="C28" s="30"/>
      <c r="D28" s="30"/>
      <c r="E28" s="160"/>
      <c r="G28" s="36"/>
      <c r="H28" s="30"/>
      <c r="I28" s="30"/>
      <c r="J28" s="160"/>
    </row>
    <row r="29" spans="2:10" ht="12.75">
      <c r="B29" s="36"/>
      <c r="C29" s="30"/>
      <c r="D29" s="30"/>
      <c r="E29" s="160"/>
      <c r="F29" s="406"/>
      <c r="G29" s="36"/>
      <c r="H29" s="30"/>
      <c r="I29" s="30"/>
      <c r="J29" s="160"/>
    </row>
    <row r="30" spans="2:10" ht="12.75">
      <c r="B30" s="36"/>
      <c r="C30" s="30"/>
      <c r="D30" s="30"/>
      <c r="E30" s="160"/>
      <c r="G30" s="36"/>
      <c r="H30" s="30"/>
      <c r="I30" s="30"/>
      <c r="J30" s="160"/>
    </row>
    <row r="31" spans="2:10" ht="12.75">
      <c r="B31" s="36"/>
      <c r="C31" s="30"/>
      <c r="D31" s="30"/>
      <c r="E31" s="160"/>
      <c r="I31" s="30"/>
      <c r="J31" s="160"/>
    </row>
    <row r="32" spans="2:10" ht="12.75">
      <c r="B32" s="36"/>
      <c r="C32" s="30"/>
      <c r="D32" s="30"/>
      <c r="E32" s="160"/>
      <c r="G32" s="36"/>
      <c r="H32" s="30"/>
      <c r="I32" s="30"/>
      <c r="J32" s="160"/>
    </row>
    <row r="33" spans="1:13" ht="12.75">
      <c r="A33" s="43" t="s">
        <v>540</v>
      </c>
      <c r="B33" s="36"/>
      <c r="C33" s="30" t="s">
        <v>541</v>
      </c>
      <c r="D33" s="30"/>
      <c r="E33" s="160"/>
      <c r="I33" s="30"/>
      <c r="J33" s="160"/>
      <c r="L33" s="36"/>
      <c r="M33" s="30"/>
    </row>
    <row r="34" spans="2:10" ht="12.75">
      <c r="B34" s="36"/>
      <c r="C34" s="30"/>
      <c r="D34" s="30"/>
      <c r="E34" s="160"/>
      <c r="G34" s="36"/>
      <c r="H34" s="30"/>
      <c r="I34" s="30"/>
      <c r="J34" s="160"/>
    </row>
    <row r="35" spans="2:9" ht="12.75">
      <c r="B35" s="36"/>
      <c r="C35" s="30"/>
      <c r="D35" s="30"/>
      <c r="E35" s="160"/>
      <c r="F35" s="43" t="s">
        <v>542</v>
      </c>
      <c r="G35" s="29"/>
      <c r="H35" s="79"/>
      <c r="I35" s="30"/>
    </row>
    <row r="36" spans="4:10" ht="12.75">
      <c r="D36" s="30"/>
      <c r="E36" s="160"/>
      <c r="I36" s="30"/>
      <c r="J36" s="160"/>
    </row>
    <row r="37" spans="2:10" ht="12.75">
      <c r="B37" s="36"/>
      <c r="C37" s="30"/>
      <c r="D37" s="30"/>
      <c r="E37" s="160"/>
      <c r="G37" s="36"/>
      <c r="H37" s="30"/>
      <c r="I37" s="30"/>
      <c r="J37" s="160"/>
    </row>
    <row r="38" spans="3:10" ht="12.75">
      <c r="C38" s="30"/>
      <c r="D38" s="30"/>
      <c r="E38" s="160"/>
      <c r="H38" s="30"/>
      <c r="I38" s="30"/>
      <c r="J38" s="160"/>
    </row>
    <row r="39" spans="3:10" ht="12.75">
      <c r="C39" s="30"/>
      <c r="D39" s="30"/>
      <c r="E39" s="160"/>
      <c r="H39" s="30"/>
      <c r="I39" s="30"/>
      <c r="J39" s="160"/>
    </row>
    <row r="40" spans="3:10" ht="12.75">
      <c r="C40" s="30"/>
      <c r="D40" s="30"/>
      <c r="E40" s="160"/>
      <c r="H40" s="30"/>
      <c r="I40" s="30"/>
      <c r="J40" s="160"/>
    </row>
    <row r="41" spans="3:10" ht="12.75">
      <c r="C41" s="30"/>
      <c r="D41" s="30"/>
      <c r="E41" s="160"/>
      <c r="H41" s="30"/>
      <c r="I41" s="30"/>
      <c r="J41" s="160"/>
    </row>
    <row r="42" spans="3:10" ht="12.75">
      <c r="C42" s="30"/>
      <c r="D42" s="30"/>
      <c r="E42" s="160"/>
      <c r="H42" s="30"/>
      <c r="I42" s="30"/>
      <c r="J42" s="160"/>
    </row>
    <row r="43" spans="3:10" ht="12.75">
      <c r="C43" s="30"/>
      <c r="D43" s="30"/>
      <c r="E43" s="160"/>
      <c r="F43" s="39"/>
      <c r="H43" s="30"/>
      <c r="I43" s="30"/>
      <c r="J43" s="160"/>
    </row>
    <row r="44" spans="3:10" ht="12.75">
      <c r="C44" s="30"/>
      <c r="D44" s="30"/>
      <c r="E44" s="160"/>
      <c r="F44" s="39" t="s">
        <v>543</v>
      </c>
      <c r="H44" s="30"/>
      <c r="I44" s="30"/>
      <c r="J44" s="160"/>
    </row>
    <row r="45" spans="3:10" ht="12.75">
      <c r="C45" s="30"/>
      <c r="D45" s="30"/>
      <c r="E45" s="160"/>
      <c r="F45" s="39" t="s">
        <v>100</v>
      </c>
      <c r="H45" s="30"/>
      <c r="I45" s="30"/>
      <c r="J45" s="160"/>
    </row>
    <row r="46" spans="3:10" ht="12.75">
      <c r="C46" s="30"/>
      <c r="D46" s="30"/>
      <c r="E46" s="160"/>
      <c r="H46" s="30"/>
      <c r="I46" s="30"/>
      <c r="J46" s="160"/>
    </row>
    <row r="47" spans="2:9" ht="12.75">
      <c r="B47" s="30"/>
      <c r="C47" s="30"/>
      <c r="D47" s="160"/>
      <c r="G47" s="30"/>
      <c r="H47" s="30"/>
      <c r="I47" s="160"/>
    </row>
    <row r="48" spans="2:9" ht="12.75">
      <c r="B48" s="30"/>
      <c r="C48" s="30"/>
      <c r="D48" s="160"/>
      <c r="G48" s="30"/>
      <c r="H48" s="30"/>
      <c r="I48" s="160"/>
    </row>
    <row r="49" spans="2:9" ht="12.75">
      <c r="B49" s="30"/>
      <c r="C49" s="30"/>
      <c r="D49" s="160"/>
      <c r="G49" s="30"/>
      <c r="H49" s="30"/>
      <c r="I49" s="160"/>
    </row>
    <row r="50" spans="2:9" ht="12.75">
      <c r="B50" s="30"/>
      <c r="C50" s="30"/>
      <c r="D50" s="160"/>
      <c r="G50" s="30"/>
      <c r="H50" s="30"/>
      <c r="I50" s="160"/>
    </row>
    <row r="51" spans="2:9" ht="12.75">
      <c r="B51" s="30"/>
      <c r="C51" s="30"/>
      <c r="D51" s="160"/>
      <c r="G51" s="30"/>
      <c r="H51" s="30"/>
      <c r="I51" s="160"/>
    </row>
    <row r="52" spans="2:9" ht="12.75">
      <c r="B52" s="30"/>
      <c r="C52" s="30"/>
      <c r="D52" s="160"/>
      <c r="G52" s="30"/>
      <c r="H52" s="30"/>
      <c r="I52" s="160"/>
    </row>
    <row r="53" spans="2:9" ht="12.75">
      <c r="B53" s="30"/>
      <c r="D53" s="160"/>
      <c r="G53" s="30"/>
      <c r="I53" s="160"/>
    </row>
    <row r="54" spans="2:9" ht="12.75">
      <c r="B54" s="30"/>
      <c r="D54" s="160"/>
      <c r="G54" s="30"/>
      <c r="I54" s="160"/>
    </row>
    <row r="55" spans="2:9" ht="12.75">
      <c r="B55" s="30"/>
      <c r="D55" s="160"/>
      <c r="G55" s="30"/>
      <c r="I55" s="160"/>
    </row>
    <row r="56" spans="2:9" ht="12.75">
      <c r="B56" s="30"/>
      <c r="D56" s="160"/>
      <c r="G56" s="30"/>
      <c r="I56" s="160"/>
    </row>
    <row r="57" spans="2:9" ht="12.75">
      <c r="B57" s="30"/>
      <c r="D57" s="160"/>
      <c r="G57" s="30"/>
      <c r="I57" s="160"/>
    </row>
    <row r="58" spans="2:9" ht="12.75">
      <c r="B58" s="30"/>
      <c r="D58" s="160"/>
      <c r="G58" s="30"/>
      <c r="I58" s="160"/>
    </row>
    <row r="59" spans="2:9" ht="12.75">
      <c r="B59" s="30"/>
      <c r="D59" s="160"/>
      <c r="G59" s="30"/>
      <c r="I59" s="160"/>
    </row>
    <row r="60" spans="2:9" ht="12.75">
      <c r="B60" s="30"/>
      <c r="D60" s="160"/>
      <c r="G60" s="30"/>
      <c r="I60" s="160"/>
    </row>
    <row r="61" spans="2:9" ht="12.75">
      <c r="B61" s="30"/>
      <c r="D61" s="160"/>
      <c r="G61" s="30"/>
      <c r="I61" s="160"/>
    </row>
    <row r="62" spans="2:9" ht="12.75">
      <c r="B62" s="30"/>
      <c r="D62" s="160"/>
      <c r="G62" s="30"/>
      <c r="I62" s="160"/>
    </row>
    <row r="63" spans="2:9" ht="12.75">
      <c r="B63" s="30"/>
      <c r="D63" s="160"/>
      <c r="G63" s="30"/>
      <c r="I63" s="160"/>
    </row>
    <row r="64" spans="2:9" ht="12.75">
      <c r="B64" s="30"/>
      <c r="D64" s="160"/>
      <c r="G64" s="30"/>
      <c r="I64" s="160"/>
    </row>
    <row r="65" spans="2:9" ht="12.75">
      <c r="B65" s="30"/>
      <c r="D65" s="160"/>
      <c r="G65" s="30"/>
      <c r="I65" s="160"/>
    </row>
    <row r="66" spans="2:9" ht="12.75">
      <c r="B66" s="30"/>
      <c r="D66" s="160"/>
      <c r="G66" s="30"/>
      <c r="I66" s="160"/>
    </row>
    <row r="67" spans="2:9" ht="12.75">
      <c r="B67" s="30"/>
      <c r="D67" s="160"/>
      <c r="G67" s="30"/>
      <c r="I67" s="160"/>
    </row>
    <row r="68" spans="2:9" ht="12.75">
      <c r="B68" s="30"/>
      <c r="D68" s="160"/>
      <c r="G68" s="30"/>
      <c r="I68" s="160"/>
    </row>
    <row r="69" spans="2:9" ht="12.75">
      <c r="B69" s="30"/>
      <c r="D69" s="160"/>
      <c r="G69" s="30"/>
      <c r="I69" s="160"/>
    </row>
    <row r="70" spans="2:9" ht="12.75">
      <c r="B70" s="30"/>
      <c r="D70" s="160"/>
      <c r="G70" s="30"/>
      <c r="I70" s="160"/>
    </row>
    <row r="71" spans="2:9" ht="12.75">
      <c r="B71" s="30"/>
      <c r="D71" s="160"/>
      <c r="G71" s="30"/>
      <c r="I71" s="160"/>
    </row>
    <row r="72" spans="2:9" ht="12.75">
      <c r="B72" s="30"/>
      <c r="D72" s="160"/>
      <c r="G72" s="30"/>
      <c r="I72" s="160"/>
    </row>
    <row r="73" spans="2:9" ht="12.75">
      <c r="B73" s="30"/>
      <c r="D73" s="160"/>
      <c r="G73" s="30"/>
      <c r="I73" s="160"/>
    </row>
    <row r="74" spans="2:9" ht="12.75">
      <c r="B74" s="30"/>
      <c r="D74" s="160"/>
      <c r="G74" s="30"/>
      <c r="I74" s="160"/>
    </row>
    <row r="75" spans="2:9" ht="12.75">
      <c r="B75" s="30"/>
      <c r="D75" s="160"/>
      <c r="G75" s="30"/>
      <c r="I75" s="160"/>
    </row>
    <row r="76" spans="2:9" ht="12.75">
      <c r="B76" s="30"/>
      <c r="D76" s="160"/>
      <c r="G76" s="30"/>
      <c r="I76" s="160"/>
    </row>
    <row r="77" spans="2:9" ht="12.75">
      <c r="B77" s="30"/>
      <c r="D77" s="160"/>
      <c r="G77" s="30"/>
      <c r="I77" s="160"/>
    </row>
    <row r="78" spans="2:9" ht="12.75">
      <c r="B78" s="30"/>
      <c r="D78" s="160"/>
      <c r="G78" s="30"/>
      <c r="I78" s="160"/>
    </row>
    <row r="79" spans="2:9" ht="12.75">
      <c r="B79" s="30"/>
      <c r="D79" s="160"/>
      <c r="G79" s="30"/>
      <c r="I79" s="160"/>
    </row>
    <row r="80" spans="2:9" ht="12.75">
      <c r="B80" s="30"/>
      <c r="D80" s="160"/>
      <c r="G80" s="30"/>
      <c r="I80" s="160"/>
    </row>
    <row r="81" spans="2:9" ht="12.75">
      <c r="B81" s="30"/>
      <c r="D81" s="160"/>
      <c r="G81" s="30"/>
      <c r="I81" s="160"/>
    </row>
    <row r="82" spans="2:9" ht="12.75">
      <c r="B82" s="30"/>
      <c r="D82" s="160"/>
      <c r="G82" s="30"/>
      <c r="I82" s="160"/>
    </row>
    <row r="83" spans="2:9" ht="12.75">
      <c r="B83" s="30"/>
      <c r="D83" s="160"/>
      <c r="G83" s="30"/>
      <c r="I83" s="160"/>
    </row>
    <row r="84" spans="2:9" ht="12.75">
      <c r="B84" s="30"/>
      <c r="D84" s="160"/>
      <c r="G84" s="30"/>
      <c r="I84" s="160"/>
    </row>
    <row r="85" spans="2:9" ht="12.75">
      <c r="B85" s="30"/>
      <c r="D85" s="160"/>
      <c r="G85" s="30"/>
      <c r="I85" s="160"/>
    </row>
    <row r="86" spans="2:9" ht="12.75">
      <c r="B86" s="30"/>
      <c r="D86" s="160"/>
      <c r="G86" s="30"/>
      <c r="I86" s="160"/>
    </row>
    <row r="87" spans="2:9" ht="12.75">
      <c r="B87" s="30"/>
      <c r="D87" s="160"/>
      <c r="G87" s="30"/>
      <c r="I87" s="160"/>
    </row>
    <row r="88" spans="2:9" ht="12.75">
      <c r="B88" s="30"/>
      <c r="D88" s="160"/>
      <c r="G88" s="30"/>
      <c r="I88" s="160"/>
    </row>
    <row r="89" spans="2:9" ht="12.75">
      <c r="B89" s="30"/>
      <c r="D89" s="160"/>
      <c r="G89" s="30"/>
      <c r="I89" s="160"/>
    </row>
    <row r="90" spans="2:9" ht="12.75">
      <c r="B90" s="30"/>
      <c r="D90" s="160"/>
      <c r="G90" s="30"/>
      <c r="I90" s="160"/>
    </row>
    <row r="91" spans="2:9" ht="12.75">
      <c r="B91" s="30"/>
      <c r="D91" s="160"/>
      <c r="G91" s="30"/>
      <c r="I91" s="160"/>
    </row>
    <row r="92" spans="2:9" ht="12.75">
      <c r="B92" s="30"/>
      <c r="D92" s="160"/>
      <c r="G92" s="30"/>
      <c r="I92" s="160"/>
    </row>
    <row r="93" spans="2:9" ht="12.75">
      <c r="B93" s="30"/>
      <c r="D93" s="160"/>
      <c r="G93" s="30"/>
      <c r="I93" s="160"/>
    </row>
    <row r="94" spans="2:9" ht="12.75">
      <c r="B94" s="30"/>
      <c r="D94" s="160"/>
      <c r="G94" s="30"/>
      <c r="I94" s="160"/>
    </row>
    <row r="95" spans="2:9" ht="12.75">
      <c r="B95" s="30"/>
      <c r="D95" s="160"/>
      <c r="G95" s="30"/>
      <c r="I95" s="160"/>
    </row>
    <row r="96" spans="2:9" ht="12.75">
      <c r="B96" s="30"/>
      <c r="D96" s="160"/>
      <c r="G96" s="30"/>
      <c r="I96" s="160"/>
    </row>
    <row r="97" spans="2:9" ht="12.75">
      <c r="B97" s="30"/>
      <c r="D97" s="160"/>
      <c r="G97" s="30"/>
      <c r="I97" s="160"/>
    </row>
    <row r="98" spans="2:9" ht="12.75">
      <c r="B98" s="30"/>
      <c r="D98" s="160"/>
      <c r="G98" s="30"/>
      <c r="I98" s="160"/>
    </row>
    <row r="99" spans="2:9" ht="12.75">
      <c r="B99" s="30"/>
      <c r="D99" s="160"/>
      <c r="G99" s="30"/>
      <c r="I99" s="160"/>
    </row>
    <row r="100" spans="2:7" ht="12.75">
      <c r="B100" s="30"/>
      <c r="G100" s="30"/>
    </row>
    <row r="101" spans="2:7" ht="12.75">
      <c r="B101" s="30"/>
      <c r="G101" s="30"/>
    </row>
    <row r="102" spans="2:7" ht="12.75">
      <c r="B102" s="30"/>
      <c r="G102" s="30"/>
    </row>
    <row r="103" spans="2:7" ht="12.75">
      <c r="B103" s="30"/>
      <c r="G103" s="30"/>
    </row>
    <row r="104" spans="2:7" ht="12.75">
      <c r="B104" s="30"/>
      <c r="G104" s="30"/>
    </row>
    <row r="105" spans="2:7" ht="12.75">
      <c r="B105" s="30"/>
      <c r="G105" s="30"/>
    </row>
    <row r="106" spans="2:7" ht="12.75">
      <c r="B106" s="30"/>
      <c r="G106" s="30"/>
    </row>
    <row r="107" spans="2:7" ht="12.75">
      <c r="B107" s="30"/>
      <c r="G107" s="30"/>
    </row>
    <row r="108" spans="2:7" ht="12.75">
      <c r="B108" s="30"/>
      <c r="G108" s="30"/>
    </row>
  </sheetData>
  <mergeCells count="5">
    <mergeCell ref="F5:I5"/>
    <mergeCell ref="A2:C2"/>
    <mergeCell ref="F2:I2"/>
    <mergeCell ref="A4:D4"/>
    <mergeCell ref="F4:J4"/>
  </mergeCells>
  <printOptions/>
  <pageMargins left="0.41" right="0.19" top="1" bottom="0.28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VinetaP</cp:lastModifiedBy>
  <cp:lastPrinted>2001-01-16T10:20:29Z</cp:lastPrinted>
  <dcterms:created xsi:type="dcterms:W3CDTF">2001-01-15T13:56:34Z</dcterms:created>
  <dcterms:modified xsi:type="dcterms:W3CDTF">2002-12-02T14:50:30Z</dcterms:modified>
  <cp:category/>
  <cp:version/>
  <cp:contentType/>
  <cp:contentStatus/>
</cp:coreProperties>
</file>